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EstaPastaDeTrabalho" defaultThemeVersion="124226"/>
  <xr:revisionPtr revIDLastSave="0" documentId="8_{263C4DD8-383E-4D91-85EB-61FDF51F51AC}" xr6:coauthVersionLast="47" xr6:coauthVersionMax="47" xr10:uidLastSave="{00000000-0000-0000-0000-000000000000}"/>
  <bookViews>
    <workbookView xWindow="28680" yWindow="-120" windowWidth="29040" windowHeight="15720" tabRatio="949" firstSheet="1" activeTab="8" xr2:uid="{00000000-000D-0000-FFFF-FFFF00000000}"/>
  </bookViews>
  <sheets>
    <sheet name="Estimativas (C3)" sheetId="203" state="hidden" r:id="rId1"/>
    <sheet name="Estimativas (C3) (FINAL)" sheetId="202" r:id="rId2"/>
    <sheet name="Quadro Resumo - incluído SINISA" sheetId="183" r:id="rId3"/>
    <sheet name="Áreas" sheetId="105" state="hidden" r:id="rId4"/>
    <sheet name="Cálculo do Número de Serventes" sheetId="106" state="hidden" r:id="rId5"/>
    <sheet name="Tabela IN 5" sheetId="107" state="hidden" r:id="rId6"/>
    <sheet name="Servente de Limpeza" sheetId="92" state="hidden" r:id="rId7"/>
    <sheet name="Lavador (Fachada)" sheetId="110" state="hidden" r:id="rId8"/>
    <sheet name="Assistente Adm I" sheetId="133" r:id="rId9"/>
    <sheet name="Assistente Adm II" sheetId="188" r:id="rId10"/>
    <sheet name="Assistente Tec Esp" sheetId="189" r:id="rId11"/>
    <sheet name="Téc. Secretariado" sheetId="175" r:id="rId12"/>
    <sheet name="Secretário(a) Executivo(a) I" sheetId="190" r:id="rId13"/>
    <sheet name="Secretário(a) Executivo(a) II" sheetId="191" r:id="rId14"/>
    <sheet name="Recepcionista" sheetId="195" r:id="rId15"/>
    <sheet name="Encarregado Geral" sheetId="192" r:id="rId16"/>
    <sheet name="UNIFOME" sheetId="198" r:id="rId17"/>
    <sheet name="Memória de cálculo" sheetId="181" r:id="rId18"/>
    <sheet name="Eq. e Mat. Serv. Auxiliar" sheetId="108" state="hidden" r:id="rId19"/>
    <sheet name="Eq. Materiais Lavador" sheetId="111" state="hidden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xlfn_AGGREGATE">#N/A</definedName>
    <definedName name="_______xlfn_AVERAGEIF">#N/A</definedName>
    <definedName name="_______xlnm.Print_Area_1" localSheetId="17">#REF!</definedName>
    <definedName name="_______xlnm.Print_Area_1">#REF!</definedName>
    <definedName name="_______xlnm.Print_Area_2" localSheetId="17">#REF!</definedName>
    <definedName name="_______xlnm.Print_Area_2">#REF!</definedName>
    <definedName name="_______xlnm.Print_Area_3" localSheetId="17">#REF!</definedName>
    <definedName name="_______xlnm.Print_Area_3">#REF!</definedName>
    <definedName name="______BDI2" localSheetId="17">#REF!</definedName>
    <definedName name="______BDI2">#REF!</definedName>
    <definedName name="______xlfn_AGGREGATE">#N/A</definedName>
    <definedName name="______xlfn_AVERAGEIF">#N/A</definedName>
    <definedName name="______xlnm.Print_Area_1" localSheetId="17">#REF!</definedName>
    <definedName name="______xlnm.Print_Area_1">#REF!</definedName>
    <definedName name="______xlnm.Print_Area_2" localSheetId="17">#REF!</definedName>
    <definedName name="______xlnm.Print_Area_2">#REF!</definedName>
    <definedName name="______xlnm.Print_Area_3" localSheetId="17">#REF!</definedName>
    <definedName name="______xlnm.Print_Area_3">#REF!</definedName>
    <definedName name="_____BDI2" localSheetId="17">#REF!</definedName>
    <definedName name="_____BDI2">#REF!</definedName>
    <definedName name="_____xlfn_AGGREGATE">#N/A</definedName>
    <definedName name="_____xlfn_AVERAGEIF">#N/A</definedName>
    <definedName name="_____xlnm.Print_Area_1" localSheetId="17">#REF!</definedName>
    <definedName name="_____xlnm.Print_Area_1">#REF!</definedName>
    <definedName name="_____xlnm.Print_Area_2" localSheetId="17">#REF!</definedName>
    <definedName name="_____xlnm.Print_Area_2">#REF!</definedName>
    <definedName name="_____xlnm.Print_Area_3" localSheetId="17">#REF!</definedName>
    <definedName name="_____xlnm.Print_Area_3">#REF!</definedName>
    <definedName name="____BDI2" localSheetId="17">#REF!</definedName>
    <definedName name="____BDI2">#REF!</definedName>
    <definedName name="____jkjkjkj1" localSheetId="17">#REF!</definedName>
    <definedName name="____jkjkjkj1">#REF!</definedName>
    <definedName name="____xlfn_AGGREGATE">#N/A</definedName>
    <definedName name="____xlfn_AVERAGEIF">#N/A</definedName>
    <definedName name="____xlnm.Print_Area_1" localSheetId="17">#REF!</definedName>
    <definedName name="____xlnm.Print_Area_1">#REF!</definedName>
    <definedName name="____xlnm.Print_Area_2" localSheetId="17">#REF!</definedName>
    <definedName name="____xlnm.Print_Area_2">#REF!</definedName>
    <definedName name="____xlnm.Print_Area_3" localSheetId="17">#REF!</definedName>
    <definedName name="____xlnm.Print_Area_3">#REF!</definedName>
    <definedName name="___BDI2" localSheetId="17">#REF!</definedName>
    <definedName name="___BDI2">#REF!</definedName>
    <definedName name="___xlfn_AGGREGATE">#N/A</definedName>
    <definedName name="___xlfn_AVERAGEIF">#N/A</definedName>
    <definedName name="___xlnm.Print_Area_1" localSheetId="17">#REF!</definedName>
    <definedName name="___xlnm.Print_Area_1">#REF!</definedName>
    <definedName name="___xlnm.Print_Area_2" localSheetId="17">#REF!</definedName>
    <definedName name="___xlnm.Print_Area_2">#REF!</definedName>
    <definedName name="___xlnm.Print_Area_3" localSheetId="17">#REF!</definedName>
    <definedName name="___xlnm.Print_Area_3">#REF!</definedName>
    <definedName name="___xlnm.Print_Area_4" localSheetId="17">#REF!</definedName>
    <definedName name="___xlnm.Print_Area_4">#REF!</definedName>
    <definedName name="__BDI2" localSheetId="17">#REF!</definedName>
    <definedName name="__BDI2">#REF!</definedName>
    <definedName name="__shared_1_0_0">#N/A</definedName>
    <definedName name="__shared_1_0_1">#N/A</definedName>
    <definedName name="__shared_2_0_0">#N/A</definedName>
    <definedName name="__shared_2_0_1">#N/A</definedName>
    <definedName name="__shared_3_0_0">#N/A</definedName>
    <definedName name="__shared_3_0_1">#N/A</definedName>
    <definedName name="__shared_4_0_0">#N/A</definedName>
    <definedName name="__shared_4_0_1">#N/A</definedName>
    <definedName name="__shared_5_0_0">#N/A</definedName>
    <definedName name="__shared_5_0_1">#N/A</definedName>
    <definedName name="__shared_6_0_0">#N/A</definedName>
    <definedName name="__shared_6_0_1">#N/A</definedName>
    <definedName name="__shared_7_0_0">#N/A</definedName>
    <definedName name="__shared_7_0_1">#N/A</definedName>
    <definedName name="__shared_7_0_2">#N/A</definedName>
    <definedName name="__shared_7_0_3">#N/A</definedName>
    <definedName name="__shared_7_0_4">#N/A</definedName>
    <definedName name="__shared_7_0_5">#N/A</definedName>
    <definedName name="__xlfn_AGGREGATE">#N/A</definedName>
    <definedName name="__xlfn_AVERAGEIF">#N/A</definedName>
    <definedName name="__xlnm.Print_Area_1" localSheetId="17">#REF!</definedName>
    <definedName name="__xlnm.Print_Area_1">#REF!</definedName>
    <definedName name="__xlnm.Print_Area_2" localSheetId="17">#REF!</definedName>
    <definedName name="__xlnm.Print_Area_2">#REF!</definedName>
    <definedName name="__xlnm.Print_Area_3" localSheetId="17">#REF!</definedName>
    <definedName name="__xlnm.Print_Area_3">#REF!</definedName>
    <definedName name="__xlnm.Print_Titles_2">#REF!</definedName>
    <definedName name="_1Excel_BuiltIn_Print_Area_3">#REF!</definedName>
    <definedName name="_1Excel_BuiltIn_Print_Titles_15_1_1_1_1">#REF!</definedName>
    <definedName name="_2Excel_BuiltIn_Print_Titles_16_1">#REF!</definedName>
    <definedName name="_3Excel_BuiltIn_Print_Titles_16_1_1_1">#REF!</definedName>
    <definedName name="_4Excel_BuiltIn_Print_Area_3">#REF!</definedName>
    <definedName name="_5Excel_BuiltIn_Print_Area_3">#REF!</definedName>
    <definedName name="_5Excel_BuiltIn_Print_Titles_18_1">#REF!</definedName>
    <definedName name="_6Excel_BuiltIn_Print_Titles_19_1">#REF!</definedName>
    <definedName name="_7Excel_BuiltIn_Print_Titles_21_1_1_1">#REF!</definedName>
    <definedName name="_BDI2" localSheetId="17">#REF!</definedName>
    <definedName name="_BDI2">#REF!</definedName>
    <definedName name="_ipi1" localSheetId="17">#REF!</definedName>
    <definedName name="_ipi1">#REF!</definedName>
    <definedName name="_P1" localSheetId="17">#REF!</definedName>
    <definedName name="_P1">#REF!</definedName>
    <definedName name="_P2" localSheetId="17">#REF!</definedName>
    <definedName name="_P2">#REF!</definedName>
    <definedName name="_R">#REF!</definedName>
    <definedName name="A" localSheetId="17">#REF!</definedName>
    <definedName name="A">#REF!</definedName>
    <definedName name="aa">#REF!</definedName>
    <definedName name="AAA">#REF!</definedName>
    <definedName name="aaaa" localSheetId="17">#REF!</definedName>
    <definedName name="aaaa">#REF!</definedName>
    <definedName name="AAAAA">#REF!</definedName>
    <definedName name="aaaaaaaaaaa">#REF!</definedName>
    <definedName name="AAAsDAFDSAGFDSHG" localSheetId="17">#REF!</definedName>
    <definedName name="AAAsDAFDSAGFDSHG">#REF!</definedName>
    <definedName name="AB">#REF!</definedName>
    <definedName name="ABRA">#REF!</definedName>
    <definedName name="Ac">#REF!</definedName>
    <definedName name="ACORDO_COLETIVO" localSheetId="17">#REF!</definedName>
    <definedName name="ACORDO_COLETIVO">#REF!</definedName>
    <definedName name="ADA">#REF!</definedName>
    <definedName name="adasda">#REF!</definedName>
    <definedName name="ADIC_INSALUB_ENC" localSheetId="17">#REF!</definedName>
    <definedName name="ADIC_INSALUB_ENC">#REF!</definedName>
    <definedName name="ADIC_INSALUB_SERV" localSheetId="17">#REF!</definedName>
    <definedName name="ADIC_INSALUB_SERV">#REF!</definedName>
    <definedName name="ADIC_INSALUB_SERV_HOSP" localSheetId="17">#REF!</definedName>
    <definedName name="ADIC_INSALUB_SERV_HOSP">#REF!</definedName>
    <definedName name="ADM">#REF!</definedName>
    <definedName name="AGENTE_D_VAZIA">#REF!</definedName>
    <definedName name="AGOA">#REF!</definedName>
    <definedName name="AL_1_A_SAL_BASE_12X36_DIU">!#REF!</definedName>
    <definedName name="AL_1_A_SAL_BASE_12X36_NOT">!#REF!</definedName>
    <definedName name="AL_1_A_SAL_BASE_44H">!#REF!</definedName>
    <definedName name="AL_1_B_ADIC_PERIC_12X36_DIU">!#REF!</definedName>
    <definedName name="AL_1_B_ADIC_PERIC_12X36_NOT">!#REF!</definedName>
    <definedName name="AL_1_B_ADIC_PERIC_44H">!#REF!</definedName>
    <definedName name="AL_1_C_ADIC_NOT_12X36_NOT">!#REF!</definedName>
    <definedName name="AL_1_C_OUTROS_REM_1_SERV" localSheetId="17">#REF!</definedName>
    <definedName name="AL_1_C_OUTROS_REM_1_SERV">#REF!</definedName>
    <definedName name="AL_1_D_ADIC_NOT_RED_12X36_NOT">!#REF!</definedName>
    <definedName name="AL_1_D_OUTROS_REM_2_ENC" localSheetId="17">#REF!</definedName>
    <definedName name="AL_1_D_OUTROS_REM_2_ENC">#REF!</definedName>
    <definedName name="AL_1_D_OUTROS_REM_2_SERV" localSheetId="17">#REF!</definedName>
    <definedName name="AL_1_D_OUTROS_REM_2_SERV">#REF!</definedName>
    <definedName name="AL_1_E_OUTROS_REM_12X36_NOT">"""""""""""""""'posto 12x36 horas - noturno'!#REF!"""""""""""""""</definedName>
    <definedName name="AL_1_E_OUTROS_REM_3_SERV" localSheetId="17">#REF!</definedName>
    <definedName name="AL_1_E_OUTROS_REM_3_SERV">#REF!</definedName>
    <definedName name="AL_2_1_A_DEC_TERC_12X36_DIU">!#REF!</definedName>
    <definedName name="AL_2_1_A_DEC_TERC_12X36_NOT">!#REF!</definedName>
    <definedName name="AL_2_1_B_ADIC_FERIAS_12X36_DIU">!#REF!</definedName>
    <definedName name="AL_2_1_B_ADIC_FERIAS_12X36_NOT">!#REF!</definedName>
    <definedName name="AL_2_2_FGTS_12X36_DIU">!#REF!</definedName>
    <definedName name="AL_2_2_FGTS_12X36_NOT">!#REF!</definedName>
    <definedName name="AL_2_2_FGTS_44H">!#REF!</definedName>
    <definedName name="AL_2_3_A_TRANSP_12X36_DIU">!#REF!</definedName>
    <definedName name="AL_2_3_A_TRANSP_12X36_NOT">!#REF!</definedName>
    <definedName name="AL_2_3_A_TRANSP_44H">!#REF!</definedName>
    <definedName name="AL_2_3_B_AUX_ALIMENT_12X36_DIU">!#REF!</definedName>
    <definedName name="AL_2_3_B_AUX_ALIMENT_12X36_NOT">!#REF!</definedName>
    <definedName name="AL_2_3_B_AUX_ALIMENT_44H">!#REF!</definedName>
    <definedName name="AL_2_3_C_OUTROS_BENEF_12X36_DIU">!#REF!</definedName>
    <definedName name="AL_2_3_C_OUTROS_BENEF_12X36_NOT">"""""""""""""""'posto 12x36 horas - noturno'!#REF!"""""""""""""""</definedName>
    <definedName name="AL_2_A_ATE_2_G_GPS_12X36_NOT">!#REF!</definedName>
    <definedName name="AL_6_A_CUSTOS_INDIRETOS_12X36_DIU">!#REF!</definedName>
    <definedName name="AL_6_A_CUSTOS_INDIRETOS_12X36_NOT">!#REF!</definedName>
    <definedName name="AL_6_A_CUSTOS_INDIRETOS_44H">!#REF!</definedName>
    <definedName name="AL_6_B_LUCRO_12X36_DIU">!#REF!</definedName>
    <definedName name="AL_6_B_LUCRO_12X36_NOT">!#REF!</definedName>
    <definedName name="AL_6_B_LUCRO_44H">!#REF!</definedName>
    <definedName name="AL_6_C_1_PIS_12X36_DIU">!#REF!</definedName>
    <definedName name="AL_6_C_1_PIS_12X36_NOT">!#REF!</definedName>
    <definedName name="AL_6_C_1_PIS_44H">!#REF!</definedName>
    <definedName name="AL_6_C_2_COFINS_12X36_DIU">!#REF!</definedName>
    <definedName name="AL_6_C_2_COFINS_12X36_NOT">!#REF!</definedName>
    <definedName name="AL_6_C_2_COFINS_44H">!#REF!</definedName>
    <definedName name="AL_6_C_3_ISS_12X36_DIU">!#REF!</definedName>
    <definedName name="AL_6_C_3_ISS_12X36_NOT">!#REF!</definedName>
    <definedName name="AL_6_C_3_ISS_44H">!#REF!</definedName>
    <definedName name="AL_6_C_TRIBUTOS_12X36_DIU">!#REF!</definedName>
    <definedName name="AL_6_C_TRIBUTOS_12X36_NOT">!#REF!</definedName>
    <definedName name="AL_6_C_TRIBUTOS_44H">!#REF!</definedName>
    <definedName name="ALIMENTACAO_POR_DIA" localSheetId="17">#REF!</definedName>
    <definedName name="ALIMENTACAO_POR_DIA">#REF!</definedName>
    <definedName name="ALMOXARIFE" localSheetId="17">#REF!</definedName>
    <definedName name="ALMOXARIFE">#REF!</definedName>
    <definedName name="am">#REF!</definedName>
    <definedName name="APTO_TIPO">#REF!</definedName>
    <definedName name="AREA">#REF!</definedName>
    <definedName name="Area_2">#REF!</definedName>
    <definedName name="_xlnm.Print_Area" localSheetId="3">Áreas!$A$1:$B$34</definedName>
    <definedName name="_xlnm.Print_Area" localSheetId="8">'Assistente Adm I'!$A$1:$E$131</definedName>
    <definedName name="_xlnm.Print_Area" localSheetId="9">'Assistente Adm II'!$A$1:$E$131</definedName>
    <definedName name="_xlnm.Print_Area" localSheetId="10">'Assistente Tec Esp'!$A$1:$E$131</definedName>
    <definedName name="_xlnm.Print_Area" localSheetId="15">'Encarregado Geral'!$A$1:$E$131</definedName>
    <definedName name="_xlnm.Print_Area" localSheetId="18">'Eq. e Mat. Serv. Auxiliar'!$A$1:$G$89</definedName>
    <definedName name="_xlnm.Print_Area" localSheetId="7">'Lavador (Fachada)'!$A$1:$E$137</definedName>
    <definedName name="_xlnm.Print_Area" localSheetId="17">'Memória de cálculo'!$A$1:$D$54</definedName>
    <definedName name="_xlnm.Print_Area" localSheetId="2">'Quadro Resumo - incluído SINISA'!$A$1:$J$23</definedName>
    <definedName name="_xlnm.Print_Area" localSheetId="14">Recepcionista!$A$1:$E$131</definedName>
    <definedName name="_xlnm.Print_Area" localSheetId="12">'Secretário(a) Executivo(a) I'!$A$1:$E$131</definedName>
    <definedName name="_xlnm.Print_Area" localSheetId="13">'Secretário(a) Executivo(a) II'!$A$1:$E$131</definedName>
    <definedName name="_xlnm.Print_Area" localSheetId="6">'Servente de Limpeza'!$A$1:$E$137</definedName>
    <definedName name="_xlnm.Print_Area" localSheetId="5">'Tabela IN 5'!$A$1:$K$33</definedName>
    <definedName name="_xlnm.Print_Area" localSheetId="11">'Téc. Secretariado'!$A$1:$E$131</definedName>
    <definedName name="_xlnm.Print_Area" localSheetId="16">UNIFOME!#REF!</definedName>
    <definedName name="_xlnm.Print_Area">#REF!</definedName>
    <definedName name="AREA_ESQ_EXTERNA_ANEXOS" localSheetId="17">#REF!</definedName>
    <definedName name="AREA_ESQ_EXTERNA_ANEXOS">#REF!</definedName>
    <definedName name="AREA_ESQ_EXTERNA_PTMS_PRMS" localSheetId="17">#REF!</definedName>
    <definedName name="AREA_ESQ_EXTERNA_PTMS_PRMS">#REF!</definedName>
    <definedName name="AREA_ESQ_EXTERNA_SEDE" localSheetId="17">#REF!</definedName>
    <definedName name="AREA_ESQ_EXTERNA_SEDE">#REF!</definedName>
    <definedName name="AREA_ESQ_EXTERNA_TOTAL" localSheetId="17">#REF!</definedName>
    <definedName name="AREA_ESQ_EXTERNA_TOTAL">#REF!</definedName>
    <definedName name="AREA_EXTERNA_ANEXOS" localSheetId="17">#REF!</definedName>
    <definedName name="AREA_EXTERNA_ANEXOS">#REF!</definedName>
    <definedName name="AREA_EXTERNA_PTMS_PRMS" localSheetId="17">#REF!</definedName>
    <definedName name="AREA_EXTERNA_PTMS_PRMS">#REF!</definedName>
    <definedName name="AREA_EXTERNA_SEDE" localSheetId="17">#REF!</definedName>
    <definedName name="AREA_EXTERNA_SEDE">#REF!</definedName>
    <definedName name="AREA_EXTERNA_TOTAL" localSheetId="17">#REF!</definedName>
    <definedName name="AREA_EXTERNA_TOTAL">#REF!</definedName>
    <definedName name="AREA_FACHADA_ENVID_ANEXOS" localSheetId="17">#REF!</definedName>
    <definedName name="AREA_FACHADA_ENVID_ANEXOS">#REF!</definedName>
    <definedName name="AREA_FACHADA_ENVID_PTMS_PRMS" localSheetId="17">#REF!</definedName>
    <definedName name="AREA_FACHADA_ENVID_PTMS_PRMS">#REF!</definedName>
    <definedName name="AREA_FACHADA_ENVID_SEDE" localSheetId="17">#REF!</definedName>
    <definedName name="AREA_FACHADA_ENVID_SEDE">#REF!</definedName>
    <definedName name="AREA_FACHADA_ENVID_TOTAL" localSheetId="17">#REF!</definedName>
    <definedName name="AREA_FACHADA_ENVID_TOTAL">#REF!</definedName>
    <definedName name="AREA_INTERNA_ANEXOS" localSheetId="17">#REF!</definedName>
    <definedName name="AREA_INTERNA_ANEXOS">#REF!</definedName>
    <definedName name="AREA_INTERNA_PTMS_PRMS" localSheetId="17">#REF!</definedName>
    <definedName name="AREA_INTERNA_PTMS_PRMS">#REF!</definedName>
    <definedName name="AREA_INTERNA_SEDE" localSheetId="17">#REF!</definedName>
    <definedName name="AREA_INTERNA_SEDE">#REF!</definedName>
    <definedName name="AREA_INTERNA_TOTAL" localSheetId="17">#REF!</definedName>
    <definedName name="AREA_INTERNA_TOTAL">#REF!</definedName>
    <definedName name="AREA_MED_HOSP_ANEXOS" localSheetId="17">#REF!</definedName>
    <definedName name="AREA_MED_HOSP_ANEXOS">#REF!</definedName>
    <definedName name="AREA_MED_HOSP_PTMS_PRMS" localSheetId="17">#REF!</definedName>
    <definedName name="AREA_MED_HOSP_PTMS_PRMS">#REF!</definedName>
    <definedName name="AREA_MED_HOSP_SEDE" localSheetId="17">#REF!</definedName>
    <definedName name="AREA_MED_HOSP_SEDE">#REF!</definedName>
    <definedName name="AREA_MED_HOSP_TOTAL" localSheetId="17">#REF!</definedName>
    <definedName name="AREA_MED_HOSP_TOTAL">#REF!</definedName>
    <definedName name="àrea_nova">#REF!</definedName>
    <definedName name="aREA1">#REF!</definedName>
    <definedName name="area2">#REF!</definedName>
    <definedName name="Area3">#REF!</definedName>
    <definedName name="Area4">#REF!</definedName>
    <definedName name="Areanova">#REF!</definedName>
    <definedName name="Áreanova">#REF!</definedName>
    <definedName name="AreaTeste">#REF!</definedName>
    <definedName name="AreaTeste2">#REF!</definedName>
    <definedName name="Áreaverde">#REF!</definedName>
    <definedName name="AReaverde3">#REF!</definedName>
    <definedName name="Arial">#REF!</definedName>
    <definedName name="ARM01_02" localSheetId="17">#REF!</definedName>
    <definedName name="ARM01_02">#REF!</definedName>
    <definedName name="ARM1_COMP" localSheetId="17">#REF!</definedName>
    <definedName name="ARM1_COMP">#REF!</definedName>
    <definedName name="ARM2_COMP" localSheetId="17">#REF!</definedName>
    <definedName name="ARM2_COMP">#REF!</definedName>
    <definedName name="asdf" localSheetId="17">#REF!</definedName>
    <definedName name="asdf">#REF!</definedName>
    <definedName name="asdff" localSheetId="17">#REF!</definedName>
    <definedName name="asdff">#REF!</definedName>
    <definedName name="asdfff" localSheetId="17">#REF!</definedName>
    <definedName name="asdfff">#REF!</definedName>
    <definedName name="AUXILIOS_BENEFICIOS">SUM(#REF!)</definedName>
    <definedName name="B" localSheetId="17">#REF!</definedName>
    <definedName name="B">#REF!</definedName>
    <definedName name="base" localSheetId="17">#REF!</definedName>
    <definedName name="base" localSheetId="16">[1]RESUMO!#REF!</definedName>
    <definedName name="base">#REF!</definedName>
    <definedName name="bb">#REF!</definedName>
    <definedName name="BBB">#REF!</definedName>
    <definedName name="BDI" localSheetId="17">#REF!</definedName>
    <definedName name="BDI">#REF!</definedName>
    <definedName name="BDIc">#REF!</definedName>
    <definedName name="BDIf">#REF!</definedName>
    <definedName name="bgkb">#REF!</definedName>
    <definedName name="BLKIHB">#REF!</definedName>
    <definedName name="BuiltIn_Print_Area" localSheetId="17">#REF!</definedName>
    <definedName name="BuiltIn_Print_Area">#REF!</definedName>
    <definedName name="BuiltIn_Print_Area___0" localSheetId="17">#REF!</definedName>
    <definedName name="BuiltIn_Print_Area___0">#REF!</definedName>
    <definedName name="C_">#REF!</definedName>
    <definedName name="CAMINHÃO" localSheetId="17">#REF!</definedName>
    <definedName name="CAMINHÃO">#REF!</definedName>
    <definedName name="capt01" localSheetId="17">#REF!</definedName>
    <definedName name="capt01">#REF!</definedName>
    <definedName name="carros">#REF!</definedName>
    <definedName name="CATEGORIA_PROFISSIONAL">'[2]INSERÇÃO-DE-DADOS (ISS 5%)'!$D$23</definedName>
    <definedName name="CATEGORIA_PROFISSIONAL_ENC" localSheetId="17">#REF!</definedName>
    <definedName name="CATEGORIA_PROFISSIONAL_ENC">#REF!</definedName>
    <definedName name="CATEGORIA_PROFISSIONAL_SERV" localSheetId="17">#REF!</definedName>
    <definedName name="CATEGORIA_PROFISSIONAL_SERV">#REF!</definedName>
    <definedName name="CATEGORIA_PROFISSIONAL_SERV_HOSP" localSheetId="17">#REF!</definedName>
    <definedName name="CATEGORIA_PROFISSIONAL_SERV_HOSP">#REF!</definedName>
    <definedName name="catmat">#REF!</definedName>
    <definedName name="cb">#REF!</definedName>
    <definedName name="cbgnfgjg" localSheetId="17">#REF!</definedName>
    <definedName name="cbgnfgjg">#REF!</definedName>
    <definedName name="CBO" localSheetId="17">#REF!</definedName>
    <definedName name="CBO">#REF!</definedName>
    <definedName name="CC">#REF!</definedName>
    <definedName name="CCC">#REF!</definedName>
    <definedName name="CDGFNFVBH" localSheetId="17">#REF!</definedName>
    <definedName name="CDGFNFVBH">#REF!</definedName>
    <definedName name="CECWC" localSheetId="17">#REF!</definedName>
    <definedName name="CECWC">#REF!</definedName>
    <definedName name="CélulaInicioPlanilha">#REF!</definedName>
    <definedName name="CélulaResumo">#REF!</definedName>
    <definedName name="çknlknm" localSheetId="17">#REF!</definedName>
    <definedName name="çknlknm">#REF!</definedName>
    <definedName name="cob01_" localSheetId="17">#REF!</definedName>
    <definedName name="cob01_">#REF!</definedName>
    <definedName name="cob02_" localSheetId="17">#REF!</definedName>
    <definedName name="cob02_">#REF!</definedName>
    <definedName name="COB03_" localSheetId="17">#REF!</definedName>
    <definedName name="COB03_">#REF!</definedName>
    <definedName name="COB04_" localSheetId="17">#REF!</definedName>
    <definedName name="COB04_">#REF!</definedName>
    <definedName name="COB05_" localSheetId="17">#REF!</definedName>
    <definedName name="COB05_">#REF!</definedName>
    <definedName name="COB06_" localSheetId="17">#REF!</definedName>
    <definedName name="COB06_">#REF!</definedName>
    <definedName name="COB07_" localSheetId="17">#REF!</definedName>
    <definedName name="COB07_">#REF!</definedName>
    <definedName name="COB08_" localSheetId="17">#REF!</definedName>
    <definedName name="COB08_">#REF!</definedName>
    <definedName name="COB09_" localSheetId="17">#REF!</definedName>
    <definedName name="COB09_">#REF!</definedName>
    <definedName name="COB09_C" localSheetId="17">#REF!</definedName>
    <definedName name="COB09_C">#REF!</definedName>
    <definedName name="COEF_KI_ESQ_EXTERNA_ENC" localSheetId="17">#REF!</definedName>
    <definedName name="COEF_KI_ESQ_EXTERNA_ENC">#REF!</definedName>
    <definedName name="COEF_KI_ESQ_EXTERNA_SERV" localSheetId="17">#REF!</definedName>
    <definedName name="COEF_KI_ESQ_EXTERNA_SERV">#REF!</definedName>
    <definedName name="COEF_KI_FACHADA_ENVID_ENC" localSheetId="17">#REF!</definedName>
    <definedName name="COEF_KI_FACHADA_ENVID_ENC">#REF!</definedName>
    <definedName name="COEF_KI_FACHADA_ENVID_SERV" localSheetId="17">#REF!</definedName>
    <definedName name="COEF_KI_FACHADA_ENVID_SERV">#REF!</definedName>
    <definedName name="COFINS">#REF!</definedName>
    <definedName name="ComissaoComercial">'[3]2. Param Gerais'!$N$15</definedName>
    <definedName name="CPMF" localSheetId="17">#REF!</definedName>
    <definedName name="CPMF">#REF!</definedName>
    <definedName name="CPRB">#REF!</definedName>
    <definedName name="CPRB_2025">[1]SALÁRIOS!$K$13</definedName>
    <definedName name="CPRB_2026">[1]SALÁRIOS!$L$13</definedName>
    <definedName name="CPRB_2027">[1]SALÁRIOS!$M$13</definedName>
    <definedName name="CPRB_2028">[1]SALÁRIOS!$N$13</definedName>
    <definedName name="CPT01_" localSheetId="17">#REF!</definedName>
    <definedName name="CPT01_">#REF!</definedName>
    <definedName name="CPT01_COMP" localSheetId="17">#REF!</definedName>
    <definedName name="CPT01_COMP">#REF!</definedName>
    <definedName name="CT01_" localSheetId="17">#REF!</definedName>
    <definedName name="CT01_">#REF!</definedName>
    <definedName name="ct01__" localSheetId="17">#REF!</definedName>
    <definedName name="ct01__">#REF!</definedName>
    <definedName name="CT01_COMP" localSheetId="17">#REF!</definedName>
    <definedName name="CT01_COMP">#REF!</definedName>
    <definedName name="CT02_" localSheetId="17">#REF!</definedName>
    <definedName name="CT02_">#REF!</definedName>
    <definedName name="CT02__" localSheetId="17">#REF!</definedName>
    <definedName name="CT02__">#REF!</definedName>
    <definedName name="CT02_COMP" localSheetId="17">#REF!</definedName>
    <definedName name="CT02_COMP">#REF!</definedName>
    <definedName name="CUSTO_M2_AREA_EXTERNA" localSheetId="17">#REF!</definedName>
    <definedName name="CUSTO_M2_AREA_EXTERNA">#REF!</definedName>
    <definedName name="CUSTO_M2_AREA_EXTERNA_ENC" localSheetId="17">#REF!</definedName>
    <definedName name="CUSTO_M2_AREA_EXTERNA_ENC">#REF!</definedName>
    <definedName name="CUSTO_M2_AREA_EXTERNA_SERV" localSheetId="17">#REF!</definedName>
    <definedName name="CUSTO_M2_AREA_EXTERNA_SERV">#REF!</definedName>
    <definedName name="CUSTO_M2_AREA_HOSPITALAR_ENC" localSheetId="17">#REF!</definedName>
    <definedName name="CUSTO_M2_AREA_HOSPITALAR_ENC">#REF!</definedName>
    <definedName name="CUSTO_M2_AREA_HOSPITALAR_SERV" localSheetId="17">#REF!</definedName>
    <definedName name="CUSTO_M2_AREA_HOSPITALAR_SERV">#REF!</definedName>
    <definedName name="CUSTO_M2_AREA_INTERNA" localSheetId="17">#REF!</definedName>
    <definedName name="CUSTO_M2_AREA_INTERNA">#REF!</definedName>
    <definedName name="CUSTO_M2_AREA_INTERNA_ENC" localSheetId="17">#REF!</definedName>
    <definedName name="CUSTO_M2_AREA_INTERNA_ENC">#REF!</definedName>
    <definedName name="CUSTO_M2_AREA_INTERNA_SERV" localSheetId="17">#REF!</definedName>
    <definedName name="CUSTO_M2_AREA_INTERNA_SERV">#REF!</definedName>
    <definedName name="CUSTO_M2_AREA_MED_HOSP" localSheetId="17">#REF!</definedName>
    <definedName name="CUSTO_M2_AREA_MED_HOSP">#REF!</definedName>
    <definedName name="CUSTO_M2_ESQ_EXTERNA" localSheetId="17">#REF!</definedName>
    <definedName name="CUSTO_M2_ESQ_EXTERNA">#REF!</definedName>
    <definedName name="CUSTO_M2_ESQ_EXTERNA_ENC" localSheetId="17">#REF!</definedName>
    <definedName name="CUSTO_M2_ESQ_EXTERNA_ENC">#REF!</definedName>
    <definedName name="CUSTO_M2_ESQ_EXTERNA_SERV" localSheetId="17">#REF!</definedName>
    <definedName name="CUSTO_M2_ESQ_EXTERNA_SERV">#REF!</definedName>
    <definedName name="CUSTO_M2_FACHADA_ENVID" localSheetId="17">#REF!</definedName>
    <definedName name="CUSTO_M2_FACHADA_ENVID">#REF!</definedName>
    <definedName name="CUSTO_M2_FACHADA_ENVID_ENC" localSheetId="17">#REF!</definedName>
    <definedName name="CUSTO_M2_FACHADA_ENVID_ENC">#REF!</definedName>
    <definedName name="CUSTO_M2_FACHADA_ENVID_SERV" localSheetId="17">#REF!</definedName>
    <definedName name="CUSTO_M2_FACHADA_ENVID_SERV">#REF!</definedName>
    <definedName name="custodireto">#REF!</definedName>
    <definedName name="custototal">#REF!</definedName>
    <definedName name="D" localSheetId="17">#REF!</definedName>
    <definedName name="D">#REF!</definedName>
    <definedName name="DATA_APRESENTACAO_PROPOSTA" localSheetId="17">#REF!</definedName>
    <definedName name="DATA_APRESENTACAO_PROPOSTA">#REF!</definedName>
    <definedName name="DATA_BASE_CATEGORIA" localSheetId="17">#REF!</definedName>
    <definedName name="DATA_BASE_CATEGORIA">#REF!</definedName>
    <definedName name="DATA_DO_ORCAMENTO_ESTIMATIVO" localSheetId="17">#REF!</definedName>
    <definedName name="DATA_DO_ORCAMENTO_ESTIMATIVO">#REF!</definedName>
    <definedName name="DATA_LICITACAO" localSheetId="17">#REF!</definedName>
    <definedName name="DATA_LICITACAO">#REF!</definedName>
    <definedName name="DÇGDGJKDG">#REF!</definedName>
    <definedName name="DD" localSheetId="17">#REF!</definedName>
    <definedName name="DD">#REF!</definedName>
    <definedName name="DDD">#REF!</definedName>
    <definedName name="dddddddddddddddddddddd" localSheetId="17">#REF!</definedName>
    <definedName name="dddddddddddddddddddddd">#REF!</definedName>
    <definedName name="dedede">#REF!</definedName>
    <definedName name="Demanda2">#REF!</definedName>
    <definedName name="Demanda3">#REF!</definedName>
    <definedName name="DEMONSTRATIVO_DO_RESULTADO_GERENCIAL___DGR">#REF!</definedName>
    <definedName name="DemRes00" localSheetId="17">#REF!</definedName>
    <definedName name="DemRes00">#REF!</definedName>
    <definedName name="DemRes01" localSheetId="17">#REF!</definedName>
    <definedName name="DemRes01">#REF!</definedName>
    <definedName name="Desoneração">'[4]Parâmetros (não excluir)'!$F$1:$F$2</definedName>
    <definedName name="DEZA">#REF!</definedName>
    <definedName name="Df">#REF!</definedName>
    <definedName name="DFSFSDFS" localSheetId="17">#REF!</definedName>
    <definedName name="DFSFSDFS">#REF!</definedName>
    <definedName name="dia">#REF!</definedName>
    <definedName name="DIAS_AUSENCIAS_LEGAIS">'[2]DADOS-ESTATISTICOS'!$F$27</definedName>
    <definedName name="DIAS_LICENCA_MATERNIDADE">'[2]DADOS-ESTATISTICOS'!$F$33</definedName>
    <definedName name="DIAS_LICENCA_PATERNIDADE">'[2]DADOS-ESTATISTICOS'!$F$28</definedName>
    <definedName name="DIAS_NA_SEMANA">'[2]DADOS-ESTATISTICOS'!$F$5</definedName>
    <definedName name="DIAS_NO_ANO">"""""""dados-#REF!"""""""</definedName>
    <definedName name="DIAS_NO_MES">'[2]DADOS-ESTATISTICOS'!$F$22</definedName>
    <definedName name="DIAS_PAGOS_EMPRESA_ACID_TRAB">'[2]DADOS-ESTATISTICOS'!$F$32</definedName>
    <definedName name="DIAS_TRABALHADOS_NO_MES" localSheetId="17">#REF!</definedName>
    <definedName name="DIAS_TRABALHADOS_NO_MES">#REF!</definedName>
    <definedName name="DIAS_TRABALHADOS_NO_MES_12X36">!#REF!</definedName>
    <definedName name="DIAS_UTEIS_TRABALHADOS_NO_MES_44HORAS">!#REF!</definedName>
    <definedName name="DifBDI" localSheetId="17">#REF!</definedName>
    <definedName name="DifBDI">#REF!</definedName>
    <definedName name="DifBDI2" localSheetId="17">#REF!</definedName>
    <definedName name="DifBDI2">#REF!</definedName>
    <definedName name="discriminacao">#REF!</definedName>
    <definedName name="DIV01_" localSheetId="17">#REF!</definedName>
    <definedName name="DIV01_">#REF!</definedName>
    <definedName name="DIV02_" localSheetId="17">#REF!</definedName>
    <definedName name="DIV02_">#REF!</definedName>
    <definedName name="DIV03_" localSheetId="17">#REF!</definedName>
    <definedName name="DIV03_">#REF!</definedName>
    <definedName name="DIV04_" localSheetId="17">#REF!</definedName>
    <definedName name="DIV04_">#REF!</definedName>
    <definedName name="DIV05_" localSheetId="17">#REF!</definedName>
    <definedName name="DIV05_">#REF!</definedName>
    <definedName name="DIV05__" localSheetId="17">#REF!</definedName>
    <definedName name="DIV05__">#REF!</definedName>
    <definedName name="DIV06_" localSheetId="17">#REF!</definedName>
    <definedName name="DIV06_">#REF!</definedName>
    <definedName name="DIV06__" localSheetId="17">#REF!</definedName>
    <definedName name="DIV06__">#REF!</definedName>
    <definedName name="DIV07_" localSheetId="17">#REF!</definedName>
    <definedName name="DIV07_">#REF!</definedName>
    <definedName name="DIV07__" localSheetId="17">#REF!</definedName>
    <definedName name="DIV07__">#REF!</definedName>
    <definedName name="DIV08_" localSheetId="17">#REF!</definedName>
    <definedName name="DIV08_">#REF!</definedName>
    <definedName name="DIV08__" localSheetId="17">#REF!</definedName>
    <definedName name="DIV08__">#REF!</definedName>
    <definedName name="DIV09_" localSheetId="17">#REF!</definedName>
    <definedName name="DIV09_">#REF!</definedName>
    <definedName name="div09__" localSheetId="17">#REF!</definedName>
    <definedName name="div09__">#REF!</definedName>
    <definedName name="DIV10_" localSheetId="17">#REF!</definedName>
    <definedName name="DIV10_">#REF!</definedName>
    <definedName name="div10__" localSheetId="17">#REF!</definedName>
    <definedName name="div10__">#REF!</definedName>
    <definedName name="DIV10_C" localSheetId="17">#REF!</definedName>
    <definedName name="DIV10_C">#REF!</definedName>
    <definedName name="DIV11_" localSheetId="17">#REF!</definedName>
    <definedName name="DIV11_">#REF!</definedName>
    <definedName name="DIV12_" localSheetId="17">#REF!</definedName>
    <definedName name="DIV12_">#REF!</definedName>
    <definedName name="DIV13_" localSheetId="17">#REF!</definedName>
    <definedName name="DIV13_">#REF!</definedName>
    <definedName name="DIVISOR_DE_HORAS">'[2]DADOS-ESTATISTICOS'!$F$4</definedName>
    <definedName name="DNPM" localSheetId="17">#REF!</definedName>
    <definedName name="DNPM">#REF!</definedName>
    <definedName name="dsffs">#REF!</definedName>
    <definedName name="dtgf" localSheetId="17">#REF!</definedName>
    <definedName name="dtgf">#REF!</definedName>
    <definedName name="DURAÇÃO_DO_CONTRATO">[5]FAP!$BJ$18+[5]FAP!$U$14</definedName>
    <definedName name="DVM10_COMP" localSheetId="17">#REF!</definedName>
    <definedName name="DVM10_COMP">#REF!</definedName>
    <definedName name="E" localSheetId="17">#REF!</definedName>
    <definedName name="E">#REF!</definedName>
    <definedName name="EE">#REF!</definedName>
    <definedName name="EEE">#REF!</definedName>
    <definedName name="EMPREG_POR_POSTO">'[2]INSERÇÃO-DE-DADOS (ISS 5%)'!$E$19</definedName>
    <definedName name="EMPREG_POR_POSTO_12X36_DIU">!#REF!</definedName>
    <definedName name="EMPREG_POR_POSTO_12X36_NOT">!#REF!</definedName>
    <definedName name="EMPREG_POR_POSTO_44H">!#REF!</definedName>
    <definedName name="encargos">#REF!</definedName>
    <definedName name="ENCARREGADO_DE_LIMPEZA" localSheetId="17">#REF!</definedName>
    <definedName name="ENCARREGADO_DE_LIMPEZA">#REF!</definedName>
    <definedName name="EPI">#REF!</definedName>
    <definedName name="Equi">#REF!</definedName>
    <definedName name="Equipamento">#REF!</definedName>
    <definedName name="EQUIPAMENTO_POSTO">!#REF!</definedName>
    <definedName name="EQUIPAMENTOS" localSheetId="17">#REF!</definedName>
    <definedName name="EQUIPAMENTOS">#REF!</definedName>
    <definedName name="ESC01_" localSheetId="17">#REF!</definedName>
    <definedName name="ESC01_">#REF!</definedName>
    <definedName name="ESC02_" localSheetId="17">#REF!</definedName>
    <definedName name="ESC02_">#REF!</definedName>
    <definedName name="ESC03_" localSheetId="17">#REF!</definedName>
    <definedName name="ESC03_">#REF!</definedName>
    <definedName name="Escala_Oficial">#REF!</definedName>
    <definedName name="ESP">OFFSET([6]Composições!$F$7,0,0,COUNTA([6]Composições!$F:$F),1)</definedName>
    <definedName name="EST01_" localSheetId="17">#REF!</definedName>
    <definedName name="EST01_">#REF!</definedName>
    <definedName name="EST02_" localSheetId="17">#REF!</definedName>
    <definedName name="EST02_">#REF!</definedName>
    <definedName name="EST02_C" localSheetId="17">#REF!</definedName>
    <definedName name="EST02_C">#REF!</definedName>
    <definedName name="EST02_COMP" localSheetId="17">#REF!</definedName>
    <definedName name="EST02_COMP">#REF!</definedName>
    <definedName name="EST03_" localSheetId="17">#REF!</definedName>
    <definedName name="EST03_">#REF!</definedName>
    <definedName name="EST04_" localSheetId="17">#REF!</definedName>
    <definedName name="EST04_">#REF!</definedName>
    <definedName name="EST05_" localSheetId="17">#REF!</definedName>
    <definedName name="EST05_">#REF!</definedName>
    <definedName name="Esta">#REF!</definedName>
    <definedName name="Excel_BuiltIn_Criteria">#REF!</definedName>
    <definedName name="Excel_BuiltIn_Database">#REF!</definedName>
    <definedName name="Excel_BuiltIn_Extract">#REF!</definedName>
    <definedName name="Excel_BuiltIn_Print_Area" localSheetId="17">#REF!</definedName>
    <definedName name="Excel_BuiltIn_Print_Area">#REF!</definedName>
    <definedName name="Excel_BuiltIn_Print_Area_1" localSheetId="17">#REF!</definedName>
    <definedName name="Excel_BuiltIn_Print_Area_1">#REF!</definedName>
    <definedName name="Excel_BuiltIn_Print_Area_1_1" localSheetId="17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2">#N/A</definedName>
    <definedName name="Excel_BuiltIn_Print_Area_10_1">#REF!</definedName>
    <definedName name="Excel_BuiltIn_Print_Area_11_1">#REF!</definedName>
    <definedName name="Excel_BuiltIn_Print_Area_12_1">#REF!</definedName>
    <definedName name="Excel_BuiltIn_Print_Area_13_1">#REF!</definedName>
    <definedName name="Excel_BuiltIn_Print_Area_14_1">#REF!</definedName>
    <definedName name="Excel_BuiltIn_Print_Area_15_1">#REF!</definedName>
    <definedName name="Excel_BuiltIn_Print_Area_2" localSheetId="17">#REF!</definedName>
    <definedName name="Excel_BuiltIn_Print_Area_2">#REF!</definedName>
    <definedName name="Excel_BuiltIn_Print_Area_2_2">#N/A</definedName>
    <definedName name="Excel_BuiltIn_Print_Area_21_1">#REF!</definedName>
    <definedName name="Excel_BuiltIn_Print_Area_23_1">#REF!</definedName>
    <definedName name="Excel_BuiltIn_Print_Area_3" localSheetId="17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4_1">#REF!</definedName>
    <definedName name="Excel_BuiltIn_Print_Area_41">#REF!</definedName>
    <definedName name="Excel_BuiltIn_Print_Area_6" localSheetId="17">#REF!</definedName>
    <definedName name="Excel_BuiltIn_Print_Area_6">#REF!</definedName>
    <definedName name="Excel_BuiltIn_Print_Area_6_1">#REF!</definedName>
    <definedName name="Excel_BuiltIn_Print_Area_7_1">#REF!</definedName>
    <definedName name="Excel_BuiltIn_Print_Area_8_1">#REF!</definedName>
    <definedName name="Excel_BuiltIn_Print_Area_9_1">#REF!</definedName>
    <definedName name="Excel_BuiltIn_Print_Titles_1_1">#REF!</definedName>
    <definedName name="Excel_BuiltIn_Print_Titles_1_1_1">#REF!</definedName>
    <definedName name="Excel_BuiltIn_Print_Titles_13_1">#REF!</definedName>
    <definedName name="Excel_BuiltIn_Print_Titles_14_1">#REF!</definedName>
    <definedName name="Excel_BuiltIn_Print_Titles_14_1_1">#REF!</definedName>
    <definedName name="Excel_BuiltIn_Print_Titles_15_1">#REF!</definedName>
    <definedName name="Excel_BuiltIn_Print_Titles_15_1_1">#REF!</definedName>
    <definedName name="Excel_BuiltIn_Print_Titles_15_1_1_1">#REF!</definedName>
    <definedName name="Excel_BuiltIn_Print_Titles_16_1">#REF!</definedName>
    <definedName name="Excel_BuiltIn_Print_Titles_16_1_1">#REF!</definedName>
    <definedName name="Excel_BuiltIn_Print_Titles_17_1">#REF!</definedName>
    <definedName name="Excel_BuiltIn_Print_Titles_17_1_1">#REF!</definedName>
    <definedName name="Excel_BuiltIn_Print_Titles_17_1_1_1_1">#REF!</definedName>
    <definedName name="Excel_BuiltIn_Print_Titles_18_1_1">#REF!</definedName>
    <definedName name="Excel_BuiltIn_Print_Titles_18_1_1_1">#REF!</definedName>
    <definedName name="Excel_BuiltIn_Print_Titles_19_1">#REF!</definedName>
    <definedName name="Excel_BuiltIn_Print_Titles_19_1_1">#REF!</definedName>
    <definedName name="Excel_BuiltIn_Print_Titles_19_1_1_1">#REF!</definedName>
    <definedName name="Excel_BuiltIn_Print_Titles_2_1">#REF!</definedName>
    <definedName name="Excel_BuiltIn_Print_Titles_20_1">#REF!</definedName>
    <definedName name="Excel_BuiltIn_Print_Titles_20_1_1">#REF!</definedName>
    <definedName name="Excel_BuiltIn_Print_Titles_21_1">#REF!</definedName>
    <definedName name="Excel_BuiltIn_Print_Titles_21_1_1">#REF!</definedName>
    <definedName name="Excel_BuiltIn_Print_Titles_21_1_1_1">#REF!</definedName>
    <definedName name="Excel_BuiltIn_Print_Titles_6_1">#REF!</definedName>
    <definedName name="Excel_BuiltIn_Print_Titles_7_1">#REF!</definedName>
    <definedName name="Excel_BuiltIn_Print_Titles_8">#REF!</definedName>
    <definedName name="Excel_um">#REF!</definedName>
    <definedName name="execucao">#REF!</definedName>
    <definedName name="F" localSheetId="17">#REF!</definedName>
    <definedName name="F">#REF!</definedName>
    <definedName name="FACHADA">#REF!</definedName>
    <definedName name="Fator" localSheetId="17">#REF!</definedName>
    <definedName name="Fator">#REF!</definedName>
    <definedName name="Fd">#REF!</definedName>
    <definedName name="fdff">#REF!</definedName>
    <definedName name="fdkewfjnewfnew">#REF!</definedName>
    <definedName name="FEVA">#REF!</definedName>
    <definedName name="FF">#REF!</definedName>
    <definedName name="FFF">#REF!</definedName>
    <definedName name="FluCai00" localSheetId="17">#REF!</definedName>
    <definedName name="FluCai00">#REF!</definedName>
    <definedName name="FluCai01" localSheetId="17">#REF!</definedName>
    <definedName name="FluCai01">#REF!</definedName>
    <definedName name="fonte_cod">#REF!</definedName>
    <definedName name="FR01_" localSheetId="17">#REF!</definedName>
    <definedName name="FR01_">#REF!</definedName>
    <definedName name="FR02_" localSheetId="17">#REF!</definedName>
    <definedName name="FR02_">#REF!</definedName>
    <definedName name="FR03_" localSheetId="17">#REF!</definedName>
    <definedName name="FR03_">#REF!</definedName>
    <definedName name="FR04_" localSheetId="17">#REF!</definedName>
    <definedName name="FR04_">#REF!</definedName>
    <definedName name="FR05_" localSheetId="17">#REF!</definedName>
    <definedName name="FR05_">#REF!</definedName>
    <definedName name="FR06_" localSheetId="17">#REF!</definedName>
    <definedName name="FR06_">#REF!</definedName>
    <definedName name="FREQ_ESQ_EXTERNA" localSheetId="17">#REF!</definedName>
    <definedName name="FREQ_ESQ_EXTERNA">#REF!</definedName>
    <definedName name="FREQ_FACHADA_ENVID" localSheetId="17">#REF!</definedName>
    <definedName name="FREQ_FACHADA_ENVID">#REF!</definedName>
    <definedName name="FTHRTGJHG" localSheetId="17">#REF!</definedName>
    <definedName name="FTHRTGJHG">#REF!</definedName>
    <definedName name="Funções" localSheetId="17">#REF!</definedName>
    <definedName name="Funções">#REF!</definedName>
    <definedName name="G" localSheetId="17">#REF!</definedName>
    <definedName name="G">#REF!</definedName>
    <definedName name="gchxfg">#REF!</definedName>
    <definedName name="GG">#REF!</definedName>
    <definedName name="GGG">#REF!</definedName>
    <definedName name="gkghkj" localSheetId="17">#REF!</definedName>
    <definedName name="gkghkj">#REF!</definedName>
    <definedName name="GSH">[7]GSH!$D$6</definedName>
    <definedName name="guo">#REF!</definedName>
    <definedName name="HH">#REF!</definedName>
    <definedName name="HHH">#REF!</definedName>
    <definedName name="hhhhh" localSheetId="17">#REF!</definedName>
    <definedName name="hhhhh">#REF!</definedName>
    <definedName name="Higiene2">#REF!</definedName>
    <definedName name="HORA_NORMAL">'[2]DADOS-ESTATISTICOS'!$F$9</definedName>
    <definedName name="HORA_NOTURNA">'[2]DADOS-ESTATISTICOS'!$F$10</definedName>
    <definedName name="HORARIO_LICITACAO" localSheetId="17">#REF!</definedName>
    <definedName name="HORARIO_LICITACAO">#REF!</definedName>
    <definedName name="i">#REF!</definedName>
    <definedName name="I__">#REF!</definedName>
    <definedName name="ICMS">'[3]2. Param Gerais'!$C$32</definedName>
    <definedName name="II">#REF!</definedName>
    <definedName name="III">#REF!</definedName>
    <definedName name="IIIIII" localSheetId="17">#REF!</definedName>
    <definedName name="IIIIII">#REF!</definedName>
    <definedName name="Im">#REF!</definedName>
    <definedName name="IMP01_" localSheetId="17">#REF!</definedName>
    <definedName name="IMP01_">#REF!</definedName>
    <definedName name="IMP01__" localSheetId="17">#REF!</definedName>
    <definedName name="IMP01__">#REF!</definedName>
    <definedName name="IMP02_" localSheetId="17">#REF!</definedName>
    <definedName name="IMP02_">#REF!</definedName>
    <definedName name="IMP03_" localSheetId="17">#REF!</definedName>
    <definedName name="IMP03_">#REF!</definedName>
    <definedName name="IMP03_COMP" localSheetId="17">#REF!</definedName>
    <definedName name="IMP03_COMP">#REF!</definedName>
    <definedName name="Impostoiss">'[3]2. Param Gerais'!$C$30</definedName>
    <definedName name="INSS_2025">[1]SALÁRIOS!$K$14</definedName>
    <definedName name="INSS_2026">[1]SALÁRIOS!$L$14</definedName>
    <definedName name="INSS_2027">[1]SALÁRIOS!$M$14</definedName>
    <definedName name="INSS_2028">[1]SALÁRIOS!$N$14</definedName>
    <definedName name="INSUMO" localSheetId="17">#REF!</definedName>
    <definedName name="INSUMO">#REF!</definedName>
    <definedName name="Io">#REF!</definedName>
    <definedName name="ipi" localSheetId="17">#REF!</definedName>
    <definedName name="ipi">#REF!</definedName>
    <definedName name="ISS" localSheetId="7">#REF!</definedName>
    <definedName name="ISS" localSheetId="17">#REF!</definedName>
    <definedName name="ISS" localSheetId="6">#REF!</definedName>
    <definedName name="ISS">#REF!</definedName>
    <definedName name="ISSS" localSheetId="17">#REF!</definedName>
    <definedName name="ISSS">#REF!</definedName>
    <definedName name="IT">#REF!</definedName>
    <definedName name="ITEM" localSheetId="17">#REF!</definedName>
    <definedName name="ITEM">#REF!</definedName>
    <definedName name="item1.1">#REF!</definedName>
    <definedName name="item1.2">#REF!</definedName>
    <definedName name="item1.3">#REF!</definedName>
    <definedName name="item1.4">#REF!</definedName>
    <definedName name="item1.5">#REF!</definedName>
    <definedName name="item1.6">#REF!</definedName>
    <definedName name="item10.1">#REF!</definedName>
    <definedName name="item10.10">#REF!</definedName>
    <definedName name="item10.11">#REF!</definedName>
    <definedName name="item10.12">#REF!</definedName>
    <definedName name="item10.13">#REF!</definedName>
    <definedName name="item10.14">#REF!</definedName>
    <definedName name="item10.15">#REF!</definedName>
    <definedName name="item10.16">#REF!</definedName>
    <definedName name="item10.17">#REF!</definedName>
    <definedName name="item10.18">#REF!</definedName>
    <definedName name="item10.19">#REF!</definedName>
    <definedName name="item10.2">#REF!</definedName>
    <definedName name="item10.3">#REF!</definedName>
    <definedName name="item10.4">#REF!</definedName>
    <definedName name="item10.5">#REF!</definedName>
    <definedName name="item10.6">#REF!</definedName>
    <definedName name="item10.7">#REF!</definedName>
    <definedName name="item10.8">#REF!</definedName>
    <definedName name="item10.9">#REF!</definedName>
    <definedName name="item11.1">#REF!</definedName>
    <definedName name="item11.10">#REF!</definedName>
    <definedName name="item11.11">#REF!</definedName>
    <definedName name="item11.12">#REF!</definedName>
    <definedName name="item11.13">#REF!</definedName>
    <definedName name="item11.14">#REF!</definedName>
    <definedName name="item11.15">#REF!</definedName>
    <definedName name="item11.16">#REF!</definedName>
    <definedName name="item11.17">#REF!</definedName>
    <definedName name="item11.18">#REF!</definedName>
    <definedName name="item11.19">#REF!</definedName>
    <definedName name="item11.2">#REF!</definedName>
    <definedName name="item11.20">#REF!</definedName>
    <definedName name="item11.21">#REF!</definedName>
    <definedName name="item11.22">#REF!</definedName>
    <definedName name="item11.23">#REF!</definedName>
    <definedName name="item11.24">#REF!</definedName>
    <definedName name="item11.25">#REF!</definedName>
    <definedName name="item11.26">#REF!</definedName>
    <definedName name="item11.27">#REF!</definedName>
    <definedName name="item11.28">#REF!</definedName>
    <definedName name="item11.3">#REF!</definedName>
    <definedName name="item11.4">#REF!</definedName>
    <definedName name="item11.5">#REF!</definedName>
    <definedName name="item11.6">#REF!</definedName>
    <definedName name="item11.7">#REF!</definedName>
    <definedName name="item11.8">#REF!</definedName>
    <definedName name="item11.9">#REF!</definedName>
    <definedName name="item12.1">#REF!</definedName>
    <definedName name="item12.10">#REF!</definedName>
    <definedName name="item12.11">#REF!</definedName>
    <definedName name="item12.12">#REF!</definedName>
    <definedName name="item12.13">#REF!</definedName>
    <definedName name="item12.14">#REF!</definedName>
    <definedName name="item12.15">#REF!</definedName>
    <definedName name="item12.16">#REF!</definedName>
    <definedName name="item12.17">#REF!</definedName>
    <definedName name="item12.18">#REF!</definedName>
    <definedName name="item12.19">#REF!</definedName>
    <definedName name="item12.2">#REF!</definedName>
    <definedName name="item12.20">#REF!</definedName>
    <definedName name="item12.21">#REF!</definedName>
    <definedName name="item12.22">#REF!</definedName>
    <definedName name="item12.23">#REF!</definedName>
    <definedName name="item12.24">#REF!</definedName>
    <definedName name="item12.25">#REF!</definedName>
    <definedName name="item12.26">#REF!</definedName>
    <definedName name="item12.27">#REF!</definedName>
    <definedName name="item12.3">#REF!</definedName>
    <definedName name="item12.4">#REF!</definedName>
    <definedName name="item12.5">#REF!</definedName>
    <definedName name="item12.6">#REF!</definedName>
    <definedName name="item12.7">#REF!</definedName>
    <definedName name="item12.8">#REF!</definedName>
    <definedName name="item12.9">#REF!</definedName>
    <definedName name="item13.1">#REF!</definedName>
    <definedName name="item13.10">#REF!</definedName>
    <definedName name="item13.11">#REF!</definedName>
    <definedName name="item13.12">#REF!</definedName>
    <definedName name="item13.13">#REF!</definedName>
    <definedName name="item13.2">#REF!</definedName>
    <definedName name="item13.3">#REF!</definedName>
    <definedName name="item13.4">#REF!</definedName>
    <definedName name="item13.5">#REF!</definedName>
    <definedName name="item13.6">#REF!</definedName>
    <definedName name="item13.7">#REF!</definedName>
    <definedName name="item13.8">#REF!</definedName>
    <definedName name="item13.9">#REF!</definedName>
    <definedName name="item14.1">#REF!</definedName>
    <definedName name="item14.2">#REF!</definedName>
    <definedName name="item14.3">#REF!</definedName>
    <definedName name="item14.4">#REF!</definedName>
    <definedName name="item14.5">#REF!</definedName>
    <definedName name="item14.6">#REF!</definedName>
    <definedName name="item15.1">#REF!</definedName>
    <definedName name="item15.10">#REF!</definedName>
    <definedName name="item15.11">#REF!</definedName>
    <definedName name="item15.12">#REF!</definedName>
    <definedName name="item15.13">#REF!</definedName>
    <definedName name="item15.2">#REF!</definedName>
    <definedName name="item15.3">#REF!</definedName>
    <definedName name="item15.4">#REF!</definedName>
    <definedName name="item15.5">#REF!</definedName>
    <definedName name="item15.6">#REF!</definedName>
    <definedName name="item15.7">#REF!</definedName>
    <definedName name="item15.8">#REF!</definedName>
    <definedName name="item15.9">#REF!</definedName>
    <definedName name="item2.1">#REF!</definedName>
    <definedName name="item2.10">#REF!</definedName>
    <definedName name="item2.11">#REF!</definedName>
    <definedName name="item2.12">#REF!</definedName>
    <definedName name="item2.13">#REF!</definedName>
    <definedName name="item2.14">#REF!</definedName>
    <definedName name="item2.15">#REF!</definedName>
    <definedName name="item2.16">#REF!</definedName>
    <definedName name="item2.17">#REF!</definedName>
    <definedName name="item2.18">#REF!</definedName>
    <definedName name="item2.19">#REF!</definedName>
    <definedName name="item2.2">#REF!</definedName>
    <definedName name="item2.20">#REF!</definedName>
    <definedName name="item2.21">#REF!</definedName>
    <definedName name="item2.22">#REF!</definedName>
    <definedName name="item2.23">#REF!</definedName>
    <definedName name="item2.24">#REF!</definedName>
    <definedName name="item2.25">#REF!</definedName>
    <definedName name="item2.26">#REF!</definedName>
    <definedName name="item2.27">#REF!</definedName>
    <definedName name="item2.3">#REF!</definedName>
    <definedName name="item2.4">#REF!</definedName>
    <definedName name="item2.5">#REF!</definedName>
    <definedName name="item2.6">#REF!</definedName>
    <definedName name="item2.7">#REF!</definedName>
    <definedName name="item2.8">#REF!</definedName>
    <definedName name="item2.9">#REF!</definedName>
    <definedName name="item3.1">#REF!</definedName>
    <definedName name="item3.2">#REF!</definedName>
    <definedName name="item3.3">#REF!</definedName>
    <definedName name="item4.1">#REF!</definedName>
    <definedName name="item4.2">#REF!</definedName>
    <definedName name="item4.3">#REF!</definedName>
    <definedName name="item4.4">#REF!</definedName>
    <definedName name="item4.5">#REF!</definedName>
    <definedName name="item4.6">#REF!</definedName>
    <definedName name="item4.7">#REF!</definedName>
    <definedName name="item5.1">#REF!</definedName>
    <definedName name="item5.2">#REF!</definedName>
    <definedName name="item5.3">#REF!</definedName>
    <definedName name="item5.4">#REF!</definedName>
    <definedName name="item5.5">#REF!</definedName>
    <definedName name="item5.6">#REF!</definedName>
    <definedName name="item5.7">#REF!</definedName>
    <definedName name="item6.1">#REF!</definedName>
    <definedName name="item6.2">#REF!</definedName>
    <definedName name="item6.3">#REF!</definedName>
    <definedName name="item6.4">#REF!</definedName>
    <definedName name="item6.5">#REF!</definedName>
    <definedName name="item7.1">#REF!</definedName>
    <definedName name="item7.10">#REF!</definedName>
    <definedName name="item7.11">#REF!</definedName>
    <definedName name="item7.12">#REF!</definedName>
    <definedName name="item7.13">#REF!</definedName>
    <definedName name="item7.14">#REF!</definedName>
    <definedName name="item7.15">#REF!</definedName>
    <definedName name="item7.16">#REF!</definedName>
    <definedName name="item7.17">#REF!</definedName>
    <definedName name="item7.18">#REF!</definedName>
    <definedName name="item7.19">#REF!</definedName>
    <definedName name="item7.2">#REF!</definedName>
    <definedName name="item7.3">#REF!</definedName>
    <definedName name="item7.4">#REF!</definedName>
    <definedName name="item7.5">#REF!</definedName>
    <definedName name="item7.6">#REF!</definedName>
    <definedName name="item7.7">#REF!</definedName>
    <definedName name="item7.8">#REF!</definedName>
    <definedName name="item7.9">#REF!</definedName>
    <definedName name="item8.1">#REF!</definedName>
    <definedName name="item8.2">#REF!</definedName>
    <definedName name="item8.3">#REF!</definedName>
    <definedName name="item8.4">#REF!</definedName>
    <definedName name="item8.5">#REF!</definedName>
    <definedName name="item8.6">#REF!</definedName>
    <definedName name="item9.1">#REF!</definedName>
    <definedName name="item9.2">#REF!</definedName>
    <definedName name="item9.3">#REF!</definedName>
    <definedName name="item9.4">#REF!</definedName>
    <definedName name="item9.5">#REF!</definedName>
    <definedName name="item9.6">#REF!</definedName>
    <definedName name="item9.7">#REF!</definedName>
    <definedName name="item9.8">#REF!</definedName>
    <definedName name="item9.9">#REF!</definedName>
    <definedName name="itm10.2">#REF!</definedName>
    <definedName name="Jan_94" localSheetId="17">#REF!</definedName>
    <definedName name="Jan_94">#REF!</definedName>
    <definedName name="JANA">#REF!</definedName>
    <definedName name="Jardineiro" localSheetId="17">#REF!</definedName>
    <definedName name="Jardineiro">#REF!</definedName>
    <definedName name="Jd">#REF!</definedName>
    <definedName name="JJ">#REF!</definedName>
    <definedName name="JJJ">#REF!</definedName>
    <definedName name="Jm">#REF!</definedName>
    <definedName name="JORNADA_MES_ESQ_EXTERNA_ENC" localSheetId="17">#REF!</definedName>
    <definedName name="JORNADA_MES_ESQ_EXTERNA_ENC">#REF!</definedName>
    <definedName name="JORNADA_MES_ESQ_EXTERNA_SERV" localSheetId="17">#REF!</definedName>
    <definedName name="JORNADA_MES_ESQ_EXTERNA_SERV">#REF!</definedName>
    <definedName name="JORNADA_MES_FACHADA_ENVID_ENC" localSheetId="17">#REF!</definedName>
    <definedName name="JORNADA_MES_FACHADA_ENVID_ENC">#REF!</definedName>
    <definedName name="JORNADA_MES_FACHADA_ENVID_SERV" localSheetId="17">#REF!</definedName>
    <definedName name="JORNADA_MES_FACHADA_ENVID_SERV">#REF!</definedName>
    <definedName name="jujujujuju">#REF!</definedName>
    <definedName name="JULA">#REF!</definedName>
    <definedName name="JUNA">#REF!</definedName>
    <definedName name="Juro00" localSheetId="17">#REF!</definedName>
    <definedName name="Juro00">#REF!</definedName>
    <definedName name="jurus_internos">[5]Parâmetros!$D$7:$H$12</definedName>
    <definedName name="jyfrmujyrm">#REF!</definedName>
    <definedName name="k" localSheetId="17">#REF!</definedName>
    <definedName name="k">#REF!</definedName>
    <definedName name="KKK">#REF!</definedName>
    <definedName name="kl" localSheetId="17">#REF!</definedName>
    <definedName name="kl">#REF!</definedName>
    <definedName name="kmat">#REF!</definedName>
    <definedName name="KSERV">#REF!</definedName>
    <definedName name="leasing">[5]Parâmetros!$D$7:$H$10</definedName>
    <definedName name="Li">#REF!</definedName>
    <definedName name="Limpeza">#REF!</definedName>
    <definedName name="Limpeza2">#REF!</definedName>
    <definedName name="lista1">#REF!</definedName>
    <definedName name="lista2">#REF!</definedName>
    <definedName name="ll">#REF!</definedName>
    <definedName name="LLL">#REF!</definedName>
    <definedName name="LOCAL_DE_EXECUCAO" localSheetId="17">#REF!</definedName>
    <definedName name="LOCAL_DE_EXECUCAO">#REF!</definedName>
    <definedName name="LP01_" localSheetId="17">#REF!</definedName>
    <definedName name="LP01_">#REF!</definedName>
    <definedName name="Lucro">#REF!</definedName>
    <definedName name="m">#REF!</definedName>
    <definedName name="MAIA">#REF!</definedName>
    <definedName name="MARA">#REF!</definedName>
    <definedName name="MargemContribuicao">'[3]2. Param Gerais'!$I$15</definedName>
    <definedName name="MATERIAIS" localSheetId="17">#REF!</definedName>
    <definedName name="MATERIAIS">#REF!</definedName>
    <definedName name="mciedzhjigf" localSheetId="17">#REF!</definedName>
    <definedName name="mciedzhjigf">#REF!</definedName>
    <definedName name="MEDIA_ANUAL_DIAS_TRABALHO_MES">'[2]DADOS-ESTATISTICOS'!$F$7</definedName>
    <definedName name="MENOS" localSheetId="17">#REF!</definedName>
    <definedName name="MENOS">#REF!</definedName>
    <definedName name="MESES_NO_ANO">'[2]DADOS-ESTATISTICOS'!$F$8</definedName>
    <definedName name="MG">#REF!</definedName>
    <definedName name="MG01_" localSheetId="17">#REF!</definedName>
    <definedName name="MG01_">#REF!</definedName>
    <definedName name="mg01__" localSheetId="17">#REF!</definedName>
    <definedName name="mg01__">#REF!</definedName>
    <definedName name="MG01_C" localSheetId="17">#REF!</definedName>
    <definedName name="MG01_C">#REF!</definedName>
    <definedName name="MG02_" localSheetId="17">#REF!</definedName>
    <definedName name="MG02_">#REF!</definedName>
    <definedName name="mg02__" localSheetId="17">#REF!</definedName>
    <definedName name="mg02__">#REF!</definedName>
    <definedName name="MG03_" localSheetId="17">#REF!</definedName>
    <definedName name="MG03_">#REF!</definedName>
    <definedName name="mg03__" localSheetId="17">#REF!</definedName>
    <definedName name="mg03__">#REF!</definedName>
    <definedName name="MG03_C" localSheetId="17">#REF!</definedName>
    <definedName name="MG03_C">#REF!</definedName>
    <definedName name="MG04_" localSheetId="17">#REF!</definedName>
    <definedName name="MG04_">#REF!</definedName>
    <definedName name="mg04__" localSheetId="17">#REF!</definedName>
    <definedName name="mg04__">#REF!</definedName>
    <definedName name="MG05_" localSheetId="17">#REF!</definedName>
    <definedName name="MG05_">#REF!</definedName>
    <definedName name="mg05__" localSheetId="17">#REF!</definedName>
    <definedName name="mg05__">#REF!</definedName>
    <definedName name="MG06_" localSheetId="17">#REF!</definedName>
    <definedName name="MG06_">#REF!</definedName>
    <definedName name="mg06__" localSheetId="17">#REF!</definedName>
    <definedName name="mg06__">#REF!</definedName>
    <definedName name="MG07_" localSheetId="17">#REF!</definedName>
    <definedName name="MG07_">#REF!</definedName>
    <definedName name="mg07__" localSheetId="17">#REF!</definedName>
    <definedName name="mg07__">#REF!</definedName>
    <definedName name="MM">#REF!</definedName>
    <definedName name="MMM">#REF!</definedName>
    <definedName name="MMMMMMMMMMMMMMMM" localSheetId="17">#REF!</definedName>
    <definedName name="MMMMMMMMMMMMMMMM">#REF!</definedName>
    <definedName name="MOD_1_REMUNERACAO_12X36_DIU">!#REF!</definedName>
    <definedName name="MOD_1_REMUNERACAO_12X36_NOT">!#REF!</definedName>
    <definedName name="MOD_1_REMUNERACAO_44H">!#REF!</definedName>
    <definedName name="MOD_2_ENCARGOS_BENEFICIOS_12X36_DIU">"""""""""""""""#REF!+#REF!+#REF!"""""""""""""""</definedName>
    <definedName name="MOD_2_ENCARGOS_BENEFICIOS_12X36_NOT">"""""""""""""""#REF!+#REF!+#REF!"""""""""""""""</definedName>
    <definedName name="MOD_2_ENCARGOS_BENEFICIOS_44H">"""""""""""""""#REF!+#REF!+#REF!"""""""""""""""</definedName>
    <definedName name="MOD_3_PROVISAO_RESCISAO_12X36_DIU">!#REF!</definedName>
    <definedName name="MOD_3_PROVISAO_RESCISAO_12X36_NOT">!#REF!</definedName>
    <definedName name="MOD_3_PROVISAO_RESCISAO_44H">!#REF!</definedName>
    <definedName name="MOD_4_CUSTO_REPOSICAO_12X36_DIU">"""""""""""""""#REF!+#REF!"""""""""""""""</definedName>
    <definedName name="MOD_4_CUSTO_REPOSICAO_12X36_NOT">"""""""""""""""#REF!+#REF!"""""""""""""""</definedName>
    <definedName name="MOD_4_CUSTO_REPOSICAO_44H">"""""""""""""""#REF!+#REF!"""""""""""""""</definedName>
    <definedName name="MOD_5_INSUMOS_12X36_DIU">!#REF!</definedName>
    <definedName name="MOD_5_INSUMOS_12X36_NOT">!#REF!</definedName>
    <definedName name="MOD_5_INSUMOS_44H">!#REF!</definedName>
    <definedName name="MOD_6_CUSTOS_IND_LUCRO_TRIB_12X36_DIU">!#REF!</definedName>
    <definedName name="MOD_6_CUSTOS_IND_LUCRO_TRIB_12X36_NOT">!#REF!</definedName>
    <definedName name="MOD_6_CUSTOS_IND_LUCRO_TRIB_44H">!#REF!</definedName>
    <definedName name="MODALIDADE_DE_LICITACAO" localSheetId="17">#REF!</definedName>
    <definedName name="MODALIDADE_DE_LICITACAO">#REF!</definedName>
    <definedName name="modulo_2.1">#REF!</definedName>
    <definedName name="modulo_4.1_Férias">#REF!</definedName>
    <definedName name="Motos" localSheetId="17">#REF!</definedName>
    <definedName name="Motos">#REF!</definedName>
    <definedName name="Multiplicador" localSheetId="17">#REF!</definedName>
    <definedName name="Multiplicador">#REF!</definedName>
    <definedName name="n" localSheetId="17">#REF!</definedName>
    <definedName name="n">#REF!</definedName>
    <definedName name="nlç" localSheetId="17">#REF!</definedName>
    <definedName name="nlç">#REF!</definedName>
    <definedName name="NN">#REF!</definedName>
    <definedName name="NNN">#REF!</definedName>
    <definedName name="nnnnn" localSheetId="17">#REF!</definedName>
    <definedName name="nnnnn">#REF!</definedName>
    <definedName name="no">#REF!</definedName>
    <definedName name="nome">#REF!</definedName>
    <definedName name="NOVA">#REF!</definedName>
    <definedName name="Nova.proposta">#REF!</definedName>
    <definedName name="NUMERO_MESES_EXEC_CONTRATUAL" localSheetId="17">#REF!</definedName>
    <definedName name="NUMERO_MESES_EXEC_CONTRATUAL">#REF!</definedName>
    <definedName name="NUMERO_PREGAO" localSheetId="17">#REF!</definedName>
    <definedName name="NUMERO_PREGAO">#REF!</definedName>
    <definedName name="NUMERO_PROCESSO" localSheetId="17">#REF!</definedName>
    <definedName name="NUMERO_PROCESSO">#REF!</definedName>
    <definedName name="o" localSheetId="17">#REF!</definedName>
    <definedName name="o">#REF!</definedName>
    <definedName name="ODONTO_SINDISERVIÇOS">[1]SALÁRIOS!$L$4</definedName>
    <definedName name="ODONTO_SISDF">[1]SALÁRIOS!$L$8</definedName>
    <definedName name="OK" localSheetId="17">#REF!</definedName>
    <definedName name="OK">#REF!</definedName>
    <definedName name="okk" localSheetId="17">#REF!</definedName>
    <definedName name="okk">#REF!</definedName>
    <definedName name="okodkok" localSheetId="17">#REF!</definedName>
    <definedName name="okodkok">#REF!</definedName>
    <definedName name="okok">#REF!</definedName>
    <definedName name="OO">#REF!</definedName>
    <definedName name="OOO">#REF!</definedName>
    <definedName name="OUTA">#REF!</definedName>
    <definedName name="OUTRAS_AUSENCIAS" localSheetId="17">#REF!</definedName>
    <definedName name="OUTRAS_AUSENCIAS">#REF!</definedName>
    <definedName name="OUTRAS_AUSENCIAS_DESCRICAO" localSheetId="17">#REF!</definedName>
    <definedName name="OUTRAS_AUSENCIAS_DESCRICAO">#REF!</definedName>
    <definedName name="OUTROS_BENEFICIOS_1" localSheetId="17">#REF!</definedName>
    <definedName name="OUTROS_BENEFICIOS_1">#REF!</definedName>
    <definedName name="OUTROS_BENEFICIOS_1_DESCRICAO" localSheetId="17">#REF!</definedName>
    <definedName name="OUTROS_BENEFICIOS_1_DESCRICAO">#REF!</definedName>
    <definedName name="OUTROS_BENEFICIOS_2" localSheetId="17">#REF!</definedName>
    <definedName name="OUTROS_BENEFICIOS_2">#REF!</definedName>
    <definedName name="OUTROS_BENEFICIOS_2_DESCRICAO" localSheetId="17">#REF!</definedName>
    <definedName name="OUTROS_BENEFICIOS_2_DESCRICAO">#REF!</definedName>
    <definedName name="OUTROS_BENEFICIOS_3" localSheetId="17">#REF!</definedName>
    <definedName name="OUTROS_BENEFICIOS_3">#REF!</definedName>
    <definedName name="OUTROS_BENEFICIOS_3_DESCRICAO" localSheetId="17">#REF!</definedName>
    <definedName name="OUTROS_BENEFICIOS_3_DESCRICAO">#REF!</definedName>
    <definedName name="OUTROS_INSUMOS" localSheetId="17">#REF!</definedName>
    <definedName name="OUTROS_INSUMOS">#REF!</definedName>
    <definedName name="OUTROS_INSUMOS_DESCRICAO" localSheetId="17">#REF!</definedName>
    <definedName name="OUTROS_INSUMOS_DESCRICAO">#REF!</definedName>
    <definedName name="OUTROS_REMUNERACAO_1" localSheetId="17">#REF!</definedName>
    <definedName name="OUTROS_REMUNERACAO_1">#REF!</definedName>
    <definedName name="OUTROS_REMUNERACAO_1_DESCRICAO" localSheetId="17">#REF!</definedName>
    <definedName name="OUTROS_REMUNERACAO_1_DESCRICAO">#REF!</definedName>
    <definedName name="OUTROS_REMUNERACAO_2" localSheetId="17">#REF!</definedName>
    <definedName name="OUTROS_REMUNERACAO_2">#REF!</definedName>
    <definedName name="OUTROS_REMUNERACAO_2_DESCRICAO" localSheetId="17">#REF!</definedName>
    <definedName name="OUTROS_REMUNERACAO_2_DESCRICAO">#REF!</definedName>
    <definedName name="OUTROS_REMUNERACAO_3" localSheetId="17">#REF!</definedName>
    <definedName name="OUTROS_REMUNERACAO_3">#REF!</definedName>
    <definedName name="OUTROS_REMUNERACAO_3_DESCRICAO" localSheetId="17">#REF!</definedName>
    <definedName name="OUTROS_REMUNERACAO_3_DESCRICAO">#REF!</definedName>
    <definedName name="OutrosImpostos">'[3]2. Param Gerais'!$C$38</definedName>
    <definedName name="p">#REF!</definedName>
    <definedName name="P.1">#REF!</definedName>
    <definedName name="P.10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2">#REF!</definedName>
    <definedName name="P.200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ageMaker" localSheetId="7">#REF!</definedName>
    <definedName name="PageMaker" localSheetId="17">#REF!</definedName>
    <definedName name="PageMaker" localSheetId="6">#REF!</definedName>
    <definedName name="PageMaker">#REF!</definedName>
    <definedName name="PALCO">#REF!</definedName>
    <definedName name="PER01_" localSheetId="17">#REF!</definedName>
    <definedName name="PER01_">#REF!</definedName>
    <definedName name="PER02_" localSheetId="17">#REF!</definedName>
    <definedName name="PER02_">#REF!</definedName>
    <definedName name="PER03_" localSheetId="17">#REF!</definedName>
    <definedName name="PER03_">#REF!</definedName>
    <definedName name="PER04_" localSheetId="17">#REF!</definedName>
    <definedName name="PER04_">#REF!</definedName>
    <definedName name="PERC_ADIC_FERIAS">'[2]ENCARGOS-SOCIAIS-E-TRABALHISTAS'!$E$6</definedName>
    <definedName name="PERC_ADIC_INS">'[2]INSERÇÃO-DE-DADOS (ISS 5%)'!$F$33</definedName>
    <definedName name="PERC_ADIC_INSALUB" localSheetId="17">#REF!</definedName>
    <definedName name="PERC_ADIC_INSALUB">#REF!</definedName>
    <definedName name="PERC_ADIC_NOT">'[2]INSERÇÃO-DE-DADOS (ISS 5%)'!$F$32</definedName>
    <definedName name="PERC_ADIC_PERIC">'[2]INSERÇÃO-DE-DADOS (ISS 5%)'!$F$31</definedName>
    <definedName name="PERC_AVISO_PREVIO_IND">'[2]ENCARGOS-SOCIAIS-E-TRABALHISTAS'!$E$20</definedName>
    <definedName name="PERC_AVISO_PREVIO_TRAB">'[2]ENCARGOS-SOCIAIS-E-TRABALHISTAS'!$E$21</definedName>
    <definedName name="PERC_COFINS" localSheetId="17">#REF!</definedName>
    <definedName name="PERC_COFINS">#REF!</definedName>
    <definedName name="PERC_CONTRIB_SOCIAL" localSheetId="17">'[2]DADOS-ESTATISTICOS'!#REF!</definedName>
    <definedName name="PERC_CONTRIB_SOCIAL">'[2]DADOS-ESTATISTICOS'!#REF!</definedName>
    <definedName name="PERC_CUSTOS_INDIRETOS" localSheetId="17">#REF!</definedName>
    <definedName name="PERC_CUSTOS_INDIRETOS">#REF!</definedName>
    <definedName name="PERC_DEC_TERC">'[2]ENCARGOS-SOCIAIS-E-TRABALHISTAS'!$E$5</definedName>
    <definedName name="PERC_DESC_TRANSP_REMUNERACAO">'[2]DADOS-ESTATISTICOS'!$F$14</definedName>
    <definedName name="PERC_EMPREG_AFAST_TRAB">'[2]DADOS-ESTATISTICOS'!$F$31</definedName>
    <definedName name="PERC_EMPREG_AVISO_PREVIO_IND">'[2]DADOS-ESTATISTICOS'!$F$19</definedName>
    <definedName name="PERC_EMPREG_AVISO_PREVIO_TRAB">'[2]DADOS-ESTATISTICOS'!$F$21</definedName>
    <definedName name="PERC_EMPREG_DEMIT_SEM_JUSTA_CAUSA_TOTAL_DESLIG">'[2]DADOS-ESTATISTICOS'!$F$18</definedName>
    <definedName name="PERC_FGTS">'[2]ENCARGOS-SOCIAIS-E-TRABALHISTAS'!$E$16</definedName>
    <definedName name="PERC_FGTS_AVISO_PREV_IND" localSheetId="17">'[2]ENCARGOS-SOCIAIS-E-TRABALHISTAS'!#REF!</definedName>
    <definedName name="PERC_FGTS_AVISO_PREV_IND">'[2]ENCARGOS-SOCIAIS-E-TRABALHISTAS'!#REF!</definedName>
    <definedName name="PERC_GPS_FGTS">'[2]ENCARGOS-SOCIAIS-E-TRABALHISTAS'!$E$17</definedName>
    <definedName name="PERC_GPS_FGTS_AVISO_PREVIO_TRAB" localSheetId="17">'[2]ENCARGOS-SOCIAIS-E-TRABALHISTAS'!#REF!</definedName>
    <definedName name="PERC_GPS_FGTS_AVISO_PREVIO_TRAB">'[2]ENCARGOS-SOCIAIS-E-TRABALHISTAS'!#REF!</definedName>
    <definedName name="PERC_HORA_EXTRA" localSheetId="17">#REF!</definedName>
    <definedName name="PERC_HORA_EXTRA">#REF!</definedName>
    <definedName name="PERC_INCRA">'[2]ENCARGOS-SOCIAIS-E-TRABALHISTAS'!$E$15</definedName>
    <definedName name="PERC_INSS">'[2]ENCARGOS-SOCIAIS-E-TRABALHISTAS'!$E$9</definedName>
    <definedName name="PERC_ISS" localSheetId="17">#REF!</definedName>
    <definedName name="PERC_ISS">#REF!</definedName>
    <definedName name="PERC_LUCRO" localSheetId="17">#REF!</definedName>
    <definedName name="PERC_LUCRO">#REF!</definedName>
    <definedName name="PERC_MOD_3_PROVISAO_RESCISAO">!#REF!</definedName>
    <definedName name="PERC_MULTA_FGTS">'[2]DADOS-ESTATISTICOS'!$F$20</definedName>
    <definedName name="PERC_MULTA_FGTS_AV_PREV_IND" localSheetId="17">'[2]ENCARGOS-SOCIAIS-E-TRABALHISTAS'!#REF!</definedName>
    <definedName name="PERC_MULTA_FGTS_AV_PREV_IND">'[2]ENCARGOS-SOCIAIS-E-TRABALHISTAS'!#REF!</definedName>
    <definedName name="PERC_MULTA_FGTS_AV_PREV_TRAB">'[2]ENCARGOS-SOCIAIS-E-TRABALHISTAS'!$E$22</definedName>
    <definedName name="PERC_NASCIDOS_VIVOS_POPUL_FEM">'[2]DADOS-ESTATISTICOS'!$F$29</definedName>
    <definedName name="PERC_PARTIC_FEM_VIGIL">'[2]DADOS-ESTATISTICOS'!$F$34</definedName>
    <definedName name="PERC_PARTIC_MASC_VIGIL">'[2]DADOS-ESTATISTICOS'!$F$30</definedName>
    <definedName name="PERC_PIS" localSheetId="17">#REF!</definedName>
    <definedName name="PERC_PIS">#REF!</definedName>
    <definedName name="PERC_RAT">'[2]ENCARGOS-SOCIAIS-E-TRABALHISTAS'!$E$11</definedName>
    <definedName name="PERC_SAL_EDUCACAO">'[2]ENCARGOS-SOCIAIS-E-TRABALHISTAS'!$E$10</definedName>
    <definedName name="PERC_SEBRAE">'[2]ENCARGOS-SOCIAIS-E-TRABALHISTAS'!$E$14</definedName>
    <definedName name="PERC_SENAC">'[2]ENCARGOS-SOCIAIS-E-TRABALHISTAS'!$E$13</definedName>
    <definedName name="PERC_SESC">'[2]ENCARGOS-SOCIAIS-E-TRABALHISTAS'!$E$12</definedName>
    <definedName name="PERC_SUBSTITUTO_ACID_TRAB">'[2]ENCARGOS-SOCIAIS-E-TRABALHISTAS'!$E$29</definedName>
    <definedName name="PERC_SUBSTITUTO_AFAST_MATERN">'[2]ENCARGOS-SOCIAIS-E-TRABALHISTAS'!$E$30</definedName>
    <definedName name="PERC_SUBSTITUTO_AUSENCIAS_LEGAIS">'[2]ENCARGOS-SOCIAIS-E-TRABALHISTAS'!$E$27</definedName>
    <definedName name="PERC_SUBSTITUTO_FERIAS">'[2]ENCARGOS-SOCIAIS-E-TRABALHISTAS'!$E$26</definedName>
    <definedName name="PERC_SUBSTITUTO_LICENCA_PATERNIDADE">'[2]ENCARGOS-SOCIAIS-E-TRABALHISTAS'!$E$28</definedName>
    <definedName name="PERC_SUBSTITUTO_OUTRAS_AUSENCIAS" localSheetId="17">#REF!</definedName>
    <definedName name="PERC_SUBSTITUTO_OUTRAS_AUSENCIAS">#REF!</definedName>
    <definedName name="PERC_TRIBUTOS">!#REF!</definedName>
    <definedName name="Pintor">#REF!</definedName>
    <definedName name="Pintor1">#REF!</definedName>
    <definedName name="PIS" localSheetId="16">#REF!</definedName>
    <definedName name="PIS">'[3]2. Param Gerais'!$C$34</definedName>
    <definedName name="PisCofins" comment="Seleção do regime tributário da licitante para o Pis/Cofins">'[4]Parâmetros (não excluir)'!$A$1:$A$2</definedName>
    <definedName name="PL01_" localSheetId="17">#REF!</definedName>
    <definedName name="PL01_">#REF!</definedName>
    <definedName name="pl01__" localSheetId="17">#REF!</definedName>
    <definedName name="pl01__">#REF!</definedName>
    <definedName name="Plan_ajustada">#REF!</definedName>
    <definedName name="Planilha" localSheetId="17">#REF!</definedName>
    <definedName name="Planilha">#REF!</definedName>
    <definedName name="PN01_" localSheetId="17">#REF!</definedName>
    <definedName name="PN01_">#REF!</definedName>
    <definedName name="PN02_" localSheetId="17">#REF!</definedName>
    <definedName name="PN02_">#REF!</definedName>
    <definedName name="PN03_" localSheetId="17">#REF!</definedName>
    <definedName name="PN03_">#REF!</definedName>
    <definedName name="PN04_" localSheetId="17">#REF!</definedName>
    <definedName name="PN04_">#REF!</definedName>
    <definedName name="PN05_" localSheetId="17">#REF!</definedName>
    <definedName name="PN05_">#REF!</definedName>
    <definedName name="PN06_" localSheetId="17">#REF!</definedName>
    <definedName name="PN06_">#REF!</definedName>
    <definedName name="PN07_" localSheetId="17">#REF!</definedName>
    <definedName name="PN07_">#REF!</definedName>
    <definedName name="PN08_" localSheetId="17">#REF!</definedName>
    <definedName name="PN08_">#REF!</definedName>
    <definedName name="PN09_" localSheetId="17">#REF!</definedName>
    <definedName name="PN09_">#REF!</definedName>
    <definedName name="Po" localSheetId="17">#REF!</definedName>
    <definedName name="Po">#REF!</definedName>
    <definedName name="PORTARIA_LIMITES" localSheetId="17">#REF!</definedName>
    <definedName name="PORTARIA_LIMITES">#REF!</definedName>
    <definedName name="POSTO">'[4]Parâmetros (não excluir)'!$H$1:$H$20</definedName>
    <definedName name="POSTO_12X36_DIU">!#REF!</definedName>
    <definedName name="POSTO_12X36_NOT">!#REF!</definedName>
    <definedName name="POSTO_44H">!#REF!</definedName>
    <definedName name="PP">#REF!</definedName>
    <definedName name="PP01_" localSheetId="17">#REF!</definedName>
    <definedName name="PP01_">#REF!</definedName>
    <definedName name="PP01_03" localSheetId="17">#REF!</definedName>
    <definedName name="PP01_03">#REF!</definedName>
    <definedName name="PP01_COMP" localSheetId="17">#REF!</definedName>
    <definedName name="PP01_COMP">#REF!</definedName>
    <definedName name="PP02_COMP" localSheetId="17">#REF!</definedName>
    <definedName name="PP02_COMP">#REF!</definedName>
    <definedName name="PP03_c" localSheetId="17">#REF!</definedName>
    <definedName name="PP03_c">#REF!</definedName>
    <definedName name="PP03_COMP" localSheetId="17">#REF!</definedName>
    <definedName name="PP03_COMP">#REF!</definedName>
    <definedName name="PP04_" localSheetId="17">#REF!</definedName>
    <definedName name="PP04_">#REF!</definedName>
    <definedName name="PP04_C" localSheetId="17">#REF!</definedName>
    <definedName name="PP04_C">#REF!</definedName>
    <definedName name="PP04_COMP" localSheetId="17">#REF!</definedName>
    <definedName name="PP04_COMP">#REF!</definedName>
    <definedName name="PP05_" localSheetId="17">#REF!</definedName>
    <definedName name="PP05_">#REF!</definedName>
    <definedName name="PP05_C" localSheetId="17">#REF!</definedName>
    <definedName name="PP05_C">#REF!</definedName>
    <definedName name="PP05_COMP" localSheetId="17">#REF!</definedName>
    <definedName name="PP05_COMP">#REF!</definedName>
    <definedName name="PP06_" localSheetId="17">#REF!</definedName>
    <definedName name="PP06_">#REF!</definedName>
    <definedName name="pp06__" localSheetId="17">#REF!</definedName>
    <definedName name="pp06__">#REF!</definedName>
    <definedName name="PP06_C" localSheetId="17">#REF!</definedName>
    <definedName name="PP06_C">#REF!</definedName>
    <definedName name="PP06_COMP" localSheetId="17">#REF!</definedName>
    <definedName name="PP06_COMP">#REF!</definedName>
    <definedName name="PP07_" localSheetId="17">#REF!</definedName>
    <definedName name="PP07_">#REF!</definedName>
    <definedName name="pp07__" localSheetId="17">#REF!</definedName>
    <definedName name="pp07__">#REF!</definedName>
    <definedName name="PP07_C" localSheetId="17">#REF!</definedName>
    <definedName name="PP07_C">#REF!</definedName>
    <definedName name="PP07_COMP" localSheetId="17">#REF!</definedName>
    <definedName name="PP07_COMP">#REF!</definedName>
    <definedName name="PP08_" localSheetId="17">#REF!</definedName>
    <definedName name="PP08_">#REF!</definedName>
    <definedName name="pp08__" localSheetId="17">#REF!</definedName>
    <definedName name="pp08__">#REF!</definedName>
    <definedName name="PP08_C" localSheetId="17">#REF!</definedName>
    <definedName name="PP08_C">#REF!</definedName>
    <definedName name="PP08_COMP" localSheetId="17">#REF!</definedName>
    <definedName name="PP08_COMP">#REF!</definedName>
    <definedName name="PP09_" localSheetId="17">#REF!</definedName>
    <definedName name="PP09_">#REF!</definedName>
    <definedName name="pp09__" localSheetId="17">#REF!</definedName>
    <definedName name="pp09__">#REF!</definedName>
    <definedName name="PP09_C" localSheetId="17">#REF!</definedName>
    <definedName name="PP09_C">#REF!</definedName>
    <definedName name="PP09_COMP" localSheetId="17">#REF!</definedName>
    <definedName name="PP09_COMP">#REF!</definedName>
    <definedName name="PP1.1">#REF!</definedName>
    <definedName name="PP1.10">#REF!</definedName>
    <definedName name="PP1.11">#REF!</definedName>
    <definedName name="PP1.12">#REF!</definedName>
    <definedName name="PP1.13">#REF!</definedName>
    <definedName name="PP1.14">#REF!</definedName>
    <definedName name="PP1.15">#REF!</definedName>
    <definedName name="PP1.2">#REF!</definedName>
    <definedName name="PP1.3">#REF!</definedName>
    <definedName name="PP1.4">#REF!</definedName>
    <definedName name="PP1.5">#REF!</definedName>
    <definedName name="PP1.6">#REF!</definedName>
    <definedName name="PP1.7">#REF!</definedName>
    <definedName name="PP1.8">#REF!</definedName>
    <definedName name="PP1.9">#REF!</definedName>
    <definedName name="PP10_" localSheetId="17">#REF!</definedName>
    <definedName name="PP10_">#REF!</definedName>
    <definedName name="pp10__" localSheetId="17">#REF!</definedName>
    <definedName name="pp10__">#REF!</definedName>
    <definedName name="PP10_C" localSheetId="17">#REF!</definedName>
    <definedName name="PP10_C">#REF!</definedName>
    <definedName name="PP10_COMP" localSheetId="17">#REF!</definedName>
    <definedName name="PP10_COMP">#REF!</definedName>
    <definedName name="PP11_" localSheetId="17">#REF!</definedName>
    <definedName name="PP11_">#REF!</definedName>
    <definedName name="pp11__" localSheetId="17">#REF!</definedName>
    <definedName name="pp11__">#REF!</definedName>
    <definedName name="PP11_C" localSheetId="17">#REF!</definedName>
    <definedName name="PP11_C">#REF!</definedName>
    <definedName name="PP11_COMP" localSheetId="17">#REF!</definedName>
    <definedName name="PP11_COMP">#REF!</definedName>
    <definedName name="PP12_" localSheetId="17">#REF!</definedName>
    <definedName name="PP12_">#REF!</definedName>
    <definedName name="pp12__" localSheetId="17">#REF!</definedName>
    <definedName name="pp12__">#REF!</definedName>
    <definedName name="PP12_C" localSheetId="17">#REF!</definedName>
    <definedName name="PP12_C">#REF!</definedName>
    <definedName name="PP12_COMP" localSheetId="17">#REF!</definedName>
    <definedName name="PP12_COMP">#REF!</definedName>
    <definedName name="PP13_" localSheetId="17">#REF!</definedName>
    <definedName name="PP13_">#REF!</definedName>
    <definedName name="pp13__" localSheetId="17">#REF!</definedName>
    <definedName name="pp13__">#REF!</definedName>
    <definedName name="PP13_C" localSheetId="17">#REF!</definedName>
    <definedName name="PP13_C">#REF!</definedName>
    <definedName name="PP13_COMP" localSheetId="17">#REF!</definedName>
    <definedName name="PP13_COMP">#REF!</definedName>
    <definedName name="PP14_" localSheetId="17">#REF!</definedName>
    <definedName name="PP14_">#REF!</definedName>
    <definedName name="pp14__" localSheetId="17">#REF!</definedName>
    <definedName name="pp14__">#REF!</definedName>
    <definedName name="PP14_C" localSheetId="17">#REF!</definedName>
    <definedName name="PP14_C">#REF!</definedName>
    <definedName name="PP14_COMP" localSheetId="17">#REF!</definedName>
    <definedName name="PP14_COMP">#REF!</definedName>
    <definedName name="PP15_" localSheetId="17">#REF!</definedName>
    <definedName name="PP15_">#REF!</definedName>
    <definedName name="pp15__" localSheetId="17">#REF!</definedName>
    <definedName name="pp15__">#REF!</definedName>
    <definedName name="PP15_C" localSheetId="17">#REF!</definedName>
    <definedName name="PP15_C">#REF!</definedName>
    <definedName name="PP15_COMP" localSheetId="17">#REF!</definedName>
    <definedName name="PP15_COMP">#REF!</definedName>
    <definedName name="PP16_" localSheetId="17">#REF!</definedName>
    <definedName name="PP16_">#REF!</definedName>
    <definedName name="pp16__" localSheetId="17">#REF!</definedName>
    <definedName name="pp16__">#REF!</definedName>
    <definedName name="PP16_C" localSheetId="17">#REF!</definedName>
    <definedName name="PP16_C">#REF!</definedName>
    <definedName name="PP16_COMP" localSheetId="17">#REF!</definedName>
    <definedName name="PP16_COMP">#REF!</definedName>
    <definedName name="PP17_" localSheetId="17">#REF!</definedName>
    <definedName name="PP17_">#REF!</definedName>
    <definedName name="pp17__" localSheetId="17">#REF!</definedName>
    <definedName name="pp17__">#REF!</definedName>
    <definedName name="PP17_C" localSheetId="17">#REF!</definedName>
    <definedName name="PP17_C">#REF!</definedName>
    <definedName name="PP17_COMP" localSheetId="17">#REF!</definedName>
    <definedName name="PP17_COMP">#REF!</definedName>
    <definedName name="PP18_" localSheetId="17">#REF!</definedName>
    <definedName name="PP18_">#REF!</definedName>
    <definedName name="pp18__" localSheetId="17">#REF!</definedName>
    <definedName name="pp18__">#REF!</definedName>
    <definedName name="PP18_C" localSheetId="17">#REF!</definedName>
    <definedName name="PP18_C">#REF!</definedName>
    <definedName name="PP18_COMP" localSheetId="17">#REF!</definedName>
    <definedName name="PP18_COMP">#REF!</definedName>
    <definedName name="PP19_" localSheetId="17">#REF!</definedName>
    <definedName name="PP19_">#REF!</definedName>
    <definedName name="PP19_C" localSheetId="17">#REF!</definedName>
    <definedName name="PP19_C">#REF!</definedName>
    <definedName name="PP20_" localSheetId="17">#REF!</definedName>
    <definedName name="PP20_">#REF!</definedName>
    <definedName name="PP20_C" localSheetId="17">#REF!</definedName>
    <definedName name="PP20_C">#REF!</definedName>
    <definedName name="PP21_" localSheetId="17">#REF!</definedName>
    <definedName name="PP21_">#REF!</definedName>
    <definedName name="PP21_C" localSheetId="17">#REF!</definedName>
    <definedName name="PP21_C">#REF!</definedName>
    <definedName name="PP22_" localSheetId="17">#REF!</definedName>
    <definedName name="PP22_">#REF!</definedName>
    <definedName name="PP22_C" localSheetId="17">#REF!</definedName>
    <definedName name="PP22_C">#REF!</definedName>
    <definedName name="PP23_" localSheetId="17">#REF!</definedName>
    <definedName name="PP23_">#REF!</definedName>
    <definedName name="PP23_C" localSheetId="17">#REF!</definedName>
    <definedName name="PP23_C">#REF!</definedName>
    <definedName name="PP24_" localSheetId="17">#REF!</definedName>
    <definedName name="PP24_">#REF!</definedName>
    <definedName name="PP24_C" localSheetId="17">#REF!</definedName>
    <definedName name="PP24_C">#REF!</definedName>
    <definedName name="PPPAs">#REF!</definedName>
    <definedName name="prazo">#REF!</definedName>
    <definedName name="PrazoContrato">'[8]2. Param Gerais'!$E$17</definedName>
    <definedName name="PRECO" localSheetId="17">#REF!</definedName>
    <definedName name="PRECO">#REF!</definedName>
    <definedName name="precounitariobdi">#REF!</definedName>
    <definedName name="Print_Area" localSheetId="17">#REF!</definedName>
    <definedName name="Print_Area">#REF!</definedName>
    <definedName name="Print_Area_1" localSheetId="17">#REF!</definedName>
    <definedName name="Print_Area_1">#REF!</definedName>
    <definedName name="Print_Area_MI">#REF!</definedName>
    <definedName name="PRODUT_AREA_ESQ_EXTERNA" localSheetId="17">#REF!</definedName>
    <definedName name="PRODUT_AREA_ESQ_EXTERNA">#REF!</definedName>
    <definedName name="PRODUT_AREA_EXTERNA" localSheetId="17">#REF!</definedName>
    <definedName name="PRODUT_AREA_EXTERNA">#REF!</definedName>
    <definedName name="PRODUT_AREA_FACHADA_ENVID" localSheetId="17">#REF!</definedName>
    <definedName name="PRODUT_AREA_FACHADA_ENVID">#REF!</definedName>
    <definedName name="PRODUT_AREA_HOSPITALAR" localSheetId="17">#REF!</definedName>
    <definedName name="PRODUT_AREA_HOSPITALAR">#REF!</definedName>
    <definedName name="PRODUT_AREA_INTERNA" localSheetId="17">#REF!</definedName>
    <definedName name="PRODUT_AREA_INTERNA">#REF!</definedName>
    <definedName name="PRP01_" localSheetId="17">#REF!</definedName>
    <definedName name="PRP01_">#REF!</definedName>
    <definedName name="PRP02_" localSheetId="17">#REF!</definedName>
    <definedName name="PRP02_">#REF!</definedName>
    <definedName name="PRP03_" localSheetId="17">#REF!</definedName>
    <definedName name="PRP03_">#REF!</definedName>
    <definedName name="PRP04_" localSheetId="17">#REF!</definedName>
    <definedName name="PRP04_">#REF!</definedName>
    <definedName name="PRP04_C" localSheetId="17">#REF!</definedName>
    <definedName name="PRP04_C">#REF!</definedName>
    <definedName name="PRP04_COMP" localSheetId="17">#REF!</definedName>
    <definedName name="PRP04_COMP">#REF!</definedName>
    <definedName name="PRP05_" localSheetId="17">#REF!</definedName>
    <definedName name="PRP05_">#REF!</definedName>
    <definedName name="PRP05_C" localSheetId="17">#REF!</definedName>
    <definedName name="PRP05_C">#REF!</definedName>
    <definedName name="PRP05_COMP" localSheetId="17">#REF!</definedName>
    <definedName name="PRP05_COMP">#REF!</definedName>
    <definedName name="PRP06_" localSheetId="17">#REF!</definedName>
    <definedName name="PRP06_">#REF!</definedName>
    <definedName name="PRP06__" localSheetId="17">#REF!</definedName>
    <definedName name="PRP06__">#REF!</definedName>
    <definedName name="PRP07_" localSheetId="17">#REF!</definedName>
    <definedName name="PRP07_">#REF!</definedName>
    <definedName name="PRP08_" localSheetId="17">#REF!</definedName>
    <definedName name="PRP08_">#REF!</definedName>
    <definedName name="PRP08_C" localSheetId="17">#REF!</definedName>
    <definedName name="PRP08_C">#REF!</definedName>
    <definedName name="PRP08_COMP" localSheetId="17">#REF!</definedName>
    <definedName name="PRP08_COMP">#REF!</definedName>
    <definedName name="PRP09_" localSheetId="17">#REF!</definedName>
    <definedName name="PRP09_">#REF!</definedName>
    <definedName name="PRP09_C" localSheetId="17">#REF!</definedName>
    <definedName name="PRP09_C">#REF!</definedName>
    <definedName name="PRP10_" localSheetId="17">#REF!</definedName>
    <definedName name="PRP10_">#REF!</definedName>
    <definedName name="PRP11_" localSheetId="17">#REF!</definedName>
    <definedName name="PRP11_">#REF!</definedName>
    <definedName name="PRP11_C" localSheetId="17">#REF!</definedName>
    <definedName name="PRP11_C">#REF!</definedName>
    <definedName name="PRP12_" localSheetId="17">#REF!</definedName>
    <definedName name="PRP12_">#REF!</definedName>
    <definedName name="PRP12_C" localSheetId="17">#REF!</definedName>
    <definedName name="PRP12_C">#REF!</definedName>
    <definedName name="PRP13_" localSheetId="17">#REF!</definedName>
    <definedName name="PRP13_">#REF!</definedName>
    <definedName name="PRP13_C" localSheetId="17">#REF!</definedName>
    <definedName name="PRP13_C">#REF!</definedName>
    <definedName name="PRP14_" localSheetId="17">#REF!</definedName>
    <definedName name="PRP14_">#REF!</definedName>
    <definedName name="PRP15_" localSheetId="17">#REF!</definedName>
    <definedName name="PRP15_">#REF!</definedName>
    <definedName name="PRP15_C" localSheetId="17">#REF!</definedName>
    <definedName name="PRP15_C">#REF!</definedName>
    <definedName name="PT01_" localSheetId="17">#REF!</definedName>
    <definedName name="PT01_">#REF!</definedName>
    <definedName name="PT01_C" localSheetId="17">#REF!</definedName>
    <definedName name="PT01_C">#REF!</definedName>
    <definedName name="PT02_" localSheetId="17">#REF!</definedName>
    <definedName name="PT02_">#REF!</definedName>
    <definedName name="pt02__" localSheetId="17">#REF!</definedName>
    <definedName name="pt02__">#REF!</definedName>
    <definedName name="PT03_" localSheetId="17">#REF!</definedName>
    <definedName name="PT03_">#REF!</definedName>
    <definedName name="PT03_04" localSheetId="17">#REF!</definedName>
    <definedName name="PT03_04">#REF!</definedName>
    <definedName name="PT04_C" localSheetId="17">#REF!</definedName>
    <definedName name="PT04_C">#REF!</definedName>
    <definedName name="PT04_COMP" localSheetId="17">#REF!</definedName>
    <definedName name="PT04_COMP">#REF!</definedName>
    <definedName name="punitario">#REF!</definedName>
    <definedName name="QQ">#REF!</definedName>
    <definedName name="Qtd_Dias">'[9]HORAS,VT,VA'!#REF!</definedName>
    <definedName name="QTDE_DE_ENC" localSheetId="17">#REF!</definedName>
    <definedName name="QTDE_DE_ENC">#REF!</definedName>
    <definedName name="QTDE_DE_POSTOS_12X36_DIU">!#REF!</definedName>
    <definedName name="QTDE_DE_POSTOS_12X36_NOT">!#REF!</definedName>
    <definedName name="QTDE_DE_POSTOS_44H">!#REF!</definedName>
    <definedName name="QTDE_DE_SERV" localSheetId="17">#REF!</definedName>
    <definedName name="QTDE_DE_SERV">#REF!</definedName>
    <definedName name="QTDE_DE_SERV_HOSP" localSheetId="17">#REF!</definedName>
    <definedName name="QTDE_DE_SERV_HOSP">#REF!</definedName>
    <definedName name="QUAD1">#REF!</definedName>
    <definedName name="QUAD11">#REF!</definedName>
    <definedName name="QUAD21">#REF!</definedName>
    <definedName name="QUAD211">#REF!</definedName>
    <definedName name="QUAD22">#REF!</definedName>
    <definedName name="QUAD221">#REF!</definedName>
    <definedName name="QUAD23">#REF!</definedName>
    <definedName name="quant">#REF!</definedName>
    <definedName name="RA01_" localSheetId="17">#REF!</definedName>
    <definedName name="RA01_">#REF!</definedName>
    <definedName name="RA01_02" localSheetId="17">#REF!</definedName>
    <definedName name="RA01_02">#REF!</definedName>
    <definedName name="RA03_" localSheetId="17">#REF!</definedName>
    <definedName name="RA03_">#REF!</definedName>
    <definedName name="ra03__" localSheetId="17">#REF!</definedName>
    <definedName name="ra03__">#REF!</definedName>
    <definedName name="RA04_" localSheetId="17">#REF!</definedName>
    <definedName name="RA04_">#REF!</definedName>
    <definedName name="ra04__" localSheetId="17">#REF!</definedName>
    <definedName name="ra04__">#REF!</definedName>
    <definedName name="RA05_" localSheetId="17">#REF!</definedName>
    <definedName name="RA05_">#REF!</definedName>
    <definedName name="ra05__" localSheetId="17">#REF!</definedName>
    <definedName name="ra05__">#REF!</definedName>
    <definedName name="RAMO" localSheetId="17">#REF!</definedName>
    <definedName name="RAMO">#REF!</definedName>
    <definedName name="REGIÃO">[10]FAP!$AK$8:$AK$13</definedName>
    <definedName name="REGULADORA" localSheetId="17">#REF!</definedName>
    <definedName name="REGULADORA">#REF!</definedName>
    <definedName name="RELACAO_SERVENTES_ENCARREGADOS" localSheetId="17">#REF!</definedName>
    <definedName name="RELACAO_SERVENTES_ENCARREGADOS">#REF!</definedName>
    <definedName name="RELMOBRA">#REF!</definedName>
    <definedName name="REMUNERAÇÃO">#REF!</definedName>
    <definedName name="REMUNERACAO2">'[11]apoio administrativo'!#REF!</definedName>
    <definedName name="RES" localSheetId="17">#REF!</definedName>
    <definedName name="RES">#REF!</definedName>
    <definedName name="resumo">#REF!</definedName>
    <definedName name="Reuniao">#REF!</definedName>
    <definedName name="rev">#REF!</definedName>
    <definedName name="rm">#REF!</definedName>
    <definedName name="RR">#REF!</definedName>
    <definedName name="rrrrrrrrrrr">#REF!</definedName>
    <definedName name="rrrrrrrrrrrrr">#REF!</definedName>
    <definedName name="rrrrrrrrrrrrrrrrrrr">#REF!</definedName>
    <definedName name="RTUJH" localSheetId="17">#REF!</definedName>
    <definedName name="RTUJH">#REF!</definedName>
    <definedName name="RV01_" localSheetId="17">#REF!</definedName>
    <definedName name="RV01_">#REF!</definedName>
    <definedName name="RV02_" localSheetId="17">#REF!</definedName>
    <definedName name="RV02_">#REF!</definedName>
    <definedName name="RV02_03" localSheetId="17">#REF!</definedName>
    <definedName name="RV02_03">#REF!</definedName>
    <definedName name="RV03_" localSheetId="17">#REF!</definedName>
    <definedName name="RV03_">#REF!</definedName>
    <definedName name="RV04_" localSheetId="17">#REF!</definedName>
    <definedName name="RV04_">#REF!</definedName>
    <definedName name="RV04_C" localSheetId="17">#REF!</definedName>
    <definedName name="RV04_C">#REF!</definedName>
    <definedName name="RV04_COMP" localSheetId="17">#REF!</definedName>
    <definedName name="RV04_COMP">#REF!</definedName>
    <definedName name="RV05_" localSheetId="17">#REF!</definedName>
    <definedName name="RV05_">#REF!</definedName>
    <definedName name="RV06_" localSheetId="17">#REF!</definedName>
    <definedName name="RV06_">#REF!</definedName>
    <definedName name="RV07_" localSheetId="17">#REF!</definedName>
    <definedName name="RV07_">#REF!</definedName>
    <definedName name="RV08_" localSheetId="17">#REF!</definedName>
    <definedName name="RV08_">#REF!</definedName>
    <definedName name="s" localSheetId="17">#REF!</definedName>
    <definedName name="s">#REF!</definedName>
    <definedName name="SAC01.1_C" localSheetId="17">#REF!</definedName>
    <definedName name="SAC01.1_C">#REF!</definedName>
    <definedName name="SAC01.2_C" localSheetId="17">#REF!</definedName>
    <definedName name="SAC01.2_C">#REF!</definedName>
    <definedName name="SAC01_" localSheetId="17">#REF!</definedName>
    <definedName name="SAC01_">#REF!</definedName>
    <definedName name="SAC02.1_C" localSheetId="17">#REF!</definedName>
    <definedName name="SAC02.1_C">#REF!</definedName>
    <definedName name="SAC02.10_C" localSheetId="17">#REF!</definedName>
    <definedName name="SAC02.10_C">#REF!</definedName>
    <definedName name="SAC02.11_C" localSheetId="17">#REF!</definedName>
    <definedName name="SAC02.11_C">#REF!</definedName>
    <definedName name="SAC02.2_C" localSheetId="17">#REF!</definedName>
    <definedName name="SAC02.2_C">#REF!</definedName>
    <definedName name="SAC02.3_C" localSheetId="17">#REF!</definedName>
    <definedName name="SAC02.3_C">#REF!</definedName>
    <definedName name="SAC02.7_C" localSheetId="17">#REF!</definedName>
    <definedName name="SAC02.7_C">#REF!</definedName>
    <definedName name="SAC02.8_C" localSheetId="17">#REF!</definedName>
    <definedName name="SAC02.8_C">#REF!</definedName>
    <definedName name="SAC02.9_C" localSheetId="17">#REF!</definedName>
    <definedName name="SAC02.9_C">#REF!</definedName>
    <definedName name="SAC02_" localSheetId="17">#REF!</definedName>
    <definedName name="SAC02_">#REF!</definedName>
    <definedName name="SAC03.1_C" localSheetId="17">#REF!</definedName>
    <definedName name="SAC03.1_C">#REF!</definedName>
    <definedName name="SAC03.2_C" localSheetId="17">#REF!</definedName>
    <definedName name="SAC03.2_C">#REF!</definedName>
    <definedName name="SAC03_" localSheetId="17">#REF!</definedName>
    <definedName name="SAC03_">#REF!</definedName>
    <definedName name="sac03__" localSheetId="17">#REF!</definedName>
    <definedName name="sac03__">#REF!</definedName>
    <definedName name="SAC04_" localSheetId="17">#REF!</definedName>
    <definedName name="SAC04_">#REF!</definedName>
    <definedName name="SAC05.1_C" localSheetId="17">#REF!</definedName>
    <definedName name="SAC05.1_C">#REF!</definedName>
    <definedName name="SAC05.2_C" localSheetId="17">#REF!</definedName>
    <definedName name="SAC05.2_C">#REF!</definedName>
    <definedName name="SAC05.3_C" localSheetId="17">#REF!</definedName>
    <definedName name="SAC05.3_C">#REF!</definedName>
    <definedName name="SAC05_" localSheetId="17">#REF!</definedName>
    <definedName name="SAC05_">#REF!</definedName>
    <definedName name="sac05__" localSheetId="17">#REF!</definedName>
    <definedName name="sac05__">#REF!</definedName>
    <definedName name="SAC06.1_C" localSheetId="17">#REF!</definedName>
    <definedName name="SAC06.1_C">#REF!</definedName>
    <definedName name="SAC06.2_C" localSheetId="17">#REF!</definedName>
    <definedName name="SAC06.2_C">#REF!</definedName>
    <definedName name="SAC06_" localSheetId="17">#REF!</definedName>
    <definedName name="SAC06_">#REF!</definedName>
    <definedName name="sac06__" localSheetId="17">#REF!</definedName>
    <definedName name="sac06__">#REF!</definedName>
    <definedName name="SAC07.1_C" localSheetId="17">#REF!</definedName>
    <definedName name="SAC07.1_C">#REF!</definedName>
    <definedName name="SAC07.2_C" localSheetId="17">#REF!</definedName>
    <definedName name="SAC07.2_C">#REF!</definedName>
    <definedName name="SAC07_" localSheetId="17">#REF!</definedName>
    <definedName name="SAC07_">#REF!</definedName>
    <definedName name="SAC07_08" localSheetId="17">#REF!</definedName>
    <definedName name="SAC07_08">#REF!</definedName>
    <definedName name="SAC08.1_C" localSheetId="17">#REF!</definedName>
    <definedName name="SAC08.1_C">#REF!</definedName>
    <definedName name="SAC08.2_C" localSheetId="17">#REF!</definedName>
    <definedName name="SAC08.2_C">#REF!</definedName>
    <definedName name="SAC08.3_C" localSheetId="17">#REF!</definedName>
    <definedName name="SAC08.3_C">#REF!</definedName>
    <definedName name="SAC08.4_C" localSheetId="17">#REF!</definedName>
    <definedName name="SAC08.4_C">#REF!</definedName>
    <definedName name="SAC09.1_C" localSheetId="17">#REF!</definedName>
    <definedName name="SAC09.1_C">#REF!</definedName>
    <definedName name="SAC09.2_C" localSheetId="17">#REF!</definedName>
    <definedName name="SAC09.2_C">#REF!</definedName>
    <definedName name="SAC09_" localSheetId="17">#REF!</definedName>
    <definedName name="SAC09_">#REF!</definedName>
    <definedName name="SAC10_" localSheetId="17">#REF!</definedName>
    <definedName name="SAC10_">#REF!</definedName>
    <definedName name="SAC11_" localSheetId="17">#REF!</definedName>
    <definedName name="SAC11_">#REF!</definedName>
    <definedName name="SAC12.6_C" localSheetId="17">#REF!</definedName>
    <definedName name="SAC12.6_C">#REF!</definedName>
    <definedName name="SAC12.6_COMP" localSheetId="17">#REF!</definedName>
    <definedName name="SAC12.6_COMP">#REF!</definedName>
    <definedName name="SAC12_" localSheetId="17">#REF!</definedName>
    <definedName name="SAC12_">#REF!</definedName>
    <definedName name="SAC13_" localSheetId="17">#REF!</definedName>
    <definedName name="SAC13_">#REF!</definedName>
    <definedName name="SAC14_" localSheetId="17">#REF!</definedName>
    <definedName name="SAC14_">#REF!</definedName>
    <definedName name="sac15_" localSheetId="17">#REF!</definedName>
    <definedName name="sac15_">#REF!</definedName>
    <definedName name="SAL_MINIMO" localSheetId="17">#REF!</definedName>
    <definedName name="SAL_MINIMO">#REF!</definedName>
    <definedName name="Salário" localSheetId="17">#REF!</definedName>
    <definedName name="Salário">#REF!</definedName>
    <definedName name="SALARIO_BASE">'[2]INSERÇÃO-DE-DADOS (ISS 5%)'!$F$30</definedName>
    <definedName name="SALARIO_ENCARREGADO">'[11]apoio administrativo'!#REF!</definedName>
    <definedName name="SALARIO_NORMATIVO_ENC" localSheetId="17">#REF!</definedName>
    <definedName name="SALARIO_NORMATIVO_ENC">#REF!</definedName>
    <definedName name="SALARIO_NORMATIVO_SERV" localSheetId="17">#REF!</definedName>
    <definedName name="SALARIO_NORMATIVO_SERV">#REF!</definedName>
    <definedName name="SALARIO_NORMATIVO_SERV_HOSP" localSheetId="17">#REF!</definedName>
    <definedName name="SALARIO_NORMATIVO_SERV_HOSP">#REF!</definedName>
    <definedName name="SALÁRIOS">[1]SALÁRIOS!$B$1:$H$8</definedName>
    <definedName name="SDFGDFGF" localSheetId="17">#REF!</definedName>
    <definedName name="SDFGDFGF">#REF!</definedName>
    <definedName name="SDFGSDGASDF" localSheetId="17">#REF!</definedName>
    <definedName name="SDFGSDGASDF">#REF!</definedName>
    <definedName name="sdfsdf">#REF!</definedName>
    <definedName name="sdfsdfsdf" localSheetId="17">#REF!</definedName>
    <definedName name="sdfsdfsdf">#REF!</definedName>
    <definedName name="sdkljfsam">#REF!</definedName>
    <definedName name="sdsd">#REF!</definedName>
    <definedName name="SE01_" localSheetId="17">#REF!</definedName>
    <definedName name="SE01_">#REF!</definedName>
    <definedName name="SE01_C" localSheetId="17">#REF!</definedName>
    <definedName name="SE01_C">#REF!</definedName>
    <definedName name="SE02_" localSheetId="17">#REF!</definedName>
    <definedName name="SE02_">#REF!</definedName>
    <definedName name="SE02_C" localSheetId="17">#REF!</definedName>
    <definedName name="SE02_C">#REF!</definedName>
    <definedName name="SE03_" localSheetId="17">#REF!</definedName>
    <definedName name="SE03_">#REF!</definedName>
    <definedName name="SE03_C" localSheetId="17">#REF!</definedName>
    <definedName name="SE03_C">#REF!</definedName>
    <definedName name="SE04_" localSheetId="17">#REF!</definedName>
    <definedName name="SE04_">#REF!</definedName>
    <definedName name="SE04_C" localSheetId="17">#REF!</definedName>
    <definedName name="SE04_C">#REF!</definedName>
    <definedName name="SE04_COMP" localSheetId="17">#REF!</definedName>
    <definedName name="SE04_COMP">#REF!</definedName>
    <definedName name="SE05_" localSheetId="17">#REF!</definedName>
    <definedName name="SE05_">#REF!</definedName>
    <definedName name="SE05_C" localSheetId="17">#REF!</definedName>
    <definedName name="SE05_C">#REF!</definedName>
    <definedName name="SE06_" localSheetId="17">#REF!</definedName>
    <definedName name="SE06_">#REF!</definedName>
    <definedName name="SE06_C" localSheetId="17">#REF!</definedName>
    <definedName name="SE06_C">#REF!</definedName>
    <definedName name="SE06_COMP" localSheetId="17">#REF!</definedName>
    <definedName name="SE06_COMP">#REF!</definedName>
    <definedName name="SE07_" localSheetId="17">#REF!</definedName>
    <definedName name="SE07_">#REF!</definedName>
    <definedName name="SE07_C" localSheetId="17">#REF!</definedName>
    <definedName name="SE07_C">#REF!</definedName>
    <definedName name="SE08_" localSheetId="17">#REF!</definedName>
    <definedName name="SE08_">#REF!</definedName>
    <definedName name="SE09_" localSheetId="17">#REF!</definedName>
    <definedName name="SE09_">#REF!</definedName>
    <definedName name="SE09_C" localSheetId="17">#REF!</definedName>
    <definedName name="SE09_C">#REF!</definedName>
    <definedName name="SE10_" localSheetId="17">#REF!</definedName>
    <definedName name="SE10_">#REF!</definedName>
    <definedName name="SE10_C" localSheetId="17">#REF!</definedName>
    <definedName name="SE10_C">#REF!</definedName>
    <definedName name="SE10_COMP" localSheetId="17">#REF!</definedName>
    <definedName name="SE10_COMP">#REF!</definedName>
    <definedName name="SE11_" localSheetId="17">#REF!</definedName>
    <definedName name="SE11_">#REF!</definedName>
    <definedName name="SE11_C" localSheetId="17">#REF!</definedName>
    <definedName name="SE11_C">#REF!</definedName>
    <definedName name="SE12_" localSheetId="17">#REF!</definedName>
    <definedName name="SE12_">#REF!</definedName>
    <definedName name="SE12__" localSheetId="17">#REF!</definedName>
    <definedName name="SE12__">#REF!</definedName>
    <definedName name="SE12_C" localSheetId="17">#REF!</definedName>
    <definedName name="SE12_C">#REF!</definedName>
    <definedName name="SE12_COMP" localSheetId="17">#REF!</definedName>
    <definedName name="SE12_COMP">#REF!</definedName>
    <definedName name="SE13_" localSheetId="17">#REF!</definedName>
    <definedName name="SE13_">#REF!</definedName>
    <definedName name="se13__" localSheetId="17">#REF!</definedName>
    <definedName name="se13__">#REF!</definedName>
    <definedName name="SE13_C" localSheetId="17">#REF!</definedName>
    <definedName name="SE13_C">#REF!</definedName>
    <definedName name="SE13_COMP" localSheetId="17">#REF!</definedName>
    <definedName name="SE13_COMP">#REF!</definedName>
    <definedName name="SE14_" localSheetId="17">#REF!</definedName>
    <definedName name="SE14_">#REF!</definedName>
    <definedName name="SE14_C" localSheetId="17">#REF!</definedName>
    <definedName name="SE14_C">#REF!</definedName>
    <definedName name="SE15_" localSheetId="17">#REF!</definedName>
    <definedName name="SE15_">#REF!</definedName>
    <definedName name="SE15_C" localSheetId="17">#REF!</definedName>
    <definedName name="SE15_C">#REF!</definedName>
    <definedName name="SE15_COMP" localSheetId="17">#REF!</definedName>
    <definedName name="SE15_COMP">#REF!</definedName>
    <definedName name="SE16_" localSheetId="17">#REF!</definedName>
    <definedName name="SE16_">#REF!</definedName>
    <definedName name="SE16_C" localSheetId="17">#REF!</definedName>
    <definedName name="SE16_C">#REF!</definedName>
    <definedName name="SE17_" localSheetId="17">#REF!</definedName>
    <definedName name="SE17_">#REF!</definedName>
    <definedName name="SE17__" localSheetId="17">#REF!</definedName>
    <definedName name="SE17__">#REF!</definedName>
    <definedName name="SE17_C" localSheetId="17">#REF!</definedName>
    <definedName name="SE17_C">#REF!</definedName>
    <definedName name="SE18_" localSheetId="17">#REF!</definedName>
    <definedName name="SE18_">#REF!</definedName>
    <definedName name="SE18__" localSheetId="17">#REF!</definedName>
    <definedName name="SE18__">#REF!</definedName>
    <definedName name="SE18_C" localSheetId="17">#REF!</definedName>
    <definedName name="SE18_C">#REF!</definedName>
    <definedName name="SE19_" localSheetId="17">#REF!</definedName>
    <definedName name="SE19_">#REF!</definedName>
    <definedName name="SE19__" localSheetId="17">#REF!</definedName>
    <definedName name="SE19__">#REF!</definedName>
    <definedName name="SE19_C" localSheetId="17">#REF!</definedName>
    <definedName name="SE19_C">#REF!</definedName>
    <definedName name="SE20_" localSheetId="17">#REF!</definedName>
    <definedName name="SE20_">#REF!</definedName>
    <definedName name="SE20__" localSheetId="17">#REF!</definedName>
    <definedName name="SE20__">#REF!</definedName>
    <definedName name="SE20_C" localSheetId="17">#REF!</definedName>
    <definedName name="SE20_C">#REF!</definedName>
    <definedName name="SE20_COMP" localSheetId="17">#REF!</definedName>
    <definedName name="SE20_COMP">#REF!</definedName>
    <definedName name="SE21_" localSheetId="17">#REF!</definedName>
    <definedName name="SE21_">#REF!</definedName>
    <definedName name="SE21__" localSheetId="17">#REF!</definedName>
    <definedName name="SE21__">#REF!</definedName>
    <definedName name="SE21_C" localSheetId="17">#REF!</definedName>
    <definedName name="SE21_C">#REF!</definedName>
    <definedName name="SE22_" localSheetId="17">#REF!</definedName>
    <definedName name="SE22_">#REF!</definedName>
    <definedName name="SE22__" localSheetId="17">#REF!</definedName>
    <definedName name="SE22__">#REF!</definedName>
    <definedName name="SE22_COMP" localSheetId="17">#REF!</definedName>
    <definedName name="SE22_COMP">#REF!</definedName>
    <definedName name="SE23_" localSheetId="17">#REF!</definedName>
    <definedName name="SE23_">#REF!</definedName>
    <definedName name="SE23__" localSheetId="17">#REF!</definedName>
    <definedName name="SE23__">#REF!</definedName>
    <definedName name="SE23_C" localSheetId="17">#REF!</definedName>
    <definedName name="SE23_C">#REF!</definedName>
    <definedName name="SE24_" localSheetId="17">#REF!</definedName>
    <definedName name="SE24_">#REF!</definedName>
    <definedName name="SE24_C" localSheetId="17">#REF!</definedName>
    <definedName name="SE24_C">#REF!</definedName>
    <definedName name="SE25_" localSheetId="17">#REF!</definedName>
    <definedName name="SE25_">#REF!</definedName>
    <definedName name="SE25_C" localSheetId="17">#REF!</definedName>
    <definedName name="SE25_C">#REF!</definedName>
    <definedName name="SE26_" localSheetId="17">#REF!</definedName>
    <definedName name="SE26_">#REF!</definedName>
    <definedName name="SE26_C" localSheetId="17">#REF!</definedName>
    <definedName name="SE26_C">#REF!</definedName>
    <definedName name="SE26_COMP" localSheetId="17">#REF!</definedName>
    <definedName name="SE26_COMP">#REF!</definedName>
    <definedName name="SE27_" localSheetId="17">#REF!</definedName>
    <definedName name="SE27_">#REF!</definedName>
    <definedName name="SE27_C" localSheetId="17">#REF!</definedName>
    <definedName name="SE27_C">#REF!</definedName>
    <definedName name="SE28_" localSheetId="17">#REF!</definedName>
    <definedName name="SE28_">#REF!</definedName>
    <definedName name="SE28_C" localSheetId="17">#REF!</definedName>
    <definedName name="SE28_C">#REF!</definedName>
    <definedName name="SE28_COMP" localSheetId="17">#REF!</definedName>
    <definedName name="SE28_COMP">#REF!</definedName>
    <definedName name="SE29_" localSheetId="17">#REF!</definedName>
    <definedName name="SE29_">#REF!</definedName>
    <definedName name="SE29_C" localSheetId="17">#REF!</definedName>
    <definedName name="SE29_C">#REF!</definedName>
    <definedName name="SE29_COMP" localSheetId="17">#REF!</definedName>
    <definedName name="SE29_COMP">#REF!</definedName>
    <definedName name="SE30_" localSheetId="17">#REF!</definedName>
    <definedName name="SE30_">#REF!</definedName>
    <definedName name="SE30_C" localSheetId="17">#REF!</definedName>
    <definedName name="SE30_C">#REF!</definedName>
    <definedName name="SE30_COMP" localSheetId="17">#REF!</definedName>
    <definedName name="SE30_COMP">#REF!</definedName>
    <definedName name="SE31_" localSheetId="17">#REF!</definedName>
    <definedName name="SE31_">#REF!</definedName>
    <definedName name="SE31_C" localSheetId="17">#REF!</definedName>
    <definedName name="SE31_C">#REF!</definedName>
    <definedName name="SE31_COMP" localSheetId="17">#REF!</definedName>
    <definedName name="SE31_COMP">#REF!</definedName>
    <definedName name="SE32_" localSheetId="17">#REF!</definedName>
    <definedName name="SE32_">#REF!</definedName>
    <definedName name="SE32_C" localSheetId="17">#REF!</definedName>
    <definedName name="SE32_C">#REF!</definedName>
    <definedName name="SE32_COMP" localSheetId="17">#REF!</definedName>
    <definedName name="SE32_COMP">#REF!</definedName>
    <definedName name="SE33_" localSheetId="17">#REF!</definedName>
    <definedName name="SE33_">#REF!</definedName>
    <definedName name="SE33_C" localSheetId="17">#REF!</definedName>
    <definedName name="SE33_C">#REF!</definedName>
    <definedName name="SE33_COMP" localSheetId="17">#REF!</definedName>
    <definedName name="SE33_COMP">#REF!</definedName>
    <definedName name="SE34_" localSheetId="17">#REF!</definedName>
    <definedName name="SE34_">#REF!</definedName>
    <definedName name="SE34__" localSheetId="17">#REF!</definedName>
    <definedName name="SE34__">#REF!</definedName>
    <definedName name="SE34_COMP" localSheetId="17">#REF!</definedName>
    <definedName name="SE34_COMP">#REF!</definedName>
    <definedName name="SE35_" localSheetId="17">#REF!</definedName>
    <definedName name="SE35_">#REF!</definedName>
    <definedName name="SE35__" localSheetId="17">#REF!</definedName>
    <definedName name="SE35__">#REF!</definedName>
    <definedName name="SE35_C" localSheetId="17">#REF!</definedName>
    <definedName name="SE35_C">#REF!</definedName>
    <definedName name="SE35_COMP" localSheetId="17">#REF!</definedName>
    <definedName name="SE35_COMP">#REF!</definedName>
    <definedName name="SE36_" localSheetId="17">#REF!</definedName>
    <definedName name="SE36_">#REF!</definedName>
    <definedName name="SE36__" localSheetId="17">#REF!</definedName>
    <definedName name="SE36__">#REF!</definedName>
    <definedName name="SE36_C" localSheetId="17">#REF!</definedName>
    <definedName name="SE36_C">#REF!</definedName>
    <definedName name="SE36_COMP" localSheetId="17">#REF!</definedName>
    <definedName name="SE36_COMP">#REF!</definedName>
    <definedName name="SE37_" localSheetId="17">#REF!</definedName>
    <definedName name="SE37_">#REF!</definedName>
    <definedName name="SE37__" localSheetId="17">#REF!</definedName>
    <definedName name="SE37__">#REF!</definedName>
    <definedName name="SE37_C" localSheetId="17">#REF!</definedName>
    <definedName name="SE37_C">#REF!</definedName>
    <definedName name="SE37_COMP" localSheetId="17">#REF!</definedName>
    <definedName name="SE37_COMP">#REF!</definedName>
    <definedName name="SE38_" localSheetId="17">#REF!</definedName>
    <definedName name="SE38_">#REF!</definedName>
    <definedName name="SE38__" localSheetId="17">#REF!</definedName>
    <definedName name="SE38__">#REF!</definedName>
    <definedName name="SE38_C" localSheetId="17">#REF!</definedName>
    <definedName name="SE38_C">#REF!</definedName>
    <definedName name="SE38_COMP" localSheetId="17">#REF!</definedName>
    <definedName name="SE38_COMP">#REF!</definedName>
    <definedName name="SE39_" localSheetId="17">#REF!</definedName>
    <definedName name="SE39_">#REF!</definedName>
    <definedName name="SE39_C" localSheetId="17">#REF!</definedName>
    <definedName name="SE39_C">#REF!</definedName>
    <definedName name="SE39_COMP" localSheetId="17">#REF!</definedName>
    <definedName name="SE39_COMP">#REF!</definedName>
    <definedName name="SE40_" localSheetId="17">#REF!</definedName>
    <definedName name="SE40_">#REF!</definedName>
    <definedName name="SE40_C" localSheetId="17">#REF!</definedName>
    <definedName name="SE40_C">#REF!</definedName>
    <definedName name="SE40_COMP" localSheetId="17">#REF!</definedName>
    <definedName name="SE40_COMP">#REF!</definedName>
    <definedName name="SE41_" localSheetId="17">#REF!</definedName>
    <definedName name="SE41_">#REF!</definedName>
    <definedName name="SE41_C" localSheetId="17">#REF!</definedName>
    <definedName name="SE41_C">#REF!</definedName>
    <definedName name="SE41_COMP" localSheetId="17">#REF!</definedName>
    <definedName name="SE41_COMP">#REF!</definedName>
    <definedName name="SE42_" localSheetId="17">#REF!</definedName>
    <definedName name="SE42_">#REF!</definedName>
    <definedName name="SE42_C" localSheetId="17">#REF!</definedName>
    <definedName name="SE42_C">#REF!</definedName>
    <definedName name="SE42_COMP" localSheetId="17">#REF!</definedName>
    <definedName name="SE42_COMP">#REF!</definedName>
    <definedName name="SE43_" localSheetId="17">#REF!</definedName>
    <definedName name="SE43_">#REF!</definedName>
    <definedName name="SE43_C" localSheetId="17">#REF!</definedName>
    <definedName name="SE43_C">#REF!</definedName>
    <definedName name="SE43_COMP" localSheetId="17">#REF!</definedName>
    <definedName name="SE43_COMP">#REF!</definedName>
    <definedName name="SE44_" localSheetId="17">#REF!</definedName>
    <definedName name="SE44_">#REF!</definedName>
    <definedName name="SE44_C" localSheetId="17">#REF!</definedName>
    <definedName name="SE44_C">#REF!</definedName>
    <definedName name="SE44_COMP" localSheetId="17">#REF!</definedName>
    <definedName name="SE44_COMP">#REF!</definedName>
    <definedName name="SE45_" localSheetId="17">#REF!</definedName>
    <definedName name="SE45_">#REF!</definedName>
    <definedName name="SE45_C" localSheetId="17">#REF!</definedName>
    <definedName name="SE45_C">#REF!</definedName>
    <definedName name="SE45_COMP" localSheetId="17">#REF!</definedName>
    <definedName name="SE45_COMP">#REF!</definedName>
    <definedName name="SE46_" localSheetId="17">#REF!</definedName>
    <definedName name="SE46_">#REF!</definedName>
    <definedName name="SE46_C" localSheetId="17">#REF!</definedName>
    <definedName name="SE46_C">#REF!</definedName>
    <definedName name="SE46_COMP" localSheetId="17">#REF!</definedName>
    <definedName name="SE46_COMP">#REF!</definedName>
    <definedName name="SE47_" localSheetId="17">#REF!</definedName>
    <definedName name="SE47_">#REF!</definedName>
    <definedName name="SE47_C" localSheetId="17">#REF!</definedName>
    <definedName name="SE47_C">#REF!</definedName>
    <definedName name="SE47_COMP" localSheetId="17">#REF!</definedName>
    <definedName name="SE47_COMP">#REF!</definedName>
    <definedName name="SE48_" localSheetId="17">#REF!</definedName>
    <definedName name="SE48_">#REF!</definedName>
    <definedName name="SE48_C" localSheetId="17">#REF!</definedName>
    <definedName name="SE48_C">#REF!</definedName>
    <definedName name="SE48_COMP" localSheetId="17">#REF!</definedName>
    <definedName name="SE48_COMP">#REF!</definedName>
    <definedName name="SE49_" localSheetId="17">#REF!</definedName>
    <definedName name="SE49_">#REF!</definedName>
    <definedName name="SE49_C" localSheetId="17">#REF!</definedName>
    <definedName name="SE49_C">#REF!</definedName>
    <definedName name="SE49_COMP" localSheetId="17">#REF!</definedName>
    <definedName name="SE49_COMP">#REF!</definedName>
    <definedName name="SE50_" localSheetId="17">#REF!</definedName>
    <definedName name="SE50_">#REF!</definedName>
    <definedName name="SE50_C" localSheetId="17">#REF!</definedName>
    <definedName name="SE50_C">#REF!</definedName>
    <definedName name="SE50_COMP" localSheetId="17">#REF!</definedName>
    <definedName name="SE50_COMP">#REF!</definedName>
    <definedName name="SE51_" localSheetId="17">#REF!</definedName>
    <definedName name="SE51_">#REF!</definedName>
    <definedName name="SE51_C" localSheetId="17">#REF!</definedName>
    <definedName name="SE51_C">#REF!</definedName>
    <definedName name="SE52_" localSheetId="17">#REF!</definedName>
    <definedName name="SE52_">#REF!</definedName>
    <definedName name="SE52_C" localSheetId="17">#REF!</definedName>
    <definedName name="SE52_C">#REF!</definedName>
    <definedName name="SE53_" localSheetId="17">#REF!</definedName>
    <definedName name="SE53_">#REF!</definedName>
    <definedName name="SE53_C" localSheetId="17">#REF!</definedName>
    <definedName name="SE53_C">#REF!</definedName>
    <definedName name="SE54_" localSheetId="17">#REF!</definedName>
    <definedName name="SE54_">#REF!</definedName>
    <definedName name="SE54_C" localSheetId="17">#REF!</definedName>
    <definedName name="SE54_C">#REF!</definedName>
    <definedName name="SE55_" localSheetId="17">#REF!</definedName>
    <definedName name="SE55_">#REF!</definedName>
    <definedName name="SE55_C" localSheetId="17">#REF!</definedName>
    <definedName name="SE55_C">#REF!</definedName>
    <definedName name="SE56_" localSheetId="17">#REF!</definedName>
    <definedName name="SE56_">#REF!</definedName>
    <definedName name="SE56__" localSheetId="17">#REF!</definedName>
    <definedName name="SE56__">#REF!</definedName>
    <definedName name="SE56_C" localSheetId="17">#REF!</definedName>
    <definedName name="SE56_C">#REF!</definedName>
    <definedName name="SE57_" localSheetId="17">#REF!</definedName>
    <definedName name="SE57_">#REF!</definedName>
    <definedName name="SE57_C" localSheetId="17">#REF!</definedName>
    <definedName name="SE57_C">#REF!</definedName>
    <definedName name="SE58_" localSheetId="17">#REF!</definedName>
    <definedName name="SE58_">#REF!</definedName>
    <definedName name="SE58__" localSheetId="17">#REF!</definedName>
    <definedName name="SE58__">#REF!</definedName>
    <definedName name="SE58_C" localSheetId="17">#REF!</definedName>
    <definedName name="SE58_C">#REF!</definedName>
    <definedName name="SE58_comp" localSheetId="17">#REF!</definedName>
    <definedName name="SE58_comp">#REF!</definedName>
    <definedName name="SE59_" localSheetId="17">#REF!</definedName>
    <definedName name="SE59_">#REF!</definedName>
    <definedName name="SE59_C" localSheetId="17">#REF!</definedName>
    <definedName name="SE59_C">#REF!</definedName>
    <definedName name="SE59_COMP" localSheetId="17">#REF!</definedName>
    <definedName name="SE59_COMP">#REF!</definedName>
    <definedName name="SE60_" localSheetId="17">#REF!</definedName>
    <definedName name="SE60_">#REF!</definedName>
    <definedName name="SE60__" localSheetId="17">#REF!</definedName>
    <definedName name="SE60__">#REF!</definedName>
    <definedName name="SE61_" localSheetId="17">#REF!</definedName>
    <definedName name="SE61_">#REF!</definedName>
    <definedName name="SE62_" localSheetId="17">#REF!</definedName>
    <definedName name="SE62_">#REF!</definedName>
    <definedName name="SE62_C" localSheetId="17">#REF!</definedName>
    <definedName name="SE62_C">#REF!</definedName>
    <definedName name="SE63_" localSheetId="17">#REF!</definedName>
    <definedName name="SE63_">#REF!</definedName>
    <definedName name="se65__" localSheetId="17">#REF!</definedName>
    <definedName name="se65__">#REF!</definedName>
    <definedName name="SE67_" localSheetId="17">#REF!</definedName>
    <definedName name="SE67_">#REF!</definedName>
    <definedName name="SE68_" localSheetId="17">#REF!</definedName>
    <definedName name="SE68_">#REF!</definedName>
    <definedName name="SE692_" localSheetId="17">#REF!</definedName>
    <definedName name="SE692_">#REF!</definedName>
    <definedName name="SE72_C" localSheetId="17">#REF!</definedName>
    <definedName name="SE72_C">#REF!</definedName>
    <definedName name="SE74_" localSheetId="17">#REF!</definedName>
    <definedName name="SE74_">#REF!</definedName>
    <definedName name="SE75_" localSheetId="17">#REF!</definedName>
    <definedName name="SE75_">#REF!</definedName>
    <definedName name="SE76_" localSheetId="17">#REF!</definedName>
    <definedName name="SE76_">#REF!</definedName>
    <definedName name="SE77_C" localSheetId="17">#REF!</definedName>
    <definedName name="SE77_C">#REF!</definedName>
    <definedName name="SE78_" localSheetId="17">#REF!</definedName>
    <definedName name="SE78_">#REF!</definedName>
    <definedName name="SE79_" localSheetId="17">#REF!</definedName>
    <definedName name="SE79_">#REF!</definedName>
    <definedName name="SE80_" localSheetId="17">#REF!</definedName>
    <definedName name="SE80_">#REF!</definedName>
    <definedName name="SE81_" localSheetId="17">#REF!</definedName>
    <definedName name="SE81_">#REF!</definedName>
    <definedName name="SE82_" localSheetId="17">#REF!</definedName>
    <definedName name="SE82_">#REF!</definedName>
    <definedName name="SE83_" localSheetId="17">#REF!</definedName>
    <definedName name="SE83_">#REF!</definedName>
    <definedName name="SE84_" localSheetId="17">#REF!</definedName>
    <definedName name="SE84_">#REF!</definedName>
    <definedName name="SE85_" localSheetId="17">#REF!</definedName>
    <definedName name="SE85_">#REF!</definedName>
    <definedName name="SE86_" localSheetId="17">#REF!</definedName>
    <definedName name="SE86_">#REF!</definedName>
    <definedName name="SE87_" localSheetId="17">#REF!</definedName>
    <definedName name="SE87_">#REF!</definedName>
    <definedName name="SE88_" localSheetId="17">#REF!</definedName>
    <definedName name="SE88_">#REF!</definedName>
    <definedName name="SE89_" localSheetId="17">#REF!</definedName>
    <definedName name="SE89_">#REF!</definedName>
    <definedName name="SE90_" localSheetId="17">#REF!</definedName>
    <definedName name="SE90_">#REF!</definedName>
    <definedName name="segdfhg" localSheetId="17">#REF!</definedName>
    <definedName name="segdfhg">#REF!</definedName>
    <definedName name="SEGURO_SIEMACO__RJ">[1]SALÁRIOS!#REF!</definedName>
    <definedName name="SEGURO_SINDASSEIO__RS">[1]SALÁRIOS!#REF!</definedName>
    <definedName name="SEGURO_SINDISERVIÇOS">[1]SALÁRIOS!$L$3</definedName>
    <definedName name="SEGURO_SINELPA__PA">[1]SALÁRIOS!#REF!</definedName>
    <definedName name="SEGURO_SISDF">[1]SALÁRIOS!$L$7</definedName>
    <definedName name="SERVENTE" localSheetId="17">#REF!</definedName>
    <definedName name="SERVENTE">#REF!</definedName>
    <definedName name="SERVENTE_AREA_HOSPITALAR" localSheetId="17">#REF!</definedName>
    <definedName name="SERVENTE_AREA_HOSPITALAR">#REF!</definedName>
    <definedName name="Serviços">'[12]Dados - Não mexer'!$A:$A</definedName>
    <definedName name="SETA">#REF!</definedName>
    <definedName name="SFSF">#REF!</definedName>
    <definedName name="SH01_04" localSheetId="17">#REF!</definedName>
    <definedName name="SH01_04">#REF!</definedName>
    <definedName name="SH01_C" localSheetId="17">#REF!</definedName>
    <definedName name="SH01_C">#REF!</definedName>
    <definedName name="SH01_COMP" localSheetId="17">#REF!</definedName>
    <definedName name="SH01_COMP">#REF!</definedName>
    <definedName name="SH02_C" localSheetId="17">#REF!</definedName>
    <definedName name="SH02_C">#REF!</definedName>
    <definedName name="SH02_COMP" localSheetId="17">#REF!</definedName>
    <definedName name="SH02_COMP">#REF!</definedName>
    <definedName name="SH03_C" localSheetId="17">#REF!</definedName>
    <definedName name="SH03_C">#REF!</definedName>
    <definedName name="SH03_COMP" localSheetId="17">#REF!</definedName>
    <definedName name="SH03_COMP">#REF!</definedName>
    <definedName name="SH04_C" localSheetId="17">#REF!</definedName>
    <definedName name="SH04_C">#REF!</definedName>
    <definedName name="SH04_COMP" localSheetId="17">#REF!</definedName>
    <definedName name="SH04_COMP">#REF!</definedName>
    <definedName name="SH05_" localSheetId="17">#REF!</definedName>
    <definedName name="SH05_">#REF!</definedName>
    <definedName name="SH05_06" localSheetId="17">#REF!</definedName>
    <definedName name="SH05_06">#REF!</definedName>
    <definedName name="SH05_C" localSheetId="17">#REF!</definedName>
    <definedName name="SH05_C">#REF!</definedName>
    <definedName name="SH05_COMP" localSheetId="17">#REF!</definedName>
    <definedName name="SH05_COMP">#REF!</definedName>
    <definedName name="SH06_C" localSheetId="17">#REF!</definedName>
    <definedName name="SH06_C">#REF!</definedName>
    <definedName name="SH06_COMP" localSheetId="17">#REF!</definedName>
    <definedName name="SH06_COMP">#REF!</definedName>
    <definedName name="SH07_" localSheetId="17">#REF!</definedName>
    <definedName name="SH07_">#REF!</definedName>
    <definedName name="SH07_08" localSheetId="17">#REF!</definedName>
    <definedName name="SH07_08">#REF!</definedName>
    <definedName name="SH07_COMP" localSheetId="17">#REF!</definedName>
    <definedName name="SH07_COMP">#REF!</definedName>
    <definedName name="SH08_COMP" localSheetId="17">#REF!</definedName>
    <definedName name="SH08_COMP">#REF!</definedName>
    <definedName name="SH09_" localSheetId="17">#REF!</definedName>
    <definedName name="SH09_">#REF!</definedName>
    <definedName name="SH09_10" localSheetId="17">#REF!</definedName>
    <definedName name="SH09_10">#REF!</definedName>
    <definedName name="SH09_C" localSheetId="17">#REF!</definedName>
    <definedName name="SH09_C">#REF!</definedName>
    <definedName name="SH09_COMP" localSheetId="17">#REF!</definedName>
    <definedName name="SH09_COMP">#REF!</definedName>
    <definedName name="SH10_C" localSheetId="17">#REF!</definedName>
    <definedName name="SH10_C">#REF!</definedName>
    <definedName name="SH10_COMP" localSheetId="17">#REF!</definedName>
    <definedName name="SH10_COMP">#REF!</definedName>
    <definedName name="SH11_" localSheetId="17">#REF!</definedName>
    <definedName name="SH11_">#REF!</definedName>
    <definedName name="sh11__" localSheetId="17">#REF!</definedName>
    <definedName name="sh11__">#REF!</definedName>
    <definedName name="SH12_" localSheetId="17">#REF!</definedName>
    <definedName name="SH12_">#REF!</definedName>
    <definedName name="sh12__" localSheetId="17">#REF!</definedName>
    <definedName name="sh12__">#REF!</definedName>
    <definedName name="SH13_" localSheetId="17">#REF!</definedName>
    <definedName name="SH13_">#REF!</definedName>
    <definedName name="sh13__" localSheetId="17">#REF!</definedName>
    <definedName name="sh13__">#REF!</definedName>
    <definedName name="SH13_C" localSheetId="17">#REF!</definedName>
    <definedName name="SH13_C">#REF!</definedName>
    <definedName name="SH13_COMP" localSheetId="17">#REF!</definedName>
    <definedName name="SH13_COMP">#REF!</definedName>
    <definedName name="SH14_" localSheetId="17">#REF!</definedName>
    <definedName name="SH14_">#REF!</definedName>
    <definedName name="sh14__" localSheetId="17">#REF!</definedName>
    <definedName name="sh14__">#REF!</definedName>
    <definedName name="SH14_C" localSheetId="17">#REF!</definedName>
    <definedName name="SH14_C">#REF!</definedName>
    <definedName name="SH14_COMP" localSheetId="17">#REF!</definedName>
    <definedName name="SH14_COMP">#REF!</definedName>
    <definedName name="SH15_" localSheetId="17">#REF!</definedName>
    <definedName name="SH15_">#REF!</definedName>
    <definedName name="sh15__" localSheetId="17">#REF!</definedName>
    <definedName name="sh15__">#REF!</definedName>
    <definedName name="SH15_C" localSheetId="17">#REF!</definedName>
    <definedName name="SH15_C">#REF!</definedName>
    <definedName name="SH15_COMP" localSheetId="17">#REF!</definedName>
    <definedName name="SH15_COMP">#REF!</definedName>
    <definedName name="SH16_" localSheetId="17">#REF!</definedName>
    <definedName name="SH16_">#REF!</definedName>
    <definedName name="sh16__" localSheetId="17">#REF!</definedName>
    <definedName name="sh16__">#REF!</definedName>
    <definedName name="SH16_C" localSheetId="17">#REF!</definedName>
    <definedName name="SH16_C">#REF!</definedName>
    <definedName name="SH16_COMP" localSheetId="17">#REF!</definedName>
    <definedName name="SH16_COMP">#REF!</definedName>
    <definedName name="SH17_" localSheetId="17">#REF!</definedName>
    <definedName name="SH17_">#REF!</definedName>
    <definedName name="sh17__" localSheetId="17">#REF!</definedName>
    <definedName name="sh17__">#REF!</definedName>
    <definedName name="SH17_C" localSheetId="17">#REF!</definedName>
    <definedName name="SH17_C">#REF!</definedName>
    <definedName name="SH17_COMP" localSheetId="17">#REF!</definedName>
    <definedName name="SH17_COMP">#REF!</definedName>
    <definedName name="SH18_" localSheetId="17">#REF!</definedName>
    <definedName name="SH18_">#REF!</definedName>
    <definedName name="sh18__" localSheetId="17">#REF!</definedName>
    <definedName name="sh18__">#REF!</definedName>
    <definedName name="SH18_C" localSheetId="17">#REF!</definedName>
    <definedName name="SH18_C">#REF!</definedName>
    <definedName name="SH18_COMP" localSheetId="17">#REF!</definedName>
    <definedName name="SH18_COMP">#REF!</definedName>
    <definedName name="SH19_" localSheetId="17">#REF!</definedName>
    <definedName name="SH19_">#REF!</definedName>
    <definedName name="sh19__" localSheetId="17">#REF!</definedName>
    <definedName name="sh19__">#REF!</definedName>
    <definedName name="SH19_C" localSheetId="17">#REF!</definedName>
    <definedName name="SH19_C">#REF!</definedName>
    <definedName name="SH19_COMP" localSheetId="17">#REF!</definedName>
    <definedName name="SH19_COMP">#REF!</definedName>
    <definedName name="SH20_" localSheetId="17">#REF!</definedName>
    <definedName name="SH20_">#REF!</definedName>
    <definedName name="sh20__" localSheetId="17">#REF!</definedName>
    <definedName name="sh20__">#REF!</definedName>
    <definedName name="SH20_C" localSheetId="17">#REF!</definedName>
    <definedName name="SH20_C">#REF!</definedName>
    <definedName name="SH20_COMP" localSheetId="17">#REF!</definedName>
    <definedName name="SH20_COMP">#REF!</definedName>
    <definedName name="SH21_" localSheetId="17">#REF!</definedName>
    <definedName name="SH21_">#REF!</definedName>
    <definedName name="sh21__" localSheetId="17">#REF!</definedName>
    <definedName name="sh21__">#REF!</definedName>
    <definedName name="SH21_C" localSheetId="17">#REF!</definedName>
    <definedName name="SH21_C">#REF!</definedName>
    <definedName name="SH21_COMP" localSheetId="17">#REF!</definedName>
    <definedName name="SH21_COMP">#REF!</definedName>
    <definedName name="SH22_" localSheetId="17">#REF!</definedName>
    <definedName name="SH22_">#REF!</definedName>
    <definedName name="sh22__" localSheetId="17">#REF!</definedName>
    <definedName name="sh22__">#REF!</definedName>
    <definedName name="SH22_C" localSheetId="17">#REF!</definedName>
    <definedName name="SH22_C">#REF!</definedName>
    <definedName name="SH22_COMP" localSheetId="17">#REF!</definedName>
    <definedName name="SH22_COMP">#REF!</definedName>
    <definedName name="SH23_" localSheetId="17">#REF!</definedName>
    <definedName name="SH23_">#REF!</definedName>
    <definedName name="sh23__" localSheetId="17">#REF!</definedName>
    <definedName name="sh23__">#REF!</definedName>
    <definedName name="SH23_C" localSheetId="17">#REF!</definedName>
    <definedName name="SH23_C">#REF!</definedName>
    <definedName name="SH23_COMP" localSheetId="17">#REF!</definedName>
    <definedName name="SH23_COMP">#REF!</definedName>
    <definedName name="SH24_" localSheetId="17">#REF!</definedName>
    <definedName name="SH24_">#REF!</definedName>
    <definedName name="sh24__" localSheetId="17">#REF!</definedName>
    <definedName name="sh24__">#REF!</definedName>
    <definedName name="SH24_C" localSheetId="17">#REF!</definedName>
    <definedName name="SH24_C">#REF!</definedName>
    <definedName name="SH24_COMP" localSheetId="17">#REF!</definedName>
    <definedName name="SH24_COMP">#REF!</definedName>
    <definedName name="SH25_" localSheetId="17">#REF!</definedName>
    <definedName name="SH25_">#REF!</definedName>
    <definedName name="sh25__" localSheetId="17">#REF!</definedName>
    <definedName name="sh25__">#REF!</definedName>
    <definedName name="SH25_C" localSheetId="17">#REF!</definedName>
    <definedName name="SH25_C">#REF!</definedName>
    <definedName name="SH25_COMP" localSheetId="17">#REF!</definedName>
    <definedName name="SH25_COMP">#REF!</definedName>
    <definedName name="SH26_" localSheetId="17">#REF!</definedName>
    <definedName name="SH26_">#REF!</definedName>
    <definedName name="sh26__" localSheetId="17">#REF!</definedName>
    <definedName name="sh26__">#REF!</definedName>
    <definedName name="SH26_C" localSheetId="17">#REF!</definedName>
    <definedName name="SH26_C">#REF!</definedName>
    <definedName name="SH26_COMP" localSheetId="17">#REF!</definedName>
    <definedName name="SH26_COMP">#REF!</definedName>
    <definedName name="SH27_" localSheetId="17">#REF!</definedName>
    <definedName name="SH27_">#REF!</definedName>
    <definedName name="sh27__" localSheetId="17">#REF!</definedName>
    <definedName name="sh27__">#REF!</definedName>
    <definedName name="SH27_C" localSheetId="17">#REF!</definedName>
    <definedName name="SH27_C">#REF!</definedName>
    <definedName name="SH27_COMP" localSheetId="17">#REF!</definedName>
    <definedName name="SH27_COMP">#REF!</definedName>
    <definedName name="SH28_" localSheetId="17">#REF!</definedName>
    <definedName name="SH28_">#REF!</definedName>
    <definedName name="sh28__" localSheetId="17">#REF!</definedName>
    <definedName name="sh28__">#REF!</definedName>
    <definedName name="SH28_C" localSheetId="17">#REF!</definedName>
    <definedName name="SH28_C">#REF!</definedName>
    <definedName name="SH28_COMP" localSheetId="17">#REF!</definedName>
    <definedName name="SH28_COMP">#REF!</definedName>
    <definedName name="SH29_" localSheetId="17">#REF!</definedName>
    <definedName name="SH29_">#REF!</definedName>
    <definedName name="sh29__" localSheetId="17">#REF!</definedName>
    <definedName name="sh29__">#REF!</definedName>
    <definedName name="SH29_C" localSheetId="17">#REF!</definedName>
    <definedName name="SH29_C">#REF!</definedName>
    <definedName name="SH29_COMP" localSheetId="17">#REF!</definedName>
    <definedName name="SH29_COMP">#REF!</definedName>
    <definedName name="SH30_" localSheetId="17">#REF!</definedName>
    <definedName name="SH30_">#REF!</definedName>
    <definedName name="sh30__" localSheetId="17">#REF!</definedName>
    <definedName name="sh30__">#REF!</definedName>
    <definedName name="SH30_C" localSheetId="17">#REF!</definedName>
    <definedName name="SH30_C">#REF!</definedName>
    <definedName name="SH30_COMP" localSheetId="17">#REF!</definedName>
    <definedName name="SH30_COMP">#REF!</definedName>
    <definedName name="SH31_" localSheetId="17">#REF!</definedName>
    <definedName name="SH31_">#REF!</definedName>
    <definedName name="sh31__" localSheetId="17">#REF!</definedName>
    <definedName name="sh31__">#REF!</definedName>
    <definedName name="SH31_C" localSheetId="17">#REF!</definedName>
    <definedName name="SH31_C">#REF!</definedName>
    <definedName name="SH31_COMP" localSheetId="17">#REF!</definedName>
    <definedName name="SH31_COMP">#REF!</definedName>
    <definedName name="SH32_" localSheetId="17">#REF!</definedName>
    <definedName name="SH32_">#REF!</definedName>
    <definedName name="sh32__" localSheetId="17">#REF!</definedName>
    <definedName name="sh32__">#REF!</definedName>
    <definedName name="SH32_C" localSheetId="17">#REF!</definedName>
    <definedName name="SH32_C">#REF!</definedName>
    <definedName name="SH32_COMP" localSheetId="17">#REF!</definedName>
    <definedName name="SH32_COMP">#REF!</definedName>
    <definedName name="SH33_" localSheetId="17">#REF!</definedName>
    <definedName name="SH33_">#REF!</definedName>
    <definedName name="sh33__" localSheetId="17">#REF!</definedName>
    <definedName name="sh33__">#REF!</definedName>
    <definedName name="SH33_C" localSheetId="17">#REF!</definedName>
    <definedName name="SH33_C">#REF!</definedName>
    <definedName name="SH33_COMP" localSheetId="17">#REF!</definedName>
    <definedName name="SH33_COMP">#REF!</definedName>
    <definedName name="SH34_" localSheetId="17">#REF!</definedName>
    <definedName name="SH34_">#REF!</definedName>
    <definedName name="sh34__" localSheetId="17">#REF!</definedName>
    <definedName name="sh34__">#REF!</definedName>
    <definedName name="SH34_C" localSheetId="17">#REF!</definedName>
    <definedName name="SH34_C">#REF!</definedName>
    <definedName name="SH34_COMP" localSheetId="17">#REF!</definedName>
    <definedName name="SH34_COMP">#REF!</definedName>
    <definedName name="SH35_" localSheetId="17">#REF!</definedName>
    <definedName name="SH35_">#REF!</definedName>
    <definedName name="sh35__" localSheetId="17">#REF!</definedName>
    <definedName name="sh35__">#REF!</definedName>
    <definedName name="SH35_C" localSheetId="17">#REF!</definedName>
    <definedName name="SH35_C">#REF!</definedName>
    <definedName name="SH35_COMP" localSheetId="17">#REF!</definedName>
    <definedName name="SH35_COMP">#REF!</definedName>
    <definedName name="SH36_" localSheetId="17">#REF!</definedName>
    <definedName name="SH36_">#REF!</definedName>
    <definedName name="sh36__" localSheetId="17">#REF!</definedName>
    <definedName name="sh36__">#REF!</definedName>
    <definedName name="SH36_C" localSheetId="17">#REF!</definedName>
    <definedName name="SH36_C">#REF!</definedName>
    <definedName name="SH36_COMP" localSheetId="17">#REF!</definedName>
    <definedName name="SH36_COMP">#REF!</definedName>
    <definedName name="SH37_" localSheetId="17">#REF!</definedName>
    <definedName name="SH37_">#REF!</definedName>
    <definedName name="sh37__" localSheetId="17">#REF!</definedName>
    <definedName name="sh37__">#REF!</definedName>
    <definedName name="SH37_C" localSheetId="17">#REF!</definedName>
    <definedName name="SH37_C">#REF!</definedName>
    <definedName name="SH37_COMP" localSheetId="17">#REF!</definedName>
    <definedName name="SH37_COMP">#REF!</definedName>
    <definedName name="SH38_" localSheetId="17">#REF!</definedName>
    <definedName name="SH38_">#REF!</definedName>
    <definedName name="sh38__" localSheetId="17">#REF!</definedName>
    <definedName name="sh38__">#REF!</definedName>
    <definedName name="SH38_C" localSheetId="17">#REF!</definedName>
    <definedName name="SH38_C">#REF!</definedName>
    <definedName name="SH38_COMP" localSheetId="17">#REF!</definedName>
    <definedName name="SH38_COMP">#REF!</definedName>
    <definedName name="SH39_" localSheetId="17">#REF!</definedName>
    <definedName name="SH39_">#REF!</definedName>
    <definedName name="sh39__" localSheetId="17">#REF!</definedName>
    <definedName name="sh39__">#REF!</definedName>
    <definedName name="SH39_C" localSheetId="17">#REF!</definedName>
    <definedName name="SH39_C">#REF!</definedName>
    <definedName name="SH39_COMP" localSheetId="17">#REF!</definedName>
    <definedName name="SH39_COMP">#REF!</definedName>
    <definedName name="SH40_" localSheetId="17">#REF!</definedName>
    <definedName name="SH40_">#REF!</definedName>
    <definedName name="sh40__" localSheetId="17">#REF!</definedName>
    <definedName name="sh40__">#REF!</definedName>
    <definedName name="SH40_C" localSheetId="17">#REF!</definedName>
    <definedName name="SH40_C">#REF!</definedName>
    <definedName name="SH40_COMP" localSheetId="17">#REF!</definedName>
    <definedName name="SH40_COMP">#REF!</definedName>
    <definedName name="SH41_" localSheetId="17">#REF!</definedName>
    <definedName name="SH41_">#REF!</definedName>
    <definedName name="sh41__" localSheetId="17">#REF!</definedName>
    <definedName name="sh41__">#REF!</definedName>
    <definedName name="SH41_C" localSheetId="17">#REF!</definedName>
    <definedName name="SH41_C">#REF!</definedName>
    <definedName name="SH41_COMP" localSheetId="17">#REF!</definedName>
    <definedName name="SH41_COMP">#REF!</definedName>
    <definedName name="SH42_" localSheetId="17">#REF!</definedName>
    <definedName name="SH42_">#REF!</definedName>
    <definedName name="sh42__" localSheetId="17">#REF!</definedName>
    <definedName name="sh42__">#REF!</definedName>
    <definedName name="SH42_C" localSheetId="17">#REF!</definedName>
    <definedName name="SH42_C">#REF!</definedName>
    <definedName name="SH42_COMP" localSheetId="17">#REF!</definedName>
    <definedName name="SH42_COMP">#REF!</definedName>
    <definedName name="SH43_" localSheetId="17">#REF!</definedName>
    <definedName name="SH43_">#REF!</definedName>
    <definedName name="sh43__" localSheetId="17">#REF!</definedName>
    <definedName name="sh43__">#REF!</definedName>
    <definedName name="SH43_C" localSheetId="17">#REF!</definedName>
    <definedName name="SH43_C">#REF!</definedName>
    <definedName name="SH43_COMP" localSheetId="17">#REF!</definedName>
    <definedName name="SH43_COMP">#REF!</definedName>
    <definedName name="SH44_" localSheetId="17">#REF!</definedName>
    <definedName name="SH44_">#REF!</definedName>
    <definedName name="sh44__" localSheetId="17">#REF!</definedName>
    <definedName name="sh44__">#REF!</definedName>
    <definedName name="SH44_C" localSheetId="17">#REF!</definedName>
    <definedName name="SH44_C">#REF!</definedName>
    <definedName name="SH44_COMP" localSheetId="17">#REF!</definedName>
    <definedName name="SH44_COMP">#REF!</definedName>
    <definedName name="SH45_" localSheetId="17">#REF!</definedName>
    <definedName name="SH45_">#REF!</definedName>
    <definedName name="sh45__" localSheetId="17">#REF!</definedName>
    <definedName name="sh45__">#REF!</definedName>
    <definedName name="SH45_C" localSheetId="17">#REF!</definedName>
    <definedName name="SH45_C">#REF!</definedName>
    <definedName name="SH45_COMP" localSheetId="17">#REF!</definedName>
    <definedName name="SH45_COMP">#REF!</definedName>
    <definedName name="SH46_" localSheetId="17">#REF!</definedName>
    <definedName name="SH46_">#REF!</definedName>
    <definedName name="sh46__" localSheetId="17">#REF!</definedName>
    <definedName name="sh46__">#REF!</definedName>
    <definedName name="SH46_C" localSheetId="17">#REF!</definedName>
    <definedName name="SH46_C">#REF!</definedName>
    <definedName name="SH46_COMP" localSheetId="17">#REF!</definedName>
    <definedName name="SH46_COMP">#REF!</definedName>
    <definedName name="SH47_" localSheetId="17">#REF!</definedName>
    <definedName name="SH47_">#REF!</definedName>
    <definedName name="sh47__" localSheetId="17">#REF!</definedName>
    <definedName name="sh47__">#REF!</definedName>
    <definedName name="SH47_C" localSheetId="17">#REF!</definedName>
    <definedName name="SH47_C">#REF!</definedName>
    <definedName name="SH47_COMP" localSheetId="17">#REF!</definedName>
    <definedName name="SH47_COMP">#REF!</definedName>
    <definedName name="SH48_" localSheetId="17">#REF!</definedName>
    <definedName name="SH48_">#REF!</definedName>
    <definedName name="sh48__" localSheetId="17">#REF!</definedName>
    <definedName name="sh48__">#REF!</definedName>
    <definedName name="SH48_C" localSheetId="17">#REF!</definedName>
    <definedName name="SH48_C">#REF!</definedName>
    <definedName name="SH48_COMP" localSheetId="17">#REF!</definedName>
    <definedName name="SH48_COMP">#REF!</definedName>
    <definedName name="SH49_" localSheetId="17">#REF!</definedName>
    <definedName name="SH49_">#REF!</definedName>
    <definedName name="sh49__" localSheetId="17">#REF!</definedName>
    <definedName name="sh49__">#REF!</definedName>
    <definedName name="SH49_C" localSheetId="17">#REF!</definedName>
    <definedName name="SH49_C">#REF!</definedName>
    <definedName name="SH49_COMP" localSheetId="17">#REF!</definedName>
    <definedName name="SH49_COMP">#REF!</definedName>
    <definedName name="SH50_" localSheetId="17">#REF!</definedName>
    <definedName name="SH50_">#REF!</definedName>
    <definedName name="sh50__" localSheetId="17">#REF!</definedName>
    <definedName name="sh50__">#REF!</definedName>
    <definedName name="SH50_C" localSheetId="17">#REF!</definedName>
    <definedName name="SH50_C">#REF!</definedName>
    <definedName name="SH50_COMP" localSheetId="17">#REF!</definedName>
    <definedName name="SH50_COMP">#REF!</definedName>
    <definedName name="SH51_" localSheetId="17">#REF!</definedName>
    <definedName name="SH51_">#REF!</definedName>
    <definedName name="sh51__" localSheetId="17">#REF!</definedName>
    <definedName name="sh51__">#REF!</definedName>
    <definedName name="SH51_C" localSheetId="17">#REF!</definedName>
    <definedName name="SH51_C">#REF!</definedName>
    <definedName name="SH51_COMP" localSheetId="17">#REF!</definedName>
    <definedName name="SH51_COMP">#REF!</definedName>
    <definedName name="SH52_" localSheetId="17">#REF!</definedName>
    <definedName name="SH52_">#REF!</definedName>
    <definedName name="sh52__" localSheetId="17">#REF!</definedName>
    <definedName name="sh52__">#REF!</definedName>
    <definedName name="SH52_C" localSheetId="17">#REF!</definedName>
    <definedName name="SH52_C">#REF!</definedName>
    <definedName name="SH52_COMP" localSheetId="17">#REF!</definedName>
    <definedName name="SH52_COMP">#REF!</definedName>
    <definedName name="SH53_" localSheetId="17">#REF!</definedName>
    <definedName name="SH53_">#REF!</definedName>
    <definedName name="sh53__" localSheetId="17">#REF!</definedName>
    <definedName name="sh53__">#REF!</definedName>
    <definedName name="SH53_C" localSheetId="17">#REF!</definedName>
    <definedName name="SH53_C">#REF!</definedName>
    <definedName name="SH53_COMP" localSheetId="17">#REF!</definedName>
    <definedName name="SH53_COMP">#REF!</definedName>
    <definedName name="SH54_" localSheetId="17">#REF!</definedName>
    <definedName name="SH54_">#REF!</definedName>
    <definedName name="sh54__" localSheetId="17">#REF!</definedName>
    <definedName name="sh54__">#REF!</definedName>
    <definedName name="SH54_C" localSheetId="17">#REF!</definedName>
    <definedName name="SH54_C">#REF!</definedName>
    <definedName name="SH54_COMP" localSheetId="17">#REF!</definedName>
    <definedName name="SH54_COMP">#REF!</definedName>
    <definedName name="SH55_" localSheetId="17">#REF!</definedName>
    <definedName name="SH55_">#REF!</definedName>
    <definedName name="sh55__" localSheetId="17">#REF!</definedName>
    <definedName name="sh55__">#REF!</definedName>
    <definedName name="SH55_C" localSheetId="17">#REF!</definedName>
    <definedName name="SH55_C">#REF!</definedName>
    <definedName name="SH55_COMP" localSheetId="17">#REF!</definedName>
    <definedName name="SH55_COMP">#REF!</definedName>
    <definedName name="SH56_" localSheetId="17">#REF!</definedName>
    <definedName name="SH56_">#REF!</definedName>
    <definedName name="sh56__" localSheetId="17">#REF!</definedName>
    <definedName name="sh56__">#REF!</definedName>
    <definedName name="SH56_C" localSheetId="17">#REF!</definedName>
    <definedName name="SH56_C">#REF!</definedName>
    <definedName name="SH56_COMP" localSheetId="17">#REF!</definedName>
    <definedName name="SH56_COMP">#REF!</definedName>
    <definedName name="SH57_" localSheetId="17">#REF!</definedName>
    <definedName name="SH57_">#REF!</definedName>
    <definedName name="sh57__" localSheetId="17">#REF!</definedName>
    <definedName name="sh57__">#REF!</definedName>
    <definedName name="SH57_C" localSheetId="17">#REF!</definedName>
    <definedName name="SH57_C">#REF!</definedName>
    <definedName name="SH57_COMP" localSheetId="17">#REF!</definedName>
    <definedName name="SH57_COMP">#REF!</definedName>
    <definedName name="SH58_" localSheetId="17">#REF!</definedName>
    <definedName name="SH58_">#REF!</definedName>
    <definedName name="sh58__" localSheetId="17">#REF!</definedName>
    <definedName name="sh58__">#REF!</definedName>
    <definedName name="SH58_C" localSheetId="17">#REF!</definedName>
    <definedName name="SH58_C">#REF!</definedName>
    <definedName name="SH58_comp" localSheetId="17">#REF!</definedName>
    <definedName name="SH58_comp">#REF!</definedName>
    <definedName name="SH59_" localSheetId="17">#REF!</definedName>
    <definedName name="SH59_">#REF!</definedName>
    <definedName name="sh59__" localSheetId="17">#REF!</definedName>
    <definedName name="sh59__">#REF!</definedName>
    <definedName name="SH59_C" localSheetId="17">#REF!</definedName>
    <definedName name="SH59_C">#REF!</definedName>
    <definedName name="SH59_COMP" localSheetId="17">#REF!</definedName>
    <definedName name="SH59_COMP">#REF!</definedName>
    <definedName name="SH60_" localSheetId="17">#REF!</definedName>
    <definedName name="SH60_">#REF!</definedName>
    <definedName name="sh60__" localSheetId="17">#REF!</definedName>
    <definedName name="sh60__">#REF!</definedName>
    <definedName name="SH60_C" localSheetId="17">#REF!</definedName>
    <definedName name="SH60_C">#REF!</definedName>
    <definedName name="SH60_COMP" localSheetId="17">#REF!</definedName>
    <definedName name="SH60_COMP">#REF!</definedName>
    <definedName name="SH61_" localSheetId="17">#REF!</definedName>
    <definedName name="SH61_">#REF!</definedName>
    <definedName name="sh61__" localSheetId="17">#REF!</definedName>
    <definedName name="sh61__">#REF!</definedName>
    <definedName name="SH61_C" localSheetId="17">#REF!</definedName>
    <definedName name="SH61_C">#REF!</definedName>
    <definedName name="SH61_COMP" localSheetId="17">#REF!</definedName>
    <definedName name="SH61_COMP">#REF!</definedName>
    <definedName name="SH62_" localSheetId="17">#REF!</definedName>
    <definedName name="SH62_">#REF!</definedName>
    <definedName name="sh62__" localSheetId="17">#REF!</definedName>
    <definedName name="sh62__">#REF!</definedName>
    <definedName name="SH62_C" localSheetId="17">#REF!</definedName>
    <definedName name="SH62_C">#REF!</definedName>
    <definedName name="SH62_COMP" localSheetId="17">#REF!</definedName>
    <definedName name="SH62_COMP">#REF!</definedName>
    <definedName name="SH63_" localSheetId="17">#REF!</definedName>
    <definedName name="SH63_">#REF!</definedName>
    <definedName name="sh63__" localSheetId="17">#REF!</definedName>
    <definedName name="sh63__">#REF!</definedName>
    <definedName name="SH63_C" localSheetId="17">#REF!</definedName>
    <definedName name="SH63_C">#REF!</definedName>
    <definedName name="SH63_COMP" localSheetId="17">#REF!</definedName>
    <definedName name="SH63_COMP">#REF!</definedName>
    <definedName name="SH64_" localSheetId="17">#REF!</definedName>
    <definedName name="SH64_">#REF!</definedName>
    <definedName name="sh64__" localSheetId="17">#REF!</definedName>
    <definedName name="sh64__">#REF!</definedName>
    <definedName name="SH64_C" localSheetId="17">#REF!</definedName>
    <definedName name="SH64_C">#REF!</definedName>
    <definedName name="SH64_COMP" localSheetId="17">#REF!</definedName>
    <definedName name="SH64_COMP">#REF!</definedName>
    <definedName name="SH65_" localSheetId="17">#REF!</definedName>
    <definedName name="SH65_">#REF!</definedName>
    <definedName name="sh65__" localSheetId="17">#REF!</definedName>
    <definedName name="sh65__">#REF!</definedName>
    <definedName name="SH65_C" localSheetId="17">#REF!</definedName>
    <definedName name="SH65_C">#REF!</definedName>
    <definedName name="SH65_COMP" localSheetId="17">#REF!</definedName>
    <definedName name="SH65_COMP">#REF!</definedName>
    <definedName name="SH66_" localSheetId="17">#REF!</definedName>
    <definedName name="SH66_">#REF!</definedName>
    <definedName name="sh66__" localSheetId="17">#REF!</definedName>
    <definedName name="sh66__">#REF!</definedName>
    <definedName name="SH66_C" localSheetId="17">#REF!</definedName>
    <definedName name="SH66_C">#REF!</definedName>
    <definedName name="SH66_COMP" localSheetId="17">#REF!</definedName>
    <definedName name="SH66_COMP">#REF!</definedName>
    <definedName name="SH67_" localSheetId="17">#REF!</definedName>
    <definedName name="SH67_">#REF!</definedName>
    <definedName name="sh67__" localSheetId="17">#REF!</definedName>
    <definedName name="sh67__">#REF!</definedName>
    <definedName name="SH67_C" localSheetId="17">#REF!</definedName>
    <definedName name="SH67_C">#REF!</definedName>
    <definedName name="SH67_comp" localSheetId="17">#REF!</definedName>
    <definedName name="SH67_comp">#REF!</definedName>
    <definedName name="SH68_" localSheetId="17">#REF!</definedName>
    <definedName name="SH68_">#REF!</definedName>
    <definedName name="sh68__" localSheetId="17">#REF!</definedName>
    <definedName name="sh68__">#REF!</definedName>
    <definedName name="SH68_C" localSheetId="17">#REF!</definedName>
    <definedName name="SH68_C">#REF!</definedName>
    <definedName name="SH68_COMP" localSheetId="17">#REF!</definedName>
    <definedName name="SH68_COMP">#REF!</definedName>
    <definedName name="SH69_" localSheetId="17">#REF!</definedName>
    <definedName name="SH69_">#REF!</definedName>
    <definedName name="sh69__" localSheetId="17">#REF!</definedName>
    <definedName name="sh69__">#REF!</definedName>
    <definedName name="SH69_C" localSheetId="17">#REF!</definedName>
    <definedName name="SH69_C">#REF!</definedName>
    <definedName name="SH69_COMP" localSheetId="17">#REF!</definedName>
    <definedName name="SH69_COMP">#REF!</definedName>
    <definedName name="SH70_" localSheetId="17">#REF!</definedName>
    <definedName name="SH70_">#REF!</definedName>
    <definedName name="sh70__" localSheetId="17">#REF!</definedName>
    <definedName name="sh70__">#REF!</definedName>
    <definedName name="SH70_C" localSheetId="17">#REF!</definedName>
    <definedName name="SH70_C">#REF!</definedName>
    <definedName name="SH70_COMP" localSheetId="17">#REF!</definedName>
    <definedName name="SH70_COMP">#REF!</definedName>
    <definedName name="SH71_" localSheetId="17">#REF!</definedName>
    <definedName name="SH71_">#REF!</definedName>
    <definedName name="sh71__" localSheetId="17">#REF!</definedName>
    <definedName name="sh71__">#REF!</definedName>
    <definedName name="SH71_C" localSheetId="17">#REF!</definedName>
    <definedName name="SH71_C">#REF!</definedName>
    <definedName name="SH71_COMP" localSheetId="17">#REF!</definedName>
    <definedName name="SH71_COMP">#REF!</definedName>
    <definedName name="SH72_" localSheetId="17">#REF!</definedName>
    <definedName name="SH72_">#REF!</definedName>
    <definedName name="sh72__" localSheetId="17">#REF!</definedName>
    <definedName name="sh72__">#REF!</definedName>
    <definedName name="SH72_C" localSheetId="17">#REF!</definedName>
    <definedName name="SH72_C">#REF!</definedName>
    <definedName name="SH72_COMP" localSheetId="17">#REF!</definedName>
    <definedName name="SH72_COMP">#REF!</definedName>
    <definedName name="SH73_" localSheetId="17">#REF!</definedName>
    <definedName name="SH73_">#REF!</definedName>
    <definedName name="sh73__" localSheetId="17">#REF!</definedName>
    <definedName name="sh73__">#REF!</definedName>
    <definedName name="SH73_C" localSheetId="17">#REF!</definedName>
    <definedName name="SH73_C">#REF!</definedName>
    <definedName name="SH73_COMP" localSheetId="17">#REF!</definedName>
    <definedName name="SH73_COMP">#REF!</definedName>
    <definedName name="SH74_" localSheetId="17">#REF!</definedName>
    <definedName name="SH74_">#REF!</definedName>
    <definedName name="sh74__" localSheetId="17">#REF!</definedName>
    <definedName name="sh74__">#REF!</definedName>
    <definedName name="SH74_C" localSheetId="17">#REF!</definedName>
    <definedName name="SH74_C">#REF!</definedName>
    <definedName name="SH74_COMP" localSheetId="17">#REF!</definedName>
    <definedName name="SH74_COMP">#REF!</definedName>
    <definedName name="SH75_" localSheetId="17">#REF!</definedName>
    <definedName name="SH75_">#REF!</definedName>
    <definedName name="sh75__" localSheetId="17">#REF!</definedName>
    <definedName name="sh75__">#REF!</definedName>
    <definedName name="SH75_C" localSheetId="17">#REF!</definedName>
    <definedName name="SH75_C">#REF!</definedName>
    <definedName name="SH75_COMP" localSheetId="17">#REF!</definedName>
    <definedName name="SH75_COMP">#REF!</definedName>
    <definedName name="SH76_" localSheetId="17">#REF!</definedName>
    <definedName name="SH76_">#REF!</definedName>
    <definedName name="sh76__" localSheetId="17">#REF!</definedName>
    <definedName name="sh76__">#REF!</definedName>
    <definedName name="SH76_C" localSheetId="17">#REF!</definedName>
    <definedName name="SH76_C">#REF!</definedName>
    <definedName name="SH76_COMP" localSheetId="17">#REF!</definedName>
    <definedName name="SH76_COMP">#REF!</definedName>
    <definedName name="SH77_" localSheetId="17">#REF!</definedName>
    <definedName name="SH77_">#REF!</definedName>
    <definedName name="sh77__" localSheetId="17">#REF!</definedName>
    <definedName name="sh77__">#REF!</definedName>
    <definedName name="SH77_C" localSheetId="17">#REF!</definedName>
    <definedName name="SH77_C">#REF!</definedName>
    <definedName name="SH77_COMP" localSheetId="17">#REF!</definedName>
    <definedName name="SH77_COMP">#REF!</definedName>
    <definedName name="SH78_" localSheetId="17">#REF!</definedName>
    <definedName name="SH78_">#REF!</definedName>
    <definedName name="sh78__" localSheetId="17">#REF!</definedName>
    <definedName name="sh78__">#REF!</definedName>
    <definedName name="SH78_C" localSheetId="17">#REF!</definedName>
    <definedName name="SH78_C">#REF!</definedName>
    <definedName name="SH78_COMP" localSheetId="17">#REF!</definedName>
    <definedName name="SH78_COMP">#REF!</definedName>
    <definedName name="SH79_" localSheetId="17">#REF!</definedName>
    <definedName name="SH79_">#REF!</definedName>
    <definedName name="sh79__" localSheetId="17">#REF!</definedName>
    <definedName name="sh79__">#REF!</definedName>
    <definedName name="SH79_C" localSheetId="17">#REF!</definedName>
    <definedName name="SH79_C">#REF!</definedName>
    <definedName name="SH79_COMP" localSheetId="17">#REF!</definedName>
    <definedName name="SH79_COMP">#REF!</definedName>
    <definedName name="SH80_" localSheetId="17">#REF!</definedName>
    <definedName name="SH80_">#REF!</definedName>
    <definedName name="sh80__" localSheetId="17">#REF!</definedName>
    <definedName name="sh80__">#REF!</definedName>
    <definedName name="SH80_C" localSheetId="17">#REF!</definedName>
    <definedName name="SH80_C">#REF!</definedName>
    <definedName name="SH80_COMP" localSheetId="17">#REF!</definedName>
    <definedName name="SH80_COMP">#REF!</definedName>
    <definedName name="SH81_" localSheetId="17">#REF!</definedName>
    <definedName name="SH81_">#REF!</definedName>
    <definedName name="sh81__" localSheetId="17">#REF!</definedName>
    <definedName name="sh81__">#REF!</definedName>
    <definedName name="SH81_C" localSheetId="17">#REF!</definedName>
    <definedName name="SH81_C">#REF!</definedName>
    <definedName name="SH81_COMP" localSheetId="17">#REF!</definedName>
    <definedName name="SH81_COMP">#REF!</definedName>
    <definedName name="SH82_" localSheetId="17">#REF!</definedName>
    <definedName name="SH82_">#REF!</definedName>
    <definedName name="sh82__" localSheetId="17">#REF!</definedName>
    <definedName name="sh82__">#REF!</definedName>
    <definedName name="SH82_COMP" localSheetId="17">#REF!</definedName>
    <definedName name="SH82_COMP">#REF!</definedName>
    <definedName name="SH83_" localSheetId="17">#REF!</definedName>
    <definedName name="SH83_">#REF!</definedName>
    <definedName name="sh83__" localSheetId="17">#REF!</definedName>
    <definedName name="sh83__">#REF!</definedName>
    <definedName name="SH83_COMP" localSheetId="17">#REF!</definedName>
    <definedName name="SH83_COMP">#REF!</definedName>
    <definedName name="SH84_" localSheetId="17">#REF!</definedName>
    <definedName name="SH84_">#REF!</definedName>
    <definedName name="sh84__" localSheetId="17">#REF!</definedName>
    <definedName name="sh84__">#REF!</definedName>
    <definedName name="SH84_COMP" localSheetId="17">#REF!</definedName>
    <definedName name="SH84_COMP">#REF!</definedName>
    <definedName name="SH85_" localSheetId="17">#REF!</definedName>
    <definedName name="SH85_">#REF!</definedName>
    <definedName name="SH86_" localSheetId="17">#REF!</definedName>
    <definedName name="SH86_">#REF!</definedName>
    <definedName name="sh86_C" localSheetId="17">#REF!</definedName>
    <definedName name="sh86_C">#REF!</definedName>
    <definedName name="sh87_c" localSheetId="17">#REF!</definedName>
    <definedName name="sh87_c">#REF!</definedName>
    <definedName name="SH88_" localSheetId="17">#REF!</definedName>
    <definedName name="SH88_">#REF!</definedName>
    <definedName name="SH88__">#REF!</definedName>
    <definedName name="SH88_C" localSheetId="17">#REF!</definedName>
    <definedName name="SH88_C">#REF!</definedName>
    <definedName name="SH89_" localSheetId="17">#REF!</definedName>
    <definedName name="SH89_">#REF!</definedName>
    <definedName name="SH89_C" localSheetId="17">#REF!</definedName>
    <definedName name="SH89_C">#REF!</definedName>
    <definedName name="SH90_" localSheetId="17">#REF!</definedName>
    <definedName name="SH90_">#REF!</definedName>
    <definedName name="SH90_C" localSheetId="17">#REF!</definedName>
    <definedName name="SH90_C">#REF!</definedName>
    <definedName name="SH91_" localSheetId="17">#REF!</definedName>
    <definedName name="SH91_">#REF!</definedName>
    <definedName name="SHARED_FORMULA_10_4_10_4_10">"ROUND((#REF!*(#REF!%/12));2)"</definedName>
    <definedName name="SHARED_FORMULA_11_4_11_4_10">"ROUND((#REF!-#REF!)/#REF!;2)+#REF!"</definedName>
    <definedName name="SHARED_FORMULA_12_4_12_4_10">"#REF!*#REF!"</definedName>
    <definedName name="SHARED_FORMULA_3_2_3_2_0">"[.B3]*[.C3]"</definedName>
    <definedName name="SHARED_FORMULA_4_109_4_109_1">"ROUND([.D110]%*[.$E$52];2)"</definedName>
    <definedName name="SHARED_FORMULA_4_109_4_109_2">"ROUND([.D110]%*[.$E$52];2)"</definedName>
    <definedName name="SHARED_FORMULA_4_109_4_109_3">"ROUND([.D110]%*[.$E$52];2)"</definedName>
    <definedName name="SHARED_FORMULA_4_109_4_109_4">"ROUND([.D110]%*[.$E$52];2)"</definedName>
    <definedName name="SHARED_FORMULA_4_109_4_109_5">"ROUND([.D110]%*[.$E$52];2)"</definedName>
    <definedName name="SHARED_FORMULA_4_109_4_109_6">"ROUND([.D110]%*[.$E$52];2)"</definedName>
    <definedName name="SHARED_FORMULA_4_109_4_109_7">"ROUND([.D110]%*[.$E$52];2)"</definedName>
    <definedName name="SHARED_FORMULA_4_109_4_109_8">"ROUND([.D110]%*[.$E$52];2)"</definedName>
    <definedName name="SHARED_FORMULA_4_109_4_109_9">"ROUND([.D110]%*[.$E$52];2)"</definedName>
    <definedName name="SHARED_FORMULA_4_73_4_73_1">"ROUND([.D74]%*[.$E$52];2)"</definedName>
    <definedName name="SHARED_FORMULA_4_73_4_73_2">"ROUND([.D74]%*[.$E$52];2)"</definedName>
    <definedName name="SHARED_FORMULA_4_73_4_73_3">"ROUND([.D74]%*[.$E$52];2)"</definedName>
    <definedName name="SHARED_FORMULA_4_73_4_73_4">"ROUND([.D74]%*[.$E$52];2)"</definedName>
    <definedName name="SHARED_FORMULA_4_73_4_73_5">"ROUND([.D74]%*[.$E$52];2)"</definedName>
    <definedName name="SHARED_FORMULA_4_73_4_73_6">"ROUND([.D74]%*[.$E$52];2)"</definedName>
    <definedName name="SHARED_FORMULA_4_73_4_73_7">"ROUND([.D74]%*[.$E$52];2)"</definedName>
    <definedName name="SHARED_FORMULA_4_73_4_73_8">"ROUND([.D74]%*[.$E$52];2)"</definedName>
    <definedName name="SHARED_FORMULA_4_73_4_73_9">"ROUND([.D74]%*[.$E$52];2)"</definedName>
    <definedName name="SHARED_FORMULA_4_99_4_99_1">"ROUND([.D100]%*[.$E$52];2)"</definedName>
    <definedName name="SHARED_FORMULA_4_99_4_99_2">"ROUND([.D100]%*[.$E$52];2)"</definedName>
    <definedName name="SHARED_FORMULA_4_99_4_99_3">"ROUND([.D100]%*[.$E$52];2)"</definedName>
    <definedName name="SHARED_FORMULA_4_99_4_99_4">"ROUND([.D100]%*[.$E$52];2)"</definedName>
    <definedName name="SHARED_FORMULA_4_99_4_99_5">"ROUND([.D100]%*[.$E$52];2)"</definedName>
    <definedName name="SHARED_FORMULA_4_99_4_99_6">"ROUND([.D100]%*[.$E$52];2)"</definedName>
    <definedName name="SHARED_FORMULA_4_99_4_99_7">"ROUND([.D100]%*[.$E$52];2)"</definedName>
    <definedName name="SHARED_FORMULA_4_99_4_99_8">"ROUND([.D100]%*[.$E$52];2)"</definedName>
    <definedName name="SHARED_FORMULA_4_99_4_99_9">"ROUND([.D100]%*[.$E$52];2)"</definedName>
    <definedName name="SHARED_FORMULA_5_3_5_3_14">"(#REF!/12)*#REF!"</definedName>
    <definedName name="SHARED_FORMULA_9_4_9_4_10">"#REF!*#REF!"</definedName>
    <definedName name="SHGFSDHFFDG" localSheetId="17">#REF!</definedName>
    <definedName name="SHGFSDHFFDG">#REF!</definedName>
    <definedName name="SOMA" localSheetId="17">#REF!</definedName>
    <definedName name="SOMA">#REF!</definedName>
    <definedName name="SP_23" localSheetId="17">#REF!</definedName>
    <definedName name="SP_23">#REF!</definedName>
    <definedName name="SP_24" localSheetId="17">#REF!</definedName>
    <definedName name="SP_24">#REF!</definedName>
    <definedName name="SP_25" localSheetId="17">#REF!</definedName>
    <definedName name="SP_25">#REF!</definedName>
    <definedName name="SP_26" localSheetId="17">#REF!</definedName>
    <definedName name="SP_26">#REF!</definedName>
    <definedName name="SP_27" localSheetId="17">#REF!</definedName>
    <definedName name="SP_27">#REF!</definedName>
    <definedName name="SP_28" localSheetId="17">#REF!</definedName>
    <definedName name="SP_28">#REF!</definedName>
    <definedName name="SP_30" localSheetId="17">#REF!</definedName>
    <definedName name="SP_30">#REF!</definedName>
    <definedName name="SP_31" localSheetId="17">#REF!</definedName>
    <definedName name="SP_31">#REF!</definedName>
    <definedName name="SP_32" localSheetId="17">#REF!</definedName>
    <definedName name="SP_32">#REF!</definedName>
    <definedName name="SP_33" localSheetId="17">#REF!</definedName>
    <definedName name="SP_33">#REF!</definedName>
    <definedName name="SP_34" localSheetId="17">#REF!</definedName>
    <definedName name="SP_34">#REF!</definedName>
    <definedName name="SP_35" localSheetId="17">#REF!</definedName>
    <definedName name="SP_35">#REF!</definedName>
    <definedName name="SP_36" localSheetId="17">#REF!</definedName>
    <definedName name="SP_36">#REF!</definedName>
    <definedName name="SP_37" localSheetId="17">#REF!</definedName>
    <definedName name="SP_37">#REF!</definedName>
    <definedName name="SP_38" localSheetId="17">#REF!</definedName>
    <definedName name="SP_38">#REF!</definedName>
    <definedName name="SP_39" localSheetId="17">#REF!</definedName>
    <definedName name="SP_39">#REF!</definedName>
    <definedName name="SP_40" localSheetId="17">#REF!</definedName>
    <definedName name="SP_40">#REF!</definedName>
    <definedName name="SP_41" localSheetId="17">#REF!</definedName>
    <definedName name="SP_41">#REF!</definedName>
    <definedName name="SP_42" localSheetId="17">#REF!</definedName>
    <definedName name="SP_42">#REF!</definedName>
    <definedName name="SP_43" localSheetId="17">#REF!</definedName>
    <definedName name="SP_43">#REF!</definedName>
    <definedName name="SP_44" localSheetId="17">#REF!</definedName>
    <definedName name="SP_44">#REF!</definedName>
    <definedName name="SP_45a47" localSheetId="17">#REF!</definedName>
    <definedName name="SP_45a47">#REF!</definedName>
    <definedName name="SP_48" localSheetId="17">#REF!</definedName>
    <definedName name="SP_48">#REF!</definedName>
    <definedName name="SP_49" localSheetId="17">#REF!</definedName>
    <definedName name="SP_49">#REF!</definedName>
    <definedName name="SP01_" localSheetId="17">#REF!</definedName>
    <definedName name="SP01_">#REF!</definedName>
    <definedName name="SP02_" localSheetId="17">#REF!</definedName>
    <definedName name="SP02_">#REF!</definedName>
    <definedName name="SP03_" localSheetId="17">#REF!</definedName>
    <definedName name="SP03_">#REF!</definedName>
    <definedName name="SP04_" localSheetId="17">#REF!</definedName>
    <definedName name="SP04_">#REF!</definedName>
    <definedName name="SP05_" localSheetId="17">#REF!</definedName>
    <definedName name="SP05_">#REF!</definedName>
    <definedName name="SP06_" localSheetId="17">#REF!</definedName>
    <definedName name="SP06_">#REF!</definedName>
    <definedName name="SP06_C" localSheetId="17">#REF!</definedName>
    <definedName name="SP06_C">#REF!</definedName>
    <definedName name="SP06_COMP" localSheetId="17">#REF!</definedName>
    <definedName name="SP06_COMP">#REF!</definedName>
    <definedName name="SP07_" localSheetId="17">#REF!</definedName>
    <definedName name="SP07_">#REF!</definedName>
    <definedName name="SP07_C" localSheetId="17">#REF!</definedName>
    <definedName name="SP07_C">#REF!</definedName>
    <definedName name="SP07_COMP" localSheetId="17">#REF!</definedName>
    <definedName name="SP07_COMP">#REF!</definedName>
    <definedName name="SP08_" localSheetId="17">#REF!</definedName>
    <definedName name="SP08_">#REF!</definedName>
    <definedName name="SP08_C" localSheetId="17">#REF!</definedName>
    <definedName name="SP08_C">#REF!</definedName>
    <definedName name="SP08_COMP" localSheetId="17">#REF!</definedName>
    <definedName name="SP08_COMP">#REF!</definedName>
    <definedName name="SP09_" localSheetId="17">#REF!</definedName>
    <definedName name="SP09_">#REF!</definedName>
    <definedName name="SP10_" localSheetId="17">#REF!</definedName>
    <definedName name="SP10_">#REF!</definedName>
    <definedName name="SP11_" localSheetId="17">#REF!</definedName>
    <definedName name="SP11_">#REF!</definedName>
    <definedName name="SP11_C" localSheetId="17">#REF!</definedName>
    <definedName name="SP11_C">#REF!</definedName>
    <definedName name="SP11_COMP" localSheetId="17">#REF!</definedName>
    <definedName name="SP11_COMP">#REF!</definedName>
    <definedName name="SP12_" localSheetId="17">#REF!</definedName>
    <definedName name="SP12_">#REF!</definedName>
    <definedName name="SP12_C" localSheetId="17">#REF!</definedName>
    <definedName name="SP12_C">#REF!</definedName>
    <definedName name="SP12_COMP" localSheetId="17">#REF!</definedName>
    <definedName name="SP12_COMP">#REF!</definedName>
    <definedName name="SP13_" localSheetId="17">#REF!</definedName>
    <definedName name="SP13_">#REF!</definedName>
    <definedName name="SP13_C" localSheetId="17">#REF!</definedName>
    <definedName name="SP13_C">#REF!</definedName>
    <definedName name="SP13_COMP" localSheetId="17">#REF!</definedName>
    <definedName name="SP13_COMP">#REF!</definedName>
    <definedName name="SP14_" localSheetId="17">#REF!</definedName>
    <definedName name="SP14_">#REF!</definedName>
    <definedName name="SP15_" localSheetId="17">#REF!</definedName>
    <definedName name="SP15_">#REF!</definedName>
    <definedName name="SP16_" localSheetId="17">#REF!</definedName>
    <definedName name="SP16_">#REF!</definedName>
    <definedName name="SP17_" localSheetId="17">#REF!</definedName>
    <definedName name="SP17_">#REF!</definedName>
    <definedName name="SP18_" localSheetId="17">#REF!</definedName>
    <definedName name="SP18_">#REF!</definedName>
    <definedName name="SP19_" localSheetId="17">#REF!</definedName>
    <definedName name="SP19_">#REF!</definedName>
    <definedName name="SP20_" localSheetId="17">#REF!</definedName>
    <definedName name="SP20_">#REF!</definedName>
    <definedName name="SP21_" localSheetId="17">#REF!</definedName>
    <definedName name="SP21_">#REF!</definedName>
    <definedName name="SP22_" localSheetId="17">#REF!</definedName>
    <definedName name="SP22_">#REF!</definedName>
    <definedName name="SP27_C" localSheetId="17">#REF!</definedName>
    <definedName name="SP27_C">#REF!</definedName>
    <definedName name="SP27_COMP" localSheetId="17">#REF!</definedName>
    <definedName name="SP27_COMP">#REF!</definedName>
    <definedName name="SP28_C" localSheetId="17">#REF!</definedName>
    <definedName name="SP28_C">#REF!</definedName>
    <definedName name="SP28_COMP" localSheetId="17">#REF!</definedName>
    <definedName name="SP28_COMP">#REF!</definedName>
    <definedName name="SP29_" localSheetId="17">#REF!</definedName>
    <definedName name="SP29_">#REF!</definedName>
    <definedName name="SP31_C" localSheetId="17">#REF!</definedName>
    <definedName name="SP31_C">#REF!</definedName>
    <definedName name="SP31_COMP" localSheetId="17">#REF!</definedName>
    <definedName name="SP31_COMP">#REF!</definedName>
    <definedName name="SP32_C" localSheetId="17">#REF!</definedName>
    <definedName name="SP32_C">#REF!</definedName>
    <definedName name="SP32_COMP" localSheetId="17">#REF!</definedName>
    <definedName name="SP32_COMP">#REF!</definedName>
    <definedName name="SP35_C" localSheetId="17">#REF!</definedName>
    <definedName name="SP35_C">#REF!</definedName>
    <definedName name="SP35_COMP" localSheetId="17">#REF!</definedName>
    <definedName name="SP35_COMP">#REF!</definedName>
    <definedName name="SP36_C" localSheetId="17">#REF!</definedName>
    <definedName name="SP36_C">#REF!</definedName>
    <definedName name="SP36_COMP" localSheetId="17">#REF!</definedName>
    <definedName name="SP36_COMP">#REF!</definedName>
    <definedName name="SP37_C" localSheetId="17">#REF!</definedName>
    <definedName name="SP37_C">#REF!</definedName>
    <definedName name="SP37_COMP" localSheetId="17">#REF!</definedName>
    <definedName name="SP37_COMP">#REF!</definedName>
    <definedName name="SP42_C" localSheetId="17">#REF!</definedName>
    <definedName name="SP42_C">#REF!</definedName>
    <definedName name="SP42_COMP" localSheetId="17">#REF!</definedName>
    <definedName name="SP42_COMP">#REF!</definedName>
    <definedName name="SP43_C" localSheetId="17">#REF!</definedName>
    <definedName name="SP43_C">#REF!</definedName>
    <definedName name="SP43_COMP" localSheetId="17">#REF!</definedName>
    <definedName name="SP43_COMP">#REF!</definedName>
    <definedName name="SP44_C" localSheetId="17">#REF!</definedName>
    <definedName name="SP44_C">#REF!</definedName>
    <definedName name="SP44_COMP" localSheetId="17">#REF!</definedName>
    <definedName name="SP44_COMP">#REF!</definedName>
    <definedName name="SP50_" localSheetId="17">#REF!</definedName>
    <definedName name="SP50_">#REF!</definedName>
    <definedName name="SP51_" localSheetId="17">#REF!</definedName>
    <definedName name="SP51_">#REF!</definedName>
    <definedName name="SP51_C" localSheetId="17">#REF!</definedName>
    <definedName name="SP51_C">#REF!</definedName>
    <definedName name="SS">#REF!</definedName>
    <definedName name="ssss" localSheetId="17">#REF!</definedName>
    <definedName name="ssss">#REF!</definedName>
    <definedName name="ST01_05" localSheetId="17">#REF!</definedName>
    <definedName name="ST01_05">#REF!</definedName>
    <definedName name="ST01_C" localSheetId="17">#REF!</definedName>
    <definedName name="ST01_C">#REF!</definedName>
    <definedName name="ST01_COMP" localSheetId="17">#REF!</definedName>
    <definedName name="ST01_COMP">#REF!</definedName>
    <definedName name="ST02_C" localSheetId="17">#REF!</definedName>
    <definedName name="ST02_C">#REF!</definedName>
    <definedName name="ST02_COMP" localSheetId="17">#REF!</definedName>
    <definedName name="ST02_COMP">#REF!</definedName>
    <definedName name="ST03_C" localSheetId="17">#REF!</definedName>
    <definedName name="ST03_C">#REF!</definedName>
    <definedName name="ST03_COMP" localSheetId="17">#REF!</definedName>
    <definedName name="ST03_COMP">#REF!</definedName>
    <definedName name="ST04_C" localSheetId="17">#REF!</definedName>
    <definedName name="ST04_C">#REF!</definedName>
    <definedName name="ST04_COMP" localSheetId="17">#REF!</definedName>
    <definedName name="ST04_COMP">#REF!</definedName>
    <definedName name="ST05_COMP" localSheetId="17">#REF!</definedName>
    <definedName name="ST05_COMP">#REF!</definedName>
    <definedName name="ST06_" localSheetId="17">#REF!</definedName>
    <definedName name="ST06_">#REF!</definedName>
    <definedName name="ST06_COMP" localSheetId="17">#REF!</definedName>
    <definedName name="ST06_COMP">#REF!</definedName>
    <definedName name="ST07_" localSheetId="17">#REF!</definedName>
    <definedName name="ST07_">#REF!</definedName>
    <definedName name="ST07_COMP" localSheetId="17">#REF!</definedName>
    <definedName name="ST07_COMP">#REF!</definedName>
    <definedName name="ST08_" localSheetId="17">#REF!</definedName>
    <definedName name="ST08_">#REF!</definedName>
    <definedName name="ST08_COMP" localSheetId="17">#REF!</definedName>
    <definedName name="ST08_COMP">#REF!</definedName>
    <definedName name="SUBMOD_2_1_DEC_TERC_ADIC_FERIAS_12X36_DIU">!#REF!</definedName>
    <definedName name="SUBMOD_2_1_DEC_TERC_ADIC_FERIAS_12X36_NOT">!#REF!</definedName>
    <definedName name="SUBMOD_2_1_DEC_TERC_ADIC_FERIAS_44H">!#REF!</definedName>
    <definedName name="SUBMOD_2_2_GPS_FGTS_12X36_DIU">!#REF!</definedName>
    <definedName name="SUBMOD_2_2_GPS_FGTS_12X36_NOT">!#REF!</definedName>
    <definedName name="SUBMOD_2_2_GPS_FGTS_44H">!#REF!</definedName>
    <definedName name="SUBMOD_2_3_BENEFICIOS_12X36_DIU">!#REF!</definedName>
    <definedName name="SUBMOD_2_3_BENEFICIOS_12X36_NOT">!#REF!</definedName>
    <definedName name="SUBMOD_2_3_BENEFICIOS_44H">!#REF!</definedName>
    <definedName name="SUBMOD_4_1_AUSENCIAS_LEGAIS_44H">!#REF!</definedName>
    <definedName name="SUBMOD_4_1_SUBSTITUTO_12X36_DIU">!#REF!</definedName>
    <definedName name="SUBMOD_4_1_SUBSTITUTO_12X36_NOT">!#REF!</definedName>
    <definedName name="SUBMOD_4_1_SUBSTITUTO_44H">!#REF!</definedName>
    <definedName name="SUBMOD_4_2_INTRAJORNADA_12X36_DIU">!#REF!</definedName>
    <definedName name="SUBMOD_4_2_INTRAJORNADA_12X36_NOT">!#REF!</definedName>
    <definedName name="SUBMOD_4_2_INTRAJORNADA_44H">!#REF!</definedName>
    <definedName name="sv">#REF!</definedName>
    <definedName name="T">#REF!</definedName>
    <definedName name="T.1">#REF!</definedName>
    <definedName name="T.10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abela_Inpc" localSheetId="17">#REF!</definedName>
    <definedName name="Tabela_Inpc">#REF!</definedName>
    <definedName name="TabGeral" localSheetId="17">#REF!</definedName>
    <definedName name="TabGeral">#REF!</definedName>
    <definedName name="TaxaAdm">'[3]2. Param Gerais'!$D$15</definedName>
    <definedName name="Telefonista_VAZIA">#REF!</definedName>
    <definedName name="TEMPO_INTERVALO_REFEICAO" localSheetId="17">#REF!</definedName>
    <definedName name="TEMPO_INTERVALO_REFEICAO">#REF!</definedName>
    <definedName name="Teste">#N/A</definedName>
    <definedName name="TIPO_CONTRATAÇÃO">[10]FAP!$AM$8:$AM$13</definedName>
    <definedName name="tipo_de_contratação">[5]FAP!$H$14</definedName>
    <definedName name="Tipo_de_Joranda_de_Trabalho">OFFSET([13]Apoio!$A$1,1,0,COUNTA([13]Apoio!$A:$A)-1,1)</definedName>
    <definedName name="TIPO_DE_SERVICO" localSheetId="17">#REF!</definedName>
    <definedName name="TIPO_DE_SERVICO">#REF!</definedName>
    <definedName name="TIPO_DO_CERTAME">[10]FAP!$AJ$8:$AJ$13</definedName>
    <definedName name="To" localSheetId="17">#REF!</definedName>
    <definedName name="To">#REF!</definedName>
    <definedName name="TOT.P">#REF!</definedName>
    <definedName name="TOT1.P">#REF!</definedName>
    <definedName name="Total" localSheetId="17">#REF!</definedName>
    <definedName name="Total">#REF!</definedName>
    <definedName name="TOTALCLP03" localSheetId="17">#REF!</definedName>
    <definedName name="TOTALCLP03">#REF!</definedName>
    <definedName name="TRANSPORTE_POR_DIA" localSheetId="17">#REF!</definedName>
    <definedName name="TRANSPORTE_POR_DIA">#REF!</definedName>
    <definedName name="TRIBUTOS">#REF!</definedName>
    <definedName name="TT">#REF!</definedName>
    <definedName name="TT.1">#REF!</definedName>
    <definedName name="TT.10">#REF!</definedName>
    <definedName name="TT.11">#REF!</definedName>
    <definedName name="TT.12">#REF!</definedName>
    <definedName name="TT.13">#REF!</definedName>
    <definedName name="TT.14">#REF!</definedName>
    <definedName name="TT.15">#REF!</definedName>
    <definedName name="TT.2">#REF!</definedName>
    <definedName name="TT.3">#REF!</definedName>
    <definedName name="TT.4">#REF!</definedName>
    <definedName name="TT.5">#REF!</definedName>
    <definedName name="TT.6">#REF!</definedName>
    <definedName name="TT.7">#REF!</definedName>
    <definedName name="TT.8">#REF!</definedName>
    <definedName name="TT.9">#REF!</definedName>
    <definedName name="TxAdmCorporativa">'[3]2. Param Gerais'!$I$21</definedName>
    <definedName name="UF" localSheetId="17">#REF!</definedName>
    <definedName name="UF">#REF!</definedName>
    <definedName name="UG" localSheetId="17">#REF!</definedName>
    <definedName name="UG">#REF!</definedName>
    <definedName name="um">#REF!</definedName>
    <definedName name="UN" localSheetId="17">#REF!</definedName>
    <definedName name="UN">#REF!</definedName>
    <definedName name="uni">#REF!</definedName>
    <definedName name="unidade">#REF!</definedName>
    <definedName name="UNIFORME">#REF!</definedName>
    <definedName name="UniformeMensageiro" localSheetId="17">#REF!</definedName>
    <definedName name="UniformeMensageiro">#REF!</definedName>
    <definedName name="UniformeMensageiros" localSheetId="17">#REF!</definedName>
    <definedName name="UniformeMensageiros">#REF!</definedName>
    <definedName name="UniformeRecepcionista" localSheetId="17">#REF!</definedName>
    <definedName name="UniformeRecepcionista">#REF!</definedName>
    <definedName name="UNIFORMES" localSheetId="17">#REF!</definedName>
    <definedName name="UNIFORMES">#REF!</definedName>
    <definedName name="UU">#REF!</definedName>
    <definedName name="v" localSheetId="17">#REF!</definedName>
    <definedName name="v">#REF!</definedName>
    <definedName name="VA" localSheetId="17">#REF!</definedName>
    <definedName name="VA">#REF!</definedName>
    <definedName name="VA_SIEMACO__RJ">[1]SALÁRIOS!#REF!</definedName>
    <definedName name="VA_SINDASSEIO__RS">[1]SALÁRIOS!#REF!</definedName>
    <definedName name="VA_SINDISERVIÇOS">[1]SALÁRIOS!$L$1</definedName>
    <definedName name="VA_SINELPA__PA">[1]SALÁRIOS!#REF!</definedName>
    <definedName name="VA_SISDF">[1]SALÁRIOS!$L$5</definedName>
    <definedName name="VALOR_LIMITE_CONTRATACAO_POR_AREA" localSheetId="17">#REF!</definedName>
    <definedName name="VALOR_LIMITE_CONTRATACAO_POR_AREA">#REF!</definedName>
    <definedName name="VALOR_LIMITES_AREA_EXTERNA" localSheetId="17">#REF!</definedName>
    <definedName name="VALOR_LIMITES_AREA_EXTERNA">#REF!</definedName>
    <definedName name="VALOR_LIMITES_AREA_INTERNA" localSheetId="17">#REF!</definedName>
    <definedName name="VALOR_LIMITES_AREA_INTERNA">#REF!</definedName>
    <definedName name="VALOR_LIMITES_ESQ_EXTERNA" localSheetId="17">#REF!</definedName>
    <definedName name="VALOR_LIMITES_ESQ_EXTERNA">#REF!</definedName>
    <definedName name="VALOR_LIMITES_FACHADA_ENVID" localSheetId="17">#REF!</definedName>
    <definedName name="VALOR_LIMITES_FACHADA_ENVID">#REF!</definedName>
    <definedName name="VALOR_TOTAL_EMPREGADO_12x36_DIU">!#REF!</definedName>
    <definedName name="VALOR_TOTAL_EMPREGADO_12x36_NOT">!#REF!</definedName>
    <definedName name="VALOR_TOTAL_EMPREGADO_44H">!#REF!</definedName>
    <definedName name="VALOR_TOTAL_POSTO_12x36_DIU">!#REF!</definedName>
    <definedName name="VALOR_TOTAL_POSTO_12x36_NOT">!#REF!</definedName>
    <definedName name="VALOR_TOTAL_POSTO_44H">!#REF!</definedName>
    <definedName name="VALOR_TOTAL_SERV" localSheetId="17">#REF!</definedName>
    <definedName name="VALOR_TOTAL_SERV">#REF!</definedName>
    <definedName name="VALOR_TOTAL_SERV_HOSP" localSheetId="17">#REF!</definedName>
    <definedName name="VALOR_TOTAL_SERV_HOSP">#REF!</definedName>
    <definedName name="VC01_" localSheetId="17">#REF!</definedName>
    <definedName name="VC01_">#REF!</definedName>
    <definedName name="VC01__" localSheetId="17">#REF!</definedName>
    <definedName name="VC01__">#REF!</definedName>
    <definedName name="VC02_" localSheetId="17">#REF!</definedName>
    <definedName name="VC02_">#REF!</definedName>
    <definedName name="VC02__" localSheetId="17">#REF!</definedName>
    <definedName name="VC02__">#REF!</definedName>
    <definedName name="VC03_" localSheetId="17">#REF!</definedName>
    <definedName name="VC03_">#REF!</definedName>
    <definedName name="VC04_" localSheetId="17">#REF!</definedName>
    <definedName name="VC04_">#REF!</definedName>
    <definedName name="VC05_" localSheetId="17">#REF!</definedName>
    <definedName name="VC05_">#REF!</definedName>
    <definedName name="VC05_C" localSheetId="17">#REF!</definedName>
    <definedName name="VC05_C">#REF!</definedName>
    <definedName name="VC05_COMP" localSheetId="17">#REF!</definedName>
    <definedName name="VC05_COMP">#REF!</definedName>
    <definedName name="VC06_" localSheetId="17">#REF!</definedName>
    <definedName name="VC06_">#REF!</definedName>
    <definedName name="VC06_C" localSheetId="17">#REF!</definedName>
    <definedName name="VC06_C">#REF!</definedName>
    <definedName name="VD01_" localSheetId="17">#REF!</definedName>
    <definedName name="VD01_">#REF!</definedName>
    <definedName name="VD02_" localSheetId="17">#REF!</definedName>
    <definedName name="VD02_">#REF!</definedName>
    <definedName name="VD03_" localSheetId="17">#REF!</definedName>
    <definedName name="VD03_">#REF!</definedName>
    <definedName name="vd03__" localSheetId="17">#REF!</definedName>
    <definedName name="vd03__">#REF!</definedName>
    <definedName name="VD04_" localSheetId="17">#REF!</definedName>
    <definedName name="VD04_">#REF!</definedName>
    <definedName name="VD04_C" localSheetId="17">#REF!</definedName>
    <definedName name="VD04_C">#REF!</definedName>
    <definedName name="VD04_COMP" localSheetId="17">#REF!</definedName>
    <definedName name="VD04_COMP">#REF!</definedName>
    <definedName name="vr">#REF!</definedName>
    <definedName name="vt">#REF!</definedName>
    <definedName name="VT_SIEMACO__RJ">[1]SALÁRIOS!#REF!</definedName>
    <definedName name="VT_SINDASSEIO__RS">[1]SALÁRIOS!#REF!</definedName>
    <definedName name="VT_SINDISERVIÇOS">[1]SALÁRIOS!$L$2</definedName>
    <definedName name="VT_SINELPA__PA">[1]SALÁRIOS!#REF!</definedName>
    <definedName name="VT_SISDF">[1]SALÁRIOS!$L$6</definedName>
    <definedName name="VT01_" localSheetId="17">#REF!</definedName>
    <definedName name="VT01_">#REF!</definedName>
    <definedName name="VT01_C" localSheetId="17">#REF!</definedName>
    <definedName name="VT01_C">#REF!</definedName>
    <definedName name="VT01_COMP" localSheetId="17">#REF!</definedName>
    <definedName name="VT01_COMP">#REF!</definedName>
    <definedName name="VT02_" localSheetId="17">#REF!</definedName>
    <definedName name="VT02_">#REF!</definedName>
    <definedName name="VT02__" localSheetId="17">#REF!</definedName>
    <definedName name="VT02__">#REF!</definedName>
    <definedName name="VT02_C" localSheetId="17">#REF!</definedName>
    <definedName name="VT02_C">#REF!</definedName>
    <definedName name="VT02_COMP" localSheetId="17">#REF!</definedName>
    <definedName name="VT02_COMP">#REF!</definedName>
    <definedName name="VT03_" localSheetId="17">#REF!</definedName>
    <definedName name="VT03_">#REF!</definedName>
    <definedName name="VT03__" localSheetId="17">#REF!</definedName>
    <definedName name="VT03__">#REF!</definedName>
    <definedName name="VT03_C" localSheetId="17">#REF!</definedName>
    <definedName name="VT03_C">#REF!</definedName>
    <definedName name="VT03_COMP" localSheetId="17">#REF!</definedName>
    <definedName name="VT03_COMP">#REF!</definedName>
    <definedName name="VT04_" localSheetId="17">#REF!</definedName>
    <definedName name="VT04_">#REF!</definedName>
    <definedName name="vt04__" localSheetId="17">#REF!</definedName>
    <definedName name="vt04__">#REF!</definedName>
    <definedName name="VT04_C" localSheetId="17">#REF!</definedName>
    <definedName name="VT04_C">#REF!</definedName>
    <definedName name="VT04_COMP" localSheetId="17">#REF!</definedName>
    <definedName name="VT04_COMP">#REF!</definedName>
    <definedName name="VV">#REF!</definedName>
    <definedName name="vvvv" localSheetId="17">#REF!</definedName>
    <definedName name="vvvv">#REF!</definedName>
    <definedName name="W" localSheetId="17">#REF!</definedName>
    <definedName name="W">#REF!</definedName>
    <definedName name="wrn.ACABINT.">#REF!</definedName>
    <definedName name="wrn.ACABINT._.TOT.">#REF!</definedName>
    <definedName name="wrn.esq">#REF!</definedName>
    <definedName name="wrn.ESQ._.TOT.">#REF!</definedName>
    <definedName name="wrn.FACHADA.">#REF!</definedName>
    <definedName name="wrn.ferpilar">#REF!</definedName>
    <definedName name="wrn.FERPILAR.">#REF!</definedName>
    <definedName name="wrn.LEVFER.">#REF!</definedName>
    <definedName name="wrn.SERV._.PAVTO.">#REF!</definedName>
    <definedName name="wrn.serv.xls.">#REF!</definedName>
    <definedName name="WW">#REF!</definedName>
    <definedName name="X" localSheetId="17">#REF!</definedName>
    <definedName name="X">#REF!</definedName>
    <definedName name="xwswsxasx" localSheetId="17">#REF!</definedName>
    <definedName name="xwswsxasx">#REF!</definedName>
    <definedName name="XX">#REF!</definedName>
    <definedName name="XXX" localSheetId="17">#REF!</definedName>
    <definedName name="XXX">#REF!</definedName>
    <definedName name="YY">#REF!</definedName>
    <definedName name="z">#REF!</definedName>
    <definedName name="zdfsdf" localSheetId="17">#REF!</definedName>
    <definedName name="zdfsdf">#REF!</definedName>
    <definedName name="ZZ">#REF!</definedName>
    <definedName name="ZZZZZ" localSheetId="17">#REF!</definedName>
    <definedName name="ZZ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83" l="1"/>
  <c r="H13" i="183"/>
  <c r="H12" i="183"/>
  <c r="I12" i="183" s="1"/>
  <c r="J12" i="183" s="1"/>
  <c r="E21" i="188" l="1"/>
  <c r="G13" i="183" s="1"/>
  <c r="D84" i="191"/>
  <c r="D32" i="202"/>
  <c r="E32" i="202"/>
  <c r="C32" i="202"/>
  <c r="D31" i="202"/>
  <c r="E31" i="202"/>
  <c r="C31" i="202"/>
  <c r="C26" i="202"/>
  <c r="C14" i="202" l="1"/>
  <c r="G61" i="203"/>
  <c r="G60" i="203"/>
  <c r="L59" i="203"/>
  <c r="G59" i="203"/>
  <c r="G58" i="203"/>
  <c r="G57" i="203"/>
  <c r="G56" i="203"/>
  <c r="G62" i="203" s="1"/>
  <c r="G55" i="203"/>
  <c r="H55" i="203" s="1"/>
  <c r="U51" i="203"/>
  <c r="C51" i="203"/>
  <c r="C52" i="203" s="1"/>
  <c r="Q50" i="203"/>
  <c r="O50" i="203"/>
  <c r="M50" i="203"/>
  <c r="K50" i="203"/>
  <c r="G50" i="203"/>
  <c r="E50" i="203"/>
  <c r="U49" i="203"/>
  <c r="U48" i="203"/>
  <c r="O48" i="203"/>
  <c r="M48" i="203"/>
  <c r="K48" i="203"/>
  <c r="G48" i="203"/>
  <c r="F48" i="203"/>
  <c r="D48" i="203"/>
  <c r="E48" i="203" s="1"/>
  <c r="I44" i="203"/>
  <c r="E44" i="203"/>
  <c r="T43" i="203"/>
  <c r="I41" i="203"/>
  <c r="E41" i="203"/>
  <c r="T40" i="203"/>
  <c r="D40" i="203"/>
  <c r="S38" i="203"/>
  <c r="R38" i="203"/>
  <c r="Q38" i="203"/>
  <c r="P38" i="203"/>
  <c r="O38" i="203"/>
  <c r="N38" i="203"/>
  <c r="M38" i="203"/>
  <c r="L38" i="203"/>
  <c r="K38" i="203"/>
  <c r="J38" i="203"/>
  <c r="I38" i="203"/>
  <c r="H38" i="203"/>
  <c r="G38" i="203"/>
  <c r="F38" i="203"/>
  <c r="E38" i="203"/>
  <c r="S37" i="203"/>
  <c r="R37" i="203"/>
  <c r="Q37" i="203"/>
  <c r="P37" i="203"/>
  <c r="O37" i="203"/>
  <c r="N37" i="203"/>
  <c r="M37" i="203"/>
  <c r="L37" i="203"/>
  <c r="K37" i="203"/>
  <c r="J37" i="203"/>
  <c r="I37" i="203"/>
  <c r="G37" i="203"/>
  <c r="E37" i="203"/>
  <c r="S34" i="203"/>
  <c r="S35" i="203" s="1"/>
  <c r="R34" i="203"/>
  <c r="R35" i="203" s="1"/>
  <c r="Q34" i="203"/>
  <c r="Q35" i="203" s="1"/>
  <c r="Q1" i="203" s="1"/>
  <c r="P34" i="203"/>
  <c r="O34" i="203"/>
  <c r="N34" i="203"/>
  <c r="M34" i="203"/>
  <c r="M35" i="203" s="1"/>
  <c r="M1" i="203" s="1"/>
  <c r="L34" i="203"/>
  <c r="L35" i="203" s="1"/>
  <c r="K34" i="203"/>
  <c r="K35" i="203" s="1"/>
  <c r="J34" i="203"/>
  <c r="J35" i="203" s="1"/>
  <c r="I34" i="203"/>
  <c r="I35" i="203" s="1"/>
  <c r="I1" i="203" s="1"/>
  <c r="H34" i="203"/>
  <c r="H35" i="203" s="1"/>
  <c r="G34" i="203"/>
  <c r="G35" i="203" s="1"/>
  <c r="F34" i="203"/>
  <c r="F35" i="203" s="1"/>
  <c r="E34" i="203"/>
  <c r="E35" i="203" s="1"/>
  <c r="E1" i="203" s="1"/>
  <c r="S33" i="203"/>
  <c r="R33" i="203"/>
  <c r="Q33" i="203"/>
  <c r="P33" i="203"/>
  <c r="O33" i="203"/>
  <c r="N33" i="203"/>
  <c r="M33" i="203"/>
  <c r="L33" i="203"/>
  <c r="L1" i="203" s="1"/>
  <c r="K33" i="203"/>
  <c r="K1" i="203" s="1"/>
  <c r="J33" i="203"/>
  <c r="J1" i="203" s="1"/>
  <c r="I33" i="203"/>
  <c r="G33" i="203"/>
  <c r="E33" i="203"/>
  <c r="S32" i="203"/>
  <c r="S44" i="203" s="1"/>
  <c r="R32" i="203"/>
  <c r="R1" i="203" s="1"/>
  <c r="Q32" i="203"/>
  <c r="P32" i="203"/>
  <c r="P35" i="203" s="1"/>
  <c r="P1" i="203" s="1"/>
  <c r="O32" i="203"/>
  <c r="O44" i="203" s="1"/>
  <c r="N32" i="203"/>
  <c r="M32" i="203"/>
  <c r="M44" i="203" s="1"/>
  <c r="L32" i="203"/>
  <c r="K32" i="203"/>
  <c r="K44" i="203" s="1"/>
  <c r="J32" i="203"/>
  <c r="I32" i="203"/>
  <c r="H32" i="203"/>
  <c r="G32" i="203"/>
  <c r="G44" i="203" s="1"/>
  <c r="F32" i="203"/>
  <c r="E32" i="203"/>
  <c r="D32" i="203"/>
  <c r="D31" i="203" s="1"/>
  <c r="H31" i="203"/>
  <c r="F31" i="203"/>
  <c r="H28" i="203"/>
  <c r="H37" i="203" s="1"/>
  <c r="F28" i="203"/>
  <c r="F22" i="203"/>
  <c r="D22" i="203"/>
  <c r="F17" i="203"/>
  <c r="F37" i="203" s="1"/>
  <c r="D17" i="203"/>
  <c r="D33" i="203" s="1"/>
  <c r="H58" i="203" l="1"/>
  <c r="T44" i="203"/>
  <c r="T45" i="203" s="1"/>
  <c r="H60" i="203"/>
  <c r="G63" i="203"/>
  <c r="H61" i="203"/>
  <c r="H59" i="203"/>
  <c r="H57" i="203"/>
  <c r="O35" i="203"/>
  <c r="O1" i="203" s="1"/>
  <c r="G1" i="203"/>
  <c r="D37" i="203"/>
  <c r="K41" i="203"/>
  <c r="N35" i="203"/>
  <c r="N1" i="203" s="1"/>
  <c r="F33" i="203"/>
  <c r="F1" i="203" s="1"/>
  <c r="M41" i="203"/>
  <c r="S1" i="203"/>
  <c r="G41" i="203"/>
  <c r="T41" i="203" s="1"/>
  <c r="O41" i="203"/>
  <c r="H33" i="203"/>
  <c r="H1" i="203" s="1"/>
  <c r="D34" i="203"/>
  <c r="D35" i="203" s="1"/>
  <c r="D38" i="203"/>
  <c r="S41" i="203"/>
  <c r="H56" i="203"/>
  <c r="U41" i="203" l="1"/>
  <c r="V41" i="203" s="1"/>
  <c r="T42" i="203"/>
  <c r="D1" i="203"/>
  <c r="F14" i="183" l="1"/>
  <c r="F13" i="183"/>
  <c r="P5" i="202" l="1"/>
  <c r="P1" i="202" s="1"/>
  <c r="N5" i="202"/>
  <c r="N1" i="202" s="1"/>
  <c r="L6" i="202"/>
  <c r="L1" i="202" s="1"/>
  <c r="J6" i="202"/>
  <c r="J1" i="202" s="1"/>
  <c r="H6" i="202"/>
  <c r="H1" i="202" s="1"/>
  <c r="E17" i="202"/>
  <c r="D17" i="202"/>
  <c r="D16" i="202"/>
  <c r="C16" i="202"/>
  <c r="D14" i="202"/>
  <c r="D84" i="195"/>
  <c r="D84" i="190"/>
  <c r="D84" i="175"/>
  <c r="H84" i="175"/>
  <c r="E21" i="133" l="1"/>
  <c r="C27" i="202"/>
  <c r="D26" i="202"/>
  <c r="E28" i="202"/>
  <c r="E26" i="202"/>
  <c r="E21" i="189" s="1"/>
  <c r="C1" i="202"/>
  <c r="D1" i="202"/>
  <c r="E1" i="202"/>
  <c r="D27" i="202"/>
  <c r="E27" i="202"/>
  <c r="C28" i="202"/>
  <c r="C29" i="202" s="1"/>
  <c r="D28" i="202"/>
  <c r="C37" i="181"/>
  <c r="E29" i="202" l="1"/>
  <c r="D29" i="202"/>
  <c r="F4" i="198"/>
  <c r="F5" i="198"/>
  <c r="F6" i="198"/>
  <c r="F7" i="198"/>
  <c r="F8" i="198"/>
  <c r="F3" i="198"/>
  <c r="F18" i="198"/>
  <c r="F15" i="198"/>
  <c r="F16" i="198"/>
  <c r="F17" i="198"/>
  <c r="F19" i="198"/>
  <c r="F14" i="198"/>
  <c r="F9" i="198" l="1"/>
  <c r="F10" i="198" s="1"/>
  <c r="F20" i="198"/>
  <c r="F21" i="198" s="1"/>
  <c r="F23" i="198" s="1"/>
  <c r="E106" i="195" s="1"/>
  <c r="F20" i="183" l="1"/>
  <c r="G18" i="183" l="1"/>
  <c r="D120" i="195"/>
  <c r="F115" i="195"/>
  <c r="F116" i="195" s="1"/>
  <c r="F114" i="195"/>
  <c r="E108" i="195"/>
  <c r="E128" i="195" s="1"/>
  <c r="D90" i="195"/>
  <c r="D99" i="195" s="1"/>
  <c r="D101" i="195" s="1"/>
  <c r="D86" i="195"/>
  <c r="D75" i="195"/>
  <c r="D72" i="195"/>
  <c r="D73" i="195" s="1"/>
  <c r="D64" i="195"/>
  <c r="E55" i="195"/>
  <c r="D50" i="195"/>
  <c r="D76" i="195" s="1"/>
  <c r="D38" i="195"/>
  <c r="E29" i="195"/>
  <c r="E74" i="191"/>
  <c r="E74" i="175"/>
  <c r="D78" i="195" l="1"/>
  <c r="E31" i="195"/>
  <c r="E72" i="195" s="1"/>
  <c r="E54" i="195"/>
  <c r="E59" i="195" s="1"/>
  <c r="E66" i="195" s="1"/>
  <c r="D65" i="195"/>
  <c r="D67" i="195" s="1"/>
  <c r="E109" i="195" l="1"/>
  <c r="E77" i="195"/>
  <c r="E89" i="195"/>
  <c r="E75" i="195"/>
  <c r="E76" i="195" s="1"/>
  <c r="E124" i="195"/>
  <c r="E74" i="195"/>
  <c r="E37" i="195"/>
  <c r="E36" i="195"/>
  <c r="E38" i="195" s="1"/>
  <c r="E64" i="195" s="1"/>
  <c r="E73" i="195"/>
  <c r="E78" i="195" l="1"/>
  <c r="E126" i="195" s="1"/>
  <c r="E43" i="195"/>
  <c r="E46" i="195"/>
  <c r="E48" i="195"/>
  <c r="E44" i="195"/>
  <c r="E49" i="195"/>
  <c r="E45" i="195"/>
  <c r="E47" i="195"/>
  <c r="E42" i="195"/>
  <c r="E50" i="195" l="1"/>
  <c r="E65" i="195" s="1"/>
  <c r="E67" i="195" s="1"/>
  <c r="E84" i="195"/>
  <c r="E82" i="195"/>
  <c r="E29" i="189"/>
  <c r="E88" i="195" l="1"/>
  <c r="E87" i="195"/>
  <c r="E85" i="195"/>
  <c r="E86" i="195"/>
  <c r="E125" i="195"/>
  <c r="E94" i="195"/>
  <c r="E95" i="195" s="1"/>
  <c r="E100" i="195" s="1"/>
  <c r="E29" i="192"/>
  <c r="E29" i="191"/>
  <c r="E29" i="190"/>
  <c r="E29" i="175"/>
  <c r="E29" i="188"/>
  <c r="G19" i="183"/>
  <c r="G17" i="183"/>
  <c r="G16" i="183"/>
  <c r="G15" i="183"/>
  <c r="G14" i="183"/>
  <c r="E90" i="195" l="1"/>
  <c r="E99" i="195" s="1"/>
  <c r="E101" i="195" s="1"/>
  <c r="E127" i="195" s="1"/>
  <c r="E129" i="195" s="1"/>
  <c r="D54" i="192"/>
  <c r="D54" i="191"/>
  <c r="D54" i="190"/>
  <c r="D54" i="175"/>
  <c r="D54" i="189"/>
  <c r="D54" i="188"/>
  <c r="E114" i="195" l="1"/>
  <c r="D120" i="192"/>
  <c r="F115" i="192"/>
  <c r="F114" i="192"/>
  <c r="E108" i="192"/>
  <c r="E128" i="192" s="1"/>
  <c r="D86" i="192"/>
  <c r="D90" i="192" s="1"/>
  <c r="D99" i="192" s="1"/>
  <c r="D101" i="192" s="1"/>
  <c r="D75" i="192"/>
  <c r="D72" i="192"/>
  <c r="E55" i="192"/>
  <c r="D50" i="192"/>
  <c r="D38" i="192"/>
  <c r="D64" i="192" s="1"/>
  <c r="E31" i="192"/>
  <c r="E74" i="192" l="1"/>
  <c r="E115" i="195"/>
  <c r="F116" i="192"/>
  <c r="E54" i="192"/>
  <c r="E59" i="192" s="1"/>
  <c r="E66" i="192" s="1"/>
  <c r="E75" i="192"/>
  <c r="E77" i="192"/>
  <c r="E89" i="192"/>
  <c r="E37" i="192"/>
  <c r="E36" i="192"/>
  <c r="E124" i="192"/>
  <c r="E76" i="192"/>
  <c r="E72" i="192"/>
  <c r="D73" i="192"/>
  <c r="D76" i="192"/>
  <c r="D65" i="192"/>
  <c r="D67" i="192" s="1"/>
  <c r="E119" i="195" l="1"/>
  <c r="E118" i="195"/>
  <c r="E117" i="195"/>
  <c r="D78" i="192"/>
  <c r="E109" i="192" s="1"/>
  <c r="E38" i="192"/>
  <c r="E44" i="192" s="1"/>
  <c r="E47" i="192"/>
  <c r="E43" i="192"/>
  <c r="E73" i="192"/>
  <c r="E78" i="192"/>
  <c r="E126" i="192" s="1"/>
  <c r="E49" i="192" l="1"/>
  <c r="E48" i="192"/>
  <c r="E46" i="192"/>
  <c r="E120" i="195"/>
  <c r="E130" i="195" s="1"/>
  <c r="E131" i="195" s="1"/>
  <c r="E64" i="192"/>
  <c r="E45" i="192"/>
  <c r="E42" i="192"/>
  <c r="H18" i="183" l="1"/>
  <c r="I18" i="183" s="1"/>
  <c r="J18" i="183" s="1"/>
  <c r="O5" i="202"/>
  <c r="O1" i="202" s="1"/>
  <c r="E50" i="192"/>
  <c r="E82" i="192" s="1"/>
  <c r="E84" i="192" l="1"/>
  <c r="E65" i="192"/>
  <c r="E67" i="192" s="1"/>
  <c r="E94" i="192" s="1"/>
  <c r="E95" i="192" s="1"/>
  <c r="E100" i="192" s="1"/>
  <c r="E87" i="192"/>
  <c r="E88" i="192"/>
  <c r="E85" i="192"/>
  <c r="E86" i="192"/>
  <c r="E125" i="192" l="1"/>
  <c r="E90" i="192"/>
  <c r="E99" i="192" s="1"/>
  <c r="E101" i="192" s="1"/>
  <c r="E127" i="192" s="1"/>
  <c r="E129" i="192" s="1"/>
  <c r="E114" i="192" l="1"/>
  <c r="E115" i="192" l="1"/>
  <c r="E117" i="192" l="1"/>
  <c r="E119" i="192"/>
  <c r="E118" i="192"/>
  <c r="E120" i="192" l="1"/>
  <c r="E130" i="192" s="1"/>
  <c r="E131" i="192" s="1"/>
  <c r="Q5" i="202" l="1"/>
  <c r="Q1" i="202" s="1"/>
  <c r="H19" i="183"/>
  <c r="I19" i="183" s="1"/>
  <c r="C29" i="181"/>
  <c r="D75" i="133"/>
  <c r="C23" i="181"/>
  <c r="E27" i="181"/>
  <c r="J19" i="183" l="1"/>
  <c r="C30" i="181"/>
  <c r="D119" i="191"/>
  <c r="D118" i="191"/>
  <c r="D117" i="191"/>
  <c r="F115" i="191"/>
  <c r="F114" i="191"/>
  <c r="E108" i="191"/>
  <c r="E128" i="191" s="1"/>
  <c r="D88" i="191"/>
  <c r="D87" i="191"/>
  <c r="D85" i="191"/>
  <c r="D75" i="191"/>
  <c r="E55" i="191"/>
  <c r="D50" i="191"/>
  <c r="D38" i="191"/>
  <c r="D64" i="191" s="1"/>
  <c r="E54" i="191"/>
  <c r="E59" i="191" s="1"/>
  <c r="E66" i="191" s="1"/>
  <c r="D25" i="191"/>
  <c r="A5" i="191"/>
  <c r="D119" i="190"/>
  <c r="D118" i="190"/>
  <c r="D117" i="190"/>
  <c r="D120" i="190" s="1"/>
  <c r="F115" i="190"/>
  <c r="F114" i="190"/>
  <c r="E108" i="190"/>
  <c r="E128" i="190" s="1"/>
  <c r="D88" i="190"/>
  <c r="D87" i="190"/>
  <c r="D85" i="190"/>
  <c r="D75" i="190"/>
  <c r="E55" i="190"/>
  <c r="D50" i="190"/>
  <c r="D38" i="190"/>
  <c r="D64" i="190" s="1"/>
  <c r="E54" i="190"/>
  <c r="E59" i="190" s="1"/>
  <c r="E66" i="190" s="1"/>
  <c r="D25" i="190"/>
  <c r="A5" i="190"/>
  <c r="F116" i="191" l="1"/>
  <c r="F116" i="190"/>
  <c r="D120" i="191"/>
  <c r="E31" i="191"/>
  <c r="D76" i="191"/>
  <c r="D65" i="191"/>
  <c r="D67" i="191" s="1"/>
  <c r="E31" i="190"/>
  <c r="D76" i="190"/>
  <c r="D65" i="190"/>
  <c r="D67" i="190" s="1"/>
  <c r="D120" i="189"/>
  <c r="F115" i="189"/>
  <c r="F114" i="189"/>
  <c r="E108" i="189"/>
  <c r="E128" i="189" s="1"/>
  <c r="D86" i="189"/>
  <c r="D75" i="189"/>
  <c r="D72" i="189"/>
  <c r="D73" i="189" s="1"/>
  <c r="E55" i="189"/>
  <c r="D50" i="189"/>
  <c r="D38" i="189"/>
  <c r="D64" i="189" s="1"/>
  <c r="D120" i="188"/>
  <c r="F115" i="188"/>
  <c r="F114" i="188"/>
  <c r="E108" i="188"/>
  <c r="E128" i="188" s="1"/>
  <c r="D86" i="188"/>
  <c r="D75" i="188"/>
  <c r="D72" i="188"/>
  <c r="D73" i="188" s="1"/>
  <c r="E55" i="188"/>
  <c r="D50" i="188"/>
  <c r="D76" i="188" s="1"/>
  <c r="D38" i="188"/>
  <c r="D64" i="188" s="1"/>
  <c r="E31" i="188"/>
  <c r="C49" i="181"/>
  <c r="C48" i="181" s="1"/>
  <c r="D86" i="133"/>
  <c r="E75" i="190" l="1"/>
  <c r="E76" i="190" s="1"/>
  <c r="E74" i="190"/>
  <c r="E74" i="188"/>
  <c r="D86" i="191"/>
  <c r="D90" i="191" s="1"/>
  <c r="D99" i="191" s="1"/>
  <c r="D101" i="191" s="1"/>
  <c r="D86" i="190"/>
  <c r="D90" i="190" s="1"/>
  <c r="D99" i="190" s="1"/>
  <c r="D101" i="190" s="1"/>
  <c r="D90" i="133"/>
  <c r="E31" i="189"/>
  <c r="E36" i="189" s="1"/>
  <c r="E54" i="189"/>
  <c r="E59" i="189" s="1"/>
  <c r="E66" i="189" s="1"/>
  <c r="E54" i="188"/>
  <c r="E59" i="188" s="1"/>
  <c r="E66" i="188" s="1"/>
  <c r="D65" i="188"/>
  <c r="D67" i="188" s="1"/>
  <c r="E124" i="191"/>
  <c r="E77" i="191"/>
  <c r="E36" i="191"/>
  <c r="E37" i="191"/>
  <c r="E89" i="191"/>
  <c r="E75" i="191"/>
  <c r="E76" i="191" s="1"/>
  <c r="E89" i="190"/>
  <c r="E36" i="190"/>
  <c r="E37" i="190"/>
  <c r="E124" i="190"/>
  <c r="E77" i="190"/>
  <c r="F116" i="189"/>
  <c r="D76" i="189"/>
  <c r="D78" i="189" s="1"/>
  <c r="D65" i="189"/>
  <c r="D67" i="189" s="1"/>
  <c r="D90" i="189"/>
  <c r="D99" i="189" s="1"/>
  <c r="D101" i="189" s="1"/>
  <c r="F116" i="188"/>
  <c r="D78" i="188"/>
  <c r="E75" i="188"/>
  <c r="E76" i="188" s="1"/>
  <c r="E36" i="188"/>
  <c r="E72" i="188"/>
  <c r="E37" i="188"/>
  <c r="E77" i="188"/>
  <c r="E89" i="188"/>
  <c r="E124" i="188"/>
  <c r="D90" i="188"/>
  <c r="D99" i="188" s="1"/>
  <c r="D101" i="188" s="1"/>
  <c r="E77" i="189" l="1"/>
  <c r="E72" i="189"/>
  <c r="E73" i="189" s="1"/>
  <c r="E37" i="189"/>
  <c r="E38" i="189" s="1"/>
  <c r="E45" i="189" s="1"/>
  <c r="E75" i="189"/>
  <c r="E76" i="189" s="1"/>
  <c r="E74" i="189"/>
  <c r="E89" i="189"/>
  <c r="E38" i="191"/>
  <c r="E64" i="191" s="1"/>
  <c r="E124" i="189"/>
  <c r="E109" i="188"/>
  <c r="E47" i="191"/>
  <c r="E43" i="191"/>
  <c r="E48" i="191"/>
  <c r="E38" i="190"/>
  <c r="E109" i="189"/>
  <c r="E73" i="188"/>
  <c r="E78" i="188" s="1"/>
  <c r="E126" i="188" s="1"/>
  <c r="E38" i="188"/>
  <c r="E44" i="191" l="1"/>
  <c r="E46" i="191"/>
  <c r="E42" i="191"/>
  <c r="E49" i="189"/>
  <c r="E78" i="189"/>
  <c r="E126" i="189" s="1"/>
  <c r="E44" i="189"/>
  <c r="E48" i="189"/>
  <c r="E64" i="189"/>
  <c r="E42" i="189"/>
  <c r="E43" i="189"/>
  <c r="E46" i="189"/>
  <c r="E49" i="191"/>
  <c r="E45" i="191"/>
  <c r="E47" i="189"/>
  <c r="E64" i="190"/>
  <c r="E45" i="190"/>
  <c r="E47" i="190"/>
  <c r="E42" i="190"/>
  <c r="E49" i="190"/>
  <c r="E43" i="190"/>
  <c r="E46" i="190"/>
  <c r="E48" i="190"/>
  <c r="E44" i="190"/>
  <c r="E64" i="188"/>
  <c r="E44" i="188"/>
  <c r="E48" i="188"/>
  <c r="E47" i="188"/>
  <c r="E46" i="188"/>
  <c r="E42" i="188"/>
  <c r="E45" i="188"/>
  <c r="E43" i="188"/>
  <c r="E49" i="188"/>
  <c r="E50" i="191" l="1"/>
  <c r="E82" i="191" s="1"/>
  <c r="E50" i="189"/>
  <c r="E82" i="189" s="1"/>
  <c r="E65" i="191"/>
  <c r="E67" i="191" s="1"/>
  <c r="E84" i="191"/>
  <c r="E50" i="190"/>
  <c r="E82" i="190" s="1"/>
  <c r="E50" i="188"/>
  <c r="E82" i="188" s="1"/>
  <c r="E84" i="189" l="1"/>
  <c r="E65" i="189"/>
  <c r="E67" i="189" s="1"/>
  <c r="E94" i="189" s="1"/>
  <c r="E95" i="189" s="1"/>
  <c r="E100" i="189" s="1"/>
  <c r="E85" i="191"/>
  <c r="E87" i="191"/>
  <c r="E88" i="191"/>
  <c r="E86" i="191"/>
  <c r="E125" i="191"/>
  <c r="E65" i="190"/>
  <c r="E67" i="190" s="1"/>
  <c r="E84" i="190"/>
  <c r="E88" i="189"/>
  <c r="E87" i="189"/>
  <c r="E85" i="189"/>
  <c r="E86" i="189"/>
  <c r="E65" i="188"/>
  <c r="E67" i="188" s="1"/>
  <c r="E84" i="188"/>
  <c r="E125" i="189" l="1"/>
  <c r="E90" i="189"/>
  <c r="E99" i="189" s="1"/>
  <c r="E101" i="189" s="1"/>
  <c r="E127" i="189" s="1"/>
  <c r="E90" i="191"/>
  <c r="E99" i="191" s="1"/>
  <c r="E88" i="190"/>
  <c r="E87" i="190"/>
  <c r="E86" i="190"/>
  <c r="E85" i="190"/>
  <c r="E125" i="190"/>
  <c r="E87" i="188"/>
  <c r="E88" i="188"/>
  <c r="E85" i="188"/>
  <c r="E86" i="188"/>
  <c r="E125" i="188"/>
  <c r="E94" i="188"/>
  <c r="E95" i="188" s="1"/>
  <c r="E100" i="188" s="1"/>
  <c r="E129" i="189" l="1"/>
  <c r="E114" i="189" s="1"/>
  <c r="E90" i="190"/>
  <c r="E99" i="190" s="1"/>
  <c r="E90" i="188"/>
  <c r="E99" i="188" s="1"/>
  <c r="E101" i="188" s="1"/>
  <c r="E127" i="188" s="1"/>
  <c r="E129" i="188" s="1"/>
  <c r="E115" i="189" l="1"/>
  <c r="E114" i="188"/>
  <c r="E117" i="189" l="1"/>
  <c r="E119" i="189"/>
  <c r="E118" i="189"/>
  <c r="E115" i="188"/>
  <c r="E117" i="188" l="1"/>
  <c r="E120" i="189"/>
  <c r="E130" i="189" s="1"/>
  <c r="E118" i="188"/>
  <c r="E119" i="188"/>
  <c r="E131" i="189" l="1"/>
  <c r="E3" i="202" s="1"/>
  <c r="E120" i="188"/>
  <c r="E130" i="188" s="1"/>
  <c r="D72" i="133"/>
  <c r="H14" i="183" l="1"/>
  <c r="I14" i="183" s="1"/>
  <c r="J14" i="183" s="1"/>
  <c r="D72" i="191"/>
  <c r="D72" i="190"/>
  <c r="E131" i="188"/>
  <c r="D3" i="202" s="1"/>
  <c r="D73" i="190" l="1"/>
  <c r="D78" i="190"/>
  <c r="E109" i="190" s="1"/>
  <c r="E72" i="190"/>
  <c r="D73" i="191"/>
  <c r="D78" i="191"/>
  <c r="E109" i="191" s="1"/>
  <c r="E72" i="191"/>
  <c r="E73" i="191" l="1"/>
  <c r="E78" i="191" s="1"/>
  <c r="E73" i="190"/>
  <c r="E78" i="190" s="1"/>
  <c r="I13" i="183"/>
  <c r="J13" i="183" s="1"/>
  <c r="E126" i="190" l="1"/>
  <c r="E94" i="190"/>
  <c r="E95" i="190" s="1"/>
  <c r="E100" i="190" s="1"/>
  <c r="E101" i="190" s="1"/>
  <c r="E127" i="190" s="1"/>
  <c r="E126" i="191"/>
  <c r="E94" i="191"/>
  <c r="E95" i="191" s="1"/>
  <c r="E100" i="191" s="1"/>
  <c r="E101" i="191" s="1"/>
  <c r="E127" i="191" s="1"/>
  <c r="E129" i="190" l="1"/>
  <c r="E114" i="190" s="1"/>
  <c r="E129" i="191"/>
  <c r="E114" i="191" s="1"/>
  <c r="F115" i="175"/>
  <c r="F115" i="133"/>
  <c r="C39" i="181"/>
  <c r="E55" i="133"/>
  <c r="E115" i="190" l="1"/>
  <c r="E115" i="191"/>
  <c r="E55" i="175"/>
  <c r="E118" i="191" l="1"/>
  <c r="E118" i="190"/>
  <c r="E119" i="190"/>
  <c r="E119" i="191"/>
  <c r="E117" i="190"/>
  <c r="E117" i="191"/>
  <c r="D119" i="175"/>
  <c r="D118" i="175"/>
  <c r="D117" i="175"/>
  <c r="D88" i="175"/>
  <c r="D87" i="175"/>
  <c r="D86" i="175"/>
  <c r="D85" i="175"/>
  <c r="D75" i="175"/>
  <c r="D72" i="175"/>
  <c r="D73" i="175" s="1"/>
  <c r="D25" i="175"/>
  <c r="A5" i="175"/>
  <c r="E120" i="191" l="1"/>
  <c r="E130" i="191" s="1"/>
  <c r="E131" i="191" s="1"/>
  <c r="E120" i="190"/>
  <c r="E130" i="190" s="1"/>
  <c r="E131" i="190" s="1"/>
  <c r="K6" i="202" s="1"/>
  <c r="K1" i="202" s="1"/>
  <c r="C36" i="181"/>
  <c r="H17" i="183" l="1"/>
  <c r="I17" i="183" s="1"/>
  <c r="J17" i="183" s="1"/>
  <c r="M6" i="202"/>
  <c r="M1" i="202" s="1"/>
  <c r="H16" i="183"/>
  <c r="I16" i="183" s="1"/>
  <c r="J16" i="183" s="1"/>
  <c r="C42" i="181"/>
  <c r="C27" i="181"/>
  <c r="C9" i="181"/>
  <c r="C11" i="181" s="1"/>
  <c r="C32" i="181" l="1"/>
  <c r="D120" i="175" l="1"/>
  <c r="D90" i="175"/>
  <c r="D99" i="175" s="1"/>
  <c r="D101" i="175" s="1"/>
  <c r="D50" i="175"/>
  <c r="D65" i="175" s="1"/>
  <c r="D38" i="175"/>
  <c r="D64" i="175" s="1"/>
  <c r="E54" i="175"/>
  <c r="E31" i="175" l="1"/>
  <c r="E89" i="175" s="1"/>
  <c r="D76" i="175"/>
  <c r="D78" i="175" s="1"/>
  <c r="D67" i="175"/>
  <c r="E77" i="175"/>
  <c r="E124" i="175" l="1"/>
  <c r="E36" i="175"/>
  <c r="E72" i="175"/>
  <c r="E73" i="175" s="1"/>
  <c r="E37" i="175"/>
  <c r="E75" i="175"/>
  <c r="E76" i="175" s="1"/>
  <c r="E109" i="175"/>
  <c r="E59" i="175"/>
  <c r="E66" i="175" s="1"/>
  <c r="E38" i="175" l="1"/>
  <c r="E78" i="175"/>
  <c r="E126" i="175" s="1"/>
  <c r="E48" i="175"/>
  <c r="E42" i="175"/>
  <c r="E49" i="175"/>
  <c r="E43" i="175"/>
  <c r="E64" i="175" l="1"/>
  <c r="E45" i="175"/>
  <c r="E46" i="175"/>
  <c r="E44" i="175"/>
  <c r="E47" i="175"/>
  <c r="E50" i="175"/>
  <c r="E84" i="175" s="1"/>
  <c r="E65" i="175" l="1"/>
  <c r="E67" i="175" s="1"/>
  <c r="E94" i="175" s="1"/>
  <c r="E95" i="175" s="1"/>
  <c r="E100" i="175" s="1"/>
  <c r="E82" i="175"/>
  <c r="E87" i="175"/>
  <c r="E88" i="175"/>
  <c r="E86" i="175"/>
  <c r="E85" i="175"/>
  <c r="E125" i="175"/>
  <c r="E90" i="175" l="1"/>
  <c r="E99" i="175" s="1"/>
  <c r="E101" i="175" s="1"/>
  <c r="E127" i="175" s="1"/>
  <c r="D50" i="133" l="1"/>
  <c r="D76" i="133" s="1"/>
  <c r="D99" i="133"/>
  <c r="E108" i="175" l="1"/>
  <c r="E128" i="175" s="1"/>
  <c r="E129" i="175" s="1"/>
  <c r="E114" i="175" l="1"/>
  <c r="E29" i="133"/>
  <c r="D120" i="133"/>
  <c r="D73" i="133"/>
  <c r="D38" i="133"/>
  <c r="D64" i="133" s="1"/>
  <c r="E115" i="175" l="1"/>
  <c r="E118" i="175"/>
  <c r="E117" i="175"/>
  <c r="E54" i="133"/>
  <c r="E59" i="133" s="1"/>
  <c r="E31" i="133"/>
  <c r="D101" i="133"/>
  <c r="D65" i="133"/>
  <c r="D67" i="133" s="1"/>
  <c r="E119" i="175" l="1"/>
  <c r="E120" i="175"/>
  <c r="E130" i="175" s="1"/>
  <c r="E131" i="175" s="1"/>
  <c r="I6" i="202" s="1"/>
  <c r="E74" i="133"/>
  <c r="E72" i="133"/>
  <c r="E73" i="133" s="1"/>
  <c r="E66" i="133"/>
  <c r="E36" i="133"/>
  <c r="E75" i="133"/>
  <c r="E76" i="133" s="1"/>
  <c r="E124" i="133"/>
  <c r="E37" i="133"/>
  <c r="E89" i="133"/>
  <c r="E77" i="133"/>
  <c r="D78" i="133"/>
  <c r="E109" i="133" s="1"/>
  <c r="H15" i="183" l="1"/>
  <c r="I15" i="183" s="1"/>
  <c r="J15" i="183" s="1"/>
  <c r="E38" i="133"/>
  <c r="E78" i="133"/>
  <c r="E126" i="133" s="1"/>
  <c r="E64" i="133" l="1"/>
  <c r="E42" i="133"/>
  <c r="E48" i="133"/>
  <c r="E46" i="133"/>
  <c r="E47" i="133"/>
  <c r="E44" i="133"/>
  <c r="E49" i="133"/>
  <c r="E43" i="133"/>
  <c r="E45" i="133"/>
  <c r="F114" i="175"/>
  <c r="F116" i="175" s="1"/>
  <c r="E50" i="133" l="1"/>
  <c r="E82" i="133" l="1"/>
  <c r="E88" i="133" s="1"/>
  <c r="E84" i="133"/>
  <c r="E65" i="133"/>
  <c r="E67" i="133" s="1"/>
  <c r="E125" i="133" s="1"/>
  <c r="E85" i="133" l="1"/>
  <c r="E94" i="133"/>
  <c r="E95" i="133" s="1"/>
  <c r="E100" i="133" s="1"/>
  <c r="E86" i="133"/>
  <c r="E87" i="133"/>
  <c r="E90" i="133" l="1"/>
  <c r="E99" i="133" s="1"/>
  <c r="E101" i="133" s="1"/>
  <c r="E127" i="133" s="1"/>
  <c r="D124" i="110"/>
  <c r="D125" i="110"/>
  <c r="D123" i="110"/>
  <c r="D121" i="110"/>
  <c r="D120" i="110"/>
  <c r="D20" i="110"/>
  <c r="D8" i="110"/>
  <c r="A5" i="110"/>
  <c r="F43" i="108"/>
  <c r="G43" i="108"/>
  <c r="F44" i="108"/>
  <c r="G44" i="108" s="1"/>
  <c r="F45" i="108"/>
  <c r="G45" i="108" s="1"/>
  <c r="F46" i="108"/>
  <c r="G46" i="108"/>
  <c r="F47" i="108"/>
  <c r="G47" i="108"/>
  <c r="F48" i="108"/>
  <c r="G48" i="108"/>
  <c r="F49" i="108"/>
  <c r="G49" i="108"/>
  <c r="F50" i="108"/>
  <c r="G50" i="108" s="1"/>
  <c r="F51" i="108"/>
  <c r="G51" i="108" s="1"/>
  <c r="F52" i="108"/>
  <c r="G52" i="108"/>
  <c r="F53" i="108"/>
  <c r="G53" i="108"/>
  <c r="F54" i="108"/>
  <c r="G54" i="108"/>
  <c r="F55" i="108"/>
  <c r="G55" i="108"/>
  <c r="F56" i="108"/>
  <c r="G56" i="108" s="1"/>
  <c r="F57" i="108"/>
  <c r="G57" i="108" s="1"/>
  <c r="F58" i="108"/>
  <c r="G58" i="108"/>
  <c r="F59" i="108"/>
  <c r="G59" i="108"/>
  <c r="F60" i="108"/>
  <c r="G60" i="108"/>
  <c r="F61" i="108"/>
  <c r="G61" i="108"/>
  <c r="F62" i="108"/>
  <c r="G62" i="108" s="1"/>
  <c r="F63" i="108"/>
  <c r="G63" i="108" s="1"/>
  <c r="F64" i="108"/>
  <c r="G64" i="108"/>
  <c r="F65" i="108"/>
  <c r="G65" i="108"/>
  <c r="F66" i="108"/>
  <c r="G66" i="108"/>
  <c r="F42" i="108"/>
  <c r="G42" i="108"/>
  <c r="F35" i="108"/>
  <c r="G35" i="108" s="1"/>
  <c r="F34" i="108"/>
  <c r="G34" i="108" s="1"/>
  <c r="G37" i="108" s="1"/>
  <c r="F36" i="108"/>
  <c r="G36" i="108"/>
  <c r="E73" i="108"/>
  <c r="F73" i="108" s="1"/>
  <c r="G73" i="108" s="1"/>
  <c r="G76" i="108" s="1"/>
  <c r="E110" i="92" s="1"/>
  <c r="E80" i="108"/>
  <c r="E74" i="108" s="1"/>
  <c r="F74" i="108" s="1"/>
  <c r="G74" i="108" s="1"/>
  <c r="H11" i="111"/>
  <c r="G11" i="111"/>
  <c r="G12" i="111"/>
  <c r="H12" i="111" s="1"/>
  <c r="G13" i="111"/>
  <c r="H13" i="111" s="1"/>
  <c r="G14" i="111"/>
  <c r="H14" i="111" s="1"/>
  <c r="G15" i="111"/>
  <c r="H15" i="111" s="1"/>
  <c r="G10" i="111"/>
  <c r="H10" i="111" s="1"/>
  <c r="G20" i="111"/>
  <c r="H20" i="111" s="1"/>
  <c r="G19" i="111"/>
  <c r="H19" i="111" s="1"/>
  <c r="G3" i="111"/>
  <c r="H3" i="111" s="1"/>
  <c r="H4" i="111" s="1"/>
  <c r="E112" i="110" s="1"/>
  <c r="F4" i="108"/>
  <c r="G4" i="108" s="1"/>
  <c r="F5" i="108"/>
  <c r="G5" i="108" s="1"/>
  <c r="F6" i="108"/>
  <c r="G6" i="108" s="1"/>
  <c r="F7" i="108"/>
  <c r="G7" i="108" s="1"/>
  <c r="F8" i="108"/>
  <c r="G8" i="108" s="1"/>
  <c r="F9" i="108"/>
  <c r="G9" i="108" s="1"/>
  <c r="F10" i="108"/>
  <c r="G10" i="108" s="1"/>
  <c r="F11" i="108"/>
  <c r="G11" i="108" s="1"/>
  <c r="F12" i="108"/>
  <c r="G12" i="108" s="1"/>
  <c r="F13" i="108"/>
  <c r="G13" i="108" s="1"/>
  <c r="F14" i="108"/>
  <c r="G14" i="108" s="1"/>
  <c r="F15" i="108"/>
  <c r="G15" i="108" s="1"/>
  <c r="F16" i="108"/>
  <c r="G16" i="108" s="1"/>
  <c r="F17" i="108"/>
  <c r="G17" i="108" s="1"/>
  <c r="F18" i="108"/>
  <c r="G18" i="108" s="1"/>
  <c r="F19" i="108"/>
  <c r="G19" i="108" s="1"/>
  <c r="F20" i="108"/>
  <c r="G20" i="108" s="1"/>
  <c r="F21" i="108"/>
  <c r="G21" i="108" s="1"/>
  <c r="F22" i="108"/>
  <c r="G22" i="108" s="1"/>
  <c r="F23" i="108"/>
  <c r="G23" i="108" s="1"/>
  <c r="F24" i="108"/>
  <c r="G24" i="108" s="1"/>
  <c r="F25" i="108"/>
  <c r="G25" i="108" s="1"/>
  <c r="F26" i="108"/>
  <c r="G26" i="108" s="1"/>
  <c r="F27" i="108"/>
  <c r="G27" i="108" s="1"/>
  <c r="F28" i="108"/>
  <c r="G28" i="108" s="1"/>
  <c r="F29" i="108"/>
  <c r="G29" i="108" s="1"/>
  <c r="F30" i="108"/>
  <c r="G30" i="108" s="1"/>
  <c r="F3" i="108"/>
  <c r="G3" i="108" s="1"/>
  <c r="E113" i="110"/>
  <c r="B113" i="110"/>
  <c r="A113" i="110"/>
  <c r="D88" i="110"/>
  <c r="D89" i="110"/>
  <c r="D90" i="110"/>
  <c r="D91" i="110"/>
  <c r="D92" i="110"/>
  <c r="D87" i="110"/>
  <c r="D77" i="110"/>
  <c r="E56" i="92"/>
  <c r="E56" i="110" s="1"/>
  <c r="I58" i="110" s="1"/>
  <c r="D56" i="110"/>
  <c r="D55" i="110"/>
  <c r="D44" i="110"/>
  <c r="D45" i="110"/>
  <c r="D51" i="110" s="1"/>
  <c r="D68" i="110" s="1"/>
  <c r="D46" i="110"/>
  <c r="D47" i="110"/>
  <c r="D48" i="110"/>
  <c r="D49" i="110"/>
  <c r="D50" i="110"/>
  <c r="D43" i="110"/>
  <c r="D38" i="110"/>
  <c r="D51" i="92"/>
  <c r="D81" i="92"/>
  <c r="D79" i="92"/>
  <c r="D78" i="92"/>
  <c r="D78" i="110" s="1"/>
  <c r="D76" i="92"/>
  <c r="D37" i="92"/>
  <c r="D37" i="110" s="1"/>
  <c r="D39" i="110" s="1"/>
  <c r="D10" i="110"/>
  <c r="G27" i="111"/>
  <c r="H27" i="111"/>
  <c r="I27" i="111" s="1"/>
  <c r="K58" i="110"/>
  <c r="E26" i="110"/>
  <c r="B16" i="106"/>
  <c r="B16" i="107" s="1"/>
  <c r="B33" i="106"/>
  <c r="B33" i="107" s="1"/>
  <c r="B32" i="107" s="1"/>
  <c r="B31" i="106"/>
  <c r="B31" i="107" s="1"/>
  <c r="B30" i="106"/>
  <c r="B30" i="107" s="1"/>
  <c r="B29" i="106"/>
  <c r="B29" i="107" s="1"/>
  <c r="B27" i="106"/>
  <c r="B27" i="107" s="1"/>
  <c r="B26" i="106"/>
  <c r="B26" i="107" s="1"/>
  <c r="B25" i="106"/>
  <c r="B25" i="107" s="1"/>
  <c r="B24" i="106"/>
  <c r="G24" i="106" s="1"/>
  <c r="B23" i="106"/>
  <c r="B23" i="107" s="1"/>
  <c r="B22" i="106"/>
  <c r="B22" i="107" s="1"/>
  <c r="B20" i="106"/>
  <c r="G20" i="106" s="1"/>
  <c r="B19" i="106"/>
  <c r="G19" i="106" s="1"/>
  <c r="B18" i="106"/>
  <c r="B18" i="107" s="1"/>
  <c r="B17" i="106"/>
  <c r="G17" i="106" s="1"/>
  <c r="G33" i="107"/>
  <c r="D33" i="107"/>
  <c r="G31" i="107"/>
  <c r="D31" i="107"/>
  <c r="G30" i="107"/>
  <c r="D30" i="107"/>
  <c r="G29" i="107"/>
  <c r="D29" i="107"/>
  <c r="D27" i="107"/>
  <c r="D26" i="107"/>
  <c r="D25" i="107"/>
  <c r="D24" i="107"/>
  <c r="D23" i="107"/>
  <c r="D22" i="107"/>
  <c r="D20" i="107"/>
  <c r="D19" i="107"/>
  <c r="D18" i="107"/>
  <c r="D17" i="107"/>
  <c r="D16" i="107"/>
  <c r="F33" i="106"/>
  <c r="F31" i="106"/>
  <c r="F30" i="106"/>
  <c r="G30" i="106"/>
  <c r="F29" i="106"/>
  <c r="G29" i="106" s="1"/>
  <c r="B32" i="105"/>
  <c r="B32" i="106"/>
  <c r="B28" i="105"/>
  <c r="D32" i="105" s="1"/>
  <c r="B21" i="105"/>
  <c r="B21" i="106" s="1"/>
  <c r="B15" i="105"/>
  <c r="B14" i="105" s="1"/>
  <c r="B14" i="106" s="1"/>
  <c r="B28" i="106"/>
  <c r="G33" i="106"/>
  <c r="G18" i="106"/>
  <c r="B24" i="107"/>
  <c r="E89" i="108"/>
  <c r="F89" i="108"/>
  <c r="G89" i="108" s="1"/>
  <c r="E87" i="108"/>
  <c r="F87" i="108"/>
  <c r="G87" i="108" s="1"/>
  <c r="K58" i="92"/>
  <c r="I58" i="92"/>
  <c r="E26" i="92"/>
  <c r="E29" i="92" s="1"/>
  <c r="E55" i="92"/>
  <c r="I56" i="92" s="1"/>
  <c r="D126" i="92"/>
  <c r="D93" i="92"/>
  <c r="D102" i="92" s="1"/>
  <c r="D104" i="92" s="1"/>
  <c r="M55" i="92"/>
  <c r="D68" i="92"/>
  <c r="E28" i="92"/>
  <c r="E27" i="92"/>
  <c r="E59" i="92"/>
  <c r="E69" i="92" s="1"/>
  <c r="H22" i="111" l="1"/>
  <c r="E110" i="110" s="1"/>
  <c r="G67" i="108"/>
  <c r="G69" i="108" s="1"/>
  <c r="E111" i="92" s="1"/>
  <c r="B19" i="107"/>
  <c r="F80" i="108"/>
  <c r="G80" i="108" s="1"/>
  <c r="G81" i="108" s="1"/>
  <c r="D80" i="92"/>
  <c r="D39" i="92"/>
  <c r="D67" i="92" s="1"/>
  <c r="D71" i="92" s="1"/>
  <c r="D126" i="110"/>
  <c r="M56" i="92"/>
  <c r="E30" i="92"/>
  <c r="E32" i="92" s="1"/>
  <c r="G23" i="106"/>
  <c r="G16" i="106"/>
  <c r="D79" i="110"/>
  <c r="G31" i="106"/>
  <c r="H16" i="111"/>
  <c r="E111" i="110" s="1"/>
  <c r="B15" i="106"/>
  <c r="B28" i="107"/>
  <c r="D93" i="110"/>
  <c r="D102" i="110" s="1"/>
  <c r="D104" i="110" s="1"/>
  <c r="G31" i="108"/>
  <c r="G70" i="108" s="1"/>
  <c r="E112" i="92" s="1"/>
  <c r="E109" i="92"/>
  <c r="E114" i="92" s="1"/>
  <c r="E134" i="92" s="1"/>
  <c r="E109" i="110"/>
  <c r="E114" i="110" s="1"/>
  <c r="E134" i="110" s="1"/>
  <c r="B21" i="107"/>
  <c r="M55" i="110"/>
  <c r="E27" i="110"/>
  <c r="E29" i="110" s="1"/>
  <c r="E28" i="110"/>
  <c r="D76" i="110"/>
  <c r="D81" i="110"/>
  <c r="B20" i="107"/>
  <c r="G27" i="106"/>
  <c r="G25" i="106"/>
  <c r="B17" i="107"/>
  <c r="B15" i="107" s="1"/>
  <c r="G22" i="106"/>
  <c r="G26" i="106"/>
  <c r="D67" i="110"/>
  <c r="D71" i="110" s="1"/>
  <c r="E30" i="110"/>
  <c r="E55" i="110"/>
  <c r="F32" i="92" l="1"/>
  <c r="E91" i="92"/>
  <c r="E76" i="92"/>
  <c r="E77" i="92"/>
  <c r="E62" i="92"/>
  <c r="E63" i="92" s="1"/>
  <c r="E70" i="92" s="1"/>
  <c r="E78" i="92"/>
  <c r="E88" i="92"/>
  <c r="E93" i="92" s="1"/>
  <c r="E102" i="92" s="1"/>
  <c r="E79" i="92"/>
  <c r="E81" i="92"/>
  <c r="E37" i="92"/>
  <c r="E38" i="92"/>
  <c r="E89" i="92"/>
  <c r="E90" i="92"/>
  <c r="E92" i="92"/>
  <c r="E87" i="92"/>
  <c r="E130" i="92"/>
  <c r="D80" i="110"/>
  <c r="E80" i="92"/>
  <c r="G14" i="106"/>
  <c r="G34" i="106" s="1"/>
  <c r="B14" i="107"/>
  <c r="E32" i="110"/>
  <c r="F32" i="110" s="1"/>
  <c r="D82" i="92"/>
  <c r="E116" i="92" s="1"/>
  <c r="D82" i="110"/>
  <c r="E116" i="110" s="1"/>
  <c r="E59" i="110"/>
  <c r="E69" i="110" s="1"/>
  <c r="I56" i="110"/>
  <c r="M56" i="110" s="1"/>
  <c r="E87" i="110" l="1"/>
  <c r="E77" i="110"/>
  <c r="E90" i="110"/>
  <c r="E88" i="110"/>
  <c r="E93" i="110" s="1"/>
  <c r="E102" i="110" s="1"/>
  <c r="E76" i="110"/>
  <c r="E80" i="110"/>
  <c r="E38" i="110"/>
  <c r="E115" i="92"/>
  <c r="E81" i="110"/>
  <c r="E62" i="110"/>
  <c r="E63" i="110" s="1"/>
  <c r="E70" i="110" s="1"/>
  <c r="E78" i="110"/>
  <c r="E82" i="92"/>
  <c r="E132" i="92" s="1"/>
  <c r="E79" i="110"/>
  <c r="E115" i="110"/>
  <c r="E91" i="110"/>
  <c r="E39" i="92"/>
  <c r="E92" i="110"/>
  <c r="E89" i="110"/>
  <c r="E130" i="110"/>
  <c r="E37" i="110"/>
  <c r="E39" i="110" s="1"/>
  <c r="E67" i="110" s="1"/>
  <c r="E44" i="110"/>
  <c r="E48" i="110"/>
  <c r="E45" i="110"/>
  <c r="E47" i="110"/>
  <c r="E50" i="110" l="1"/>
  <c r="E49" i="110"/>
  <c r="E82" i="110"/>
  <c r="E132" i="110" s="1"/>
  <c r="E43" i="110"/>
  <c r="E51" i="110" s="1"/>
  <c r="E68" i="110" s="1"/>
  <c r="E71" i="110" s="1"/>
  <c r="E67" i="92"/>
  <c r="E50" i="92"/>
  <c r="E49" i="92"/>
  <c r="E45" i="92"/>
  <c r="E43" i="92"/>
  <c r="E47" i="92"/>
  <c r="E44" i="92"/>
  <c r="E48" i="92"/>
  <c r="E46" i="92"/>
  <c r="E46" i="110"/>
  <c r="E51" i="92" l="1"/>
  <c r="E68" i="92" s="1"/>
  <c r="E71" i="92"/>
  <c r="E131" i="110"/>
  <c r="E97" i="110"/>
  <c r="E98" i="110" s="1"/>
  <c r="E103" i="110" s="1"/>
  <c r="E104" i="110" s="1"/>
  <c r="E133" i="110" s="1"/>
  <c r="E131" i="92" l="1"/>
  <c r="E97" i="92"/>
  <c r="E98" i="92" s="1"/>
  <c r="E103" i="92" s="1"/>
  <c r="E104" i="92" s="1"/>
  <c r="E133" i="92" s="1"/>
  <c r="E135" i="110"/>
  <c r="E135" i="92" l="1"/>
  <c r="E120" i="92" s="1"/>
  <c r="E121" i="92" s="1"/>
  <c r="E123" i="92" s="1"/>
  <c r="E125" i="92"/>
  <c r="E124" i="92"/>
  <c r="E126" i="92" s="1"/>
  <c r="E136" i="92" s="1"/>
  <c r="E137" i="92" s="1"/>
  <c r="H16" i="107" s="1"/>
  <c r="E120" i="110"/>
  <c r="H20" i="107" l="1"/>
  <c r="I20" i="107" s="1"/>
  <c r="J20" i="107" s="1"/>
  <c r="M26" i="107"/>
  <c r="H19" i="107"/>
  <c r="I19" i="107" s="1"/>
  <c r="J19" i="107" s="1"/>
  <c r="I16" i="107"/>
  <c r="J16" i="107" s="1"/>
  <c r="H22" i="107"/>
  <c r="H23" i="107" s="1"/>
  <c r="I23" i="107" s="1"/>
  <c r="J23" i="107" s="1"/>
  <c r="H30" i="107"/>
  <c r="I30" i="107" s="1"/>
  <c r="J30" i="107" s="1"/>
  <c r="H26" i="107"/>
  <c r="I26" i="107" s="1"/>
  <c r="J26" i="107" s="1"/>
  <c r="H17" i="107"/>
  <c r="I17" i="107" s="1"/>
  <c r="J17" i="107" s="1"/>
  <c r="H31" i="107"/>
  <c r="I31" i="107" s="1"/>
  <c r="J31" i="107" s="1"/>
  <c r="H27" i="107"/>
  <c r="I27" i="107" s="1"/>
  <c r="J27" i="107" s="1"/>
  <c r="H18" i="107"/>
  <c r="I18" i="107" s="1"/>
  <c r="J18" i="107" s="1"/>
  <c r="E121" i="110"/>
  <c r="E124" i="110" s="1"/>
  <c r="I22" i="107" l="1"/>
  <c r="J22" i="107" s="1"/>
  <c r="H25" i="107"/>
  <c r="I25" i="107" s="1"/>
  <c r="J25" i="107" s="1"/>
  <c r="H24" i="107"/>
  <c r="I24" i="107" s="1"/>
  <c r="J24" i="107" s="1"/>
  <c r="E125" i="110"/>
  <c r="E123" i="110"/>
  <c r="E126" i="110" l="1"/>
  <c r="E136" i="110" s="1"/>
  <c r="E137" i="110" s="1"/>
  <c r="H29" i="107" s="1"/>
  <c r="M27" i="107" s="1"/>
  <c r="M28" i="107" s="1"/>
  <c r="I29" i="107" l="1"/>
  <c r="J29" i="107" s="1"/>
  <c r="H33" i="107"/>
  <c r="I33" i="107" s="1"/>
  <c r="J33" i="107" s="1"/>
  <c r="J14" i="107"/>
  <c r="K14" i="107" s="1"/>
  <c r="E108" i="133" l="1"/>
  <c r="E128" i="133" l="1"/>
  <c r="E129" i="133" s="1"/>
  <c r="E114" i="133" l="1"/>
  <c r="E115" i="133" l="1"/>
  <c r="E117" i="133" l="1"/>
  <c r="E119" i="133"/>
  <c r="E118" i="133"/>
  <c r="F114" i="133"/>
  <c r="E120" i="133" l="1"/>
  <c r="E130" i="133" s="1"/>
  <c r="E131" i="133" s="1"/>
  <c r="F116" i="133"/>
  <c r="C3" i="202" l="1"/>
  <c r="I1" i="202" s="1"/>
  <c r="I20" i="183"/>
  <c r="J20" i="183" l="1"/>
  <c r="J21" i="18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9" authorId="0" shapeId="0" xr:uid="{F79B504B-0984-4CA8-B3F2-1D90CEB2843F}">
      <text>
        <r>
          <rPr>
            <b/>
            <sz val="10"/>
            <color indexed="81"/>
            <rFont val="Segoe UI"/>
            <family val="2"/>
          </rPr>
          <t>Os valores estão estimados com percentuais máximos na planilha de custos, como por exemplo:
     Lucro 5%
     Custo indireto 5%
     SAT 3%
     INSS 20%
Além de outros custos quem compões a planilha de custo e formação de preços.</t>
        </r>
        <r>
          <rPr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54" authorId="0" shapeId="0" xr:uid="{F5BA93E8-D420-453F-A639-CDF3E2400565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5" authorId="0" shapeId="0" xr:uid="{1E5FDEB6-8751-41F5-9867-08D7FA379F6C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6" authorId="0" shapeId="0" xr:uid="{11E19375-314A-4FC9-95C2-8C658F5C0129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7" authorId="0" shapeId="0" xr:uid="{54ED66F7-FFCF-4B94-B3BF-5965AF8ED720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2" authorId="0" shapeId="0" xr:uid="{FD5A06F6-562B-4E62-818A-A276E5F7DF1F}">
      <text>
        <r>
          <rPr>
            <b/>
            <sz val="9"/>
            <color indexed="81"/>
            <rFont val="Segoe UI"/>
            <family val="2"/>
          </rPr>
          <t>Estimado com base no percentual de 5% e na vigência de 12 meses do contrato, conforme "Memória de Cálculo"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54" authorId="0" shapeId="0" xr:uid="{9C1C8E0C-5C38-4454-883F-43C4980A8993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5" authorId="0" shapeId="0" xr:uid="{9C13D348-FF48-4606-86D8-92F5943B522F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6" authorId="0" shapeId="0" xr:uid="{CFC2F5FA-10B6-4DE2-A572-8E85839BB816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7" authorId="0" shapeId="0" xr:uid="{607E0DA2-2099-42CB-80E2-DAC852F7FDCA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2" authorId="0" shapeId="0" xr:uid="{C0859E43-E3FB-404F-AB0A-AC2BE7DBD5A8}">
      <text>
        <r>
          <rPr>
            <b/>
            <sz val="9"/>
            <color indexed="81"/>
            <rFont val="Segoe UI"/>
            <family val="2"/>
          </rPr>
          <t>Estimado com base no percentual de 5% e na vigência de 12 meses do contrato, conforme "Memória de Cálculo"</t>
        </r>
      </text>
    </comment>
    <comment ref="D84" authorId="0" shapeId="0" xr:uid="{C47296D2-F717-4D4C-964E-30838648CEEE}">
      <text>
        <r>
          <rPr>
            <b/>
            <sz val="9"/>
            <color indexed="81"/>
            <rFont val="Segoe UI"/>
            <family val="2"/>
          </rPr>
          <t>Não haverá cobertura para colaborador que estrar de férias.</t>
        </r>
      </text>
    </comment>
    <comment ref="E106" authorId="0" shapeId="0" xr:uid="{D2C9F7F8-3A5D-41A5-82D8-BE27E1CD562D}">
      <text>
        <r>
          <rPr>
            <b/>
            <sz val="9"/>
            <color indexed="81"/>
            <rFont val="Segoe UI"/>
            <family val="2"/>
          </rPr>
          <t>Não haverá fornecimento de uniformes.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28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BC pode ser o salário mínimo</t>
        </r>
      </text>
    </comment>
    <comment ref="E29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calcular o adicional noturno conforme estabelecido na CCT ou na CLT. Na célula D30 colocar o percentual de adicional noturno.</t>
        </r>
      </text>
    </comment>
    <comment ref="E30" authorId="0" shapeId="0" xr:uid="{00000000-0006-0000-0500-00000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tiver que calcular o adicional de hora noturna reduzida, colocar 100% na célula D31.</t>
        </r>
      </text>
    </comment>
    <comment ref="D37" authorId="0" shapeId="0" xr:uid="{00000000-0006-0000-0500-00000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Normalmente se utiliza 8,33%</t>
        </r>
      </text>
    </comment>
    <comment ref="D38" authorId="0" shapeId="0" xr:uid="{00000000-0006-0000-0500-00000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Pode ser utilizado 12,10%, 11,11% ou 2,78%, e neste caso haverá férias no Submódulo 4.1.</t>
        </r>
      </text>
    </comment>
    <comment ref="D39" authorId="0" shapeId="0" xr:uid="{00000000-0006-0000-0500-000006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incidência do Submódulo 2.2 pode ocorrer  sobre este submódulo de forma isolada ou juntamente com o módulo 1. Preferi utilizar a segunda opção.</t>
        </r>
      </text>
    </comment>
    <comment ref="A41" authorId="0" shapeId="0" xr:uid="{00000000-0006-0000-0500-000007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a empresa for optante pelo simples nacional somente cota INSS, RAt e FGTS. Se a empresa for desonerada, o INSS será 0%. O RAT pode variar entre 0,5% e 6%.</t>
        </r>
      </text>
    </comment>
    <comment ref="D43" authorId="0" shapeId="0" xr:uid="{00000000-0006-0000-0500-000008000000}">
      <text>
        <r>
          <rPr>
            <sz val="11"/>
            <color indexed="81"/>
            <rFont val="Segoe UI"/>
            <family val="2"/>
          </rPr>
          <t>Subitem 6.5.1 do Acórdão nº 1212/2014-TCU – Plenário:
“6.5.1. A metodologia que parece melhor se adequar a tais tipos de ajustes já foi delineada no parágrafo 13 da instrução transcrita no relatório do Acórdão 2.859/2013-P, qual seja: excluir o item ‘INSS’ do grupo ‘Encargos Sociais’, com a consequente redução proporcional do item ‘incidência de A sobre B’, e incluir o item ‘INSS’ no grupo ‘Tributos’, com a devida alíquota.”
Dessa forma, para cumprimento do disposto no subitem 9.2.1 do Acórdão nº 2859/2013, sugerimos os seguintes procedimentos, corroborados pelas disposições do Acórdão nº 1212/2014-TCU – Plenário:
1º) Para os casos desses contratos que apresentam planilhas de custos, com dedicação exclusiva de mão de obra, deverá ser observado o seguinte:
a) O percentual da contribuição previdenciária que integra o submódulo 4.1 correspondente ao percentual de 20% (Contribuição Patronal-INSS) passará a incidir sobre o custo total do empregado (Módulo 1 + Módulo 2 + Módulo 3 + Módulo 4 + Custos indiretos + Lucro), aplicando-se a alíquota da respectiva atividade que foi desonerada, da mesma forma como se procedeu ao cálculo dos tributos.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5" authorId="0" shapeId="0" xr:uid="{00000000-0006-0000-0500-000009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http://www.vtsetap.com.br/informe_empresas.php</t>
        </r>
      </text>
    </comment>
    <comment ref="E55" authorId="0" shapeId="0" xr:uid="{00000000-0006-0000-0500-00000A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acordo com a tarifa municipal. VT (valor da tarifa) a quantidade de dias (QD), varia de acordo com o tipo de jornada de trabalho.</t>
        </r>
      </text>
    </comment>
    <comment ref="E56" authorId="0" shapeId="0" xr:uid="{00000000-0006-0000-0500-00000B000000}">
      <text>
        <r>
          <rPr>
            <sz val="11"/>
            <color theme="1"/>
            <rFont val="Calibri"/>
            <family val="2"/>
            <scheme val="minor"/>
          </rPr>
          <t>Comentário:
    valor do auxílio alimentação (AA) de acordo com a CCT. O número de dias depende do tipo de jornada de trabalho. Sem Desconto de acordo com Clausula Décima Segunda e parágrafo sétimo</t>
        </r>
      </text>
    </comment>
    <comment ref="E57" authorId="0" shapeId="0" xr:uid="{00000000-0006-0000-0500-00000C000000}">
      <text>
        <r>
          <rPr>
            <sz val="11"/>
            <color theme="1"/>
            <rFont val="Calibri"/>
            <family val="2"/>
            <scheme val="minor"/>
          </rPr>
          <t xml:space="preserve">Comentário:
    Valor de acordo com a CCT. Cláusula Décima Sexta e Parágrafo Segundo </t>
        </r>
      </text>
    </comment>
    <comment ref="A61" authorId="0" shapeId="0" xr:uid="{00000000-0006-0000-0500-00000D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utilizado se o terceirizado não tirar uma hora de descanso no almoço. Deve ser indenizado. Tempo máximo de indenização 30 minutos (0,5). Considerei tal condição na fórmula. Se for utilizar este cálculo, colocar 1 na célula D65. O percentual de indenização, em regra é de 50%, contudo, deve ser olhada a CCT. Utilizei 1,5 (50%).</t>
        </r>
      </text>
    </comment>
    <comment ref="D75" authorId="0" shapeId="0" xr:uid="{00000000-0006-0000-0500-00000E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E75" authorId="0" shapeId="0" xr:uid="{00000000-0006-0000-0500-00000F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Utilizei como base de cálculo apenas a remuneração, mas podemos encontra como base de cálculo o somatório dos mósulos 1 e 2.</t>
        </r>
      </text>
    </comment>
    <comment ref="D76" authorId="0" shapeId="0" xr:uid="{00000000-0006-0000-0500-000010000000}">
      <text>
        <r>
          <rPr>
            <b/>
            <sz val="11"/>
            <color indexed="81"/>
            <rFont val="Segoe UI"/>
            <family val="2"/>
          </rPr>
          <t xml:space="preserve">SECON:
</t>
        </r>
        <r>
          <rPr>
            <sz val="11"/>
            <color indexed="81"/>
            <rFont val="Segoe UI"/>
            <family val="2"/>
          </rPr>
          <t>Os artigos 477 e 487 a 491 da CLT, a Lei nº 12.506, de 11 de outubro de 2011, e o Acórdão TCU nº 2.217/2010 - Plenário remetem a respeito desse assunto. 
Estudos do CNJ - Resolução 98/2009 apontam que 5% dos trabalhadores são demitidos com API.
A base de cálculo do Aviso Prévio Indenizado, bem como o índice balizador:
(5%) x (1/12) = 0,42% incide sobre a base de cálculo.
OBS:
5% = dado estatístico, em regra, utilizado. Estudos do CNJ - Resolução 98/2009.
1/12= (1 mês não trabalhado/12 meses)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D77" authorId="0" shapeId="0" xr:uid="{00000000-0006-0000-0500-000011000000}">
      <text>
        <r>
          <rPr>
            <b/>
            <sz val="10"/>
            <color indexed="81"/>
            <rFont val="Segoe UI"/>
            <family val="2"/>
          </rPr>
          <t xml:space="preserve">SECON:
</t>
        </r>
        <r>
          <rPr>
            <sz val="10"/>
            <color indexed="81"/>
            <rFont val="Segoe UI"/>
            <family val="2"/>
          </rPr>
          <t xml:space="preserve">A Súmula nº 305 do TST e o Acórdão TCU nº 2.217/2010 - Plenário abordam sobre a incidência do FGTS. A base de cálculo da Incidência do FGTS sobre o Aviso Prévio Indenizado, bem como o índice balizador:
</t>
        </r>
        <r>
          <rPr>
            <sz val="11"/>
            <color indexed="81"/>
            <rFont val="Segoe UI"/>
            <family val="2"/>
          </rPr>
          <t xml:space="preserve">(FGTS%) x (% API) = X% incide sobre a base de cálculo.
</t>
        </r>
      </text>
    </comment>
    <comment ref="D78" authorId="0" shapeId="0" xr:uid="{00000000-0006-0000-0500-000012000000}">
      <text>
        <r>
          <rPr>
            <sz val="11"/>
            <color indexed="81"/>
            <rFont val="Segoe UI"/>
            <family val="2"/>
          </rPr>
          <t>Máximo 3,47%
Nesse item é importante destacar a Lei nº 8.036, de 11 de maio de 1990 (artigo 18, § 1º) com redação dada pela Lei nº 9.491, de 9 de setembro de 1997, e a Lei Complementar nº 110, de 29 de junho de 2001, pois ambas abordam sobre esse tema. A base de cálculo da Multa do FGTS e Contribuição Social sobre o Aviso Prévio Indenizado, bem como o índice balizador, está descrito:
[0,08*0,40*0,9]*(1+0,0833+0,09075+0,03025) = 3,47% incide sobre a base de cálculo
OBS:
(0,08) = Alíquota do FGTS (8%)
(0,40) = Valor da Multa do FGTS indenizado (40%)
(0,90) = 90% dos funcionários remanescentes (LC nº110/2001. Estudos CNJ – Resolução nº 98/2009)</t>
        </r>
        <r>
          <rPr>
            <b/>
            <sz val="11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1= remuneração integral 
(0,0833) = % do 13º salário
(0,09075) = % de férias (definida pela IN nº 5)
(0,03025) = % adicional de férias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Lei nº 13.932, de 11 de dezembro de 2019
"Art. 12. A partir de 1º de janeiro de 2020, fica extinta a contribuição social instituída por meio do art. 1º da Lei Complementar nº 110, de 29 de junho de 2001."
Orientações SEGES:
Para as novas contratações:
a) Devem ser adequadas à nova lei, ou seja, devem excluir da planilha de formação de preços - Módulo 'Provisão para Rescisão' da Planilha de Custo (Anexo VII-D da In nº 5, de 26 de maio de 2017) - a rubrica “Contribuição Social” de 10% sobre o FGTS em caso de demissão sem justa causa, prevista no Módulo 'Provisão para Rescisão' da Planilha de Custo (Anexo VII-D da In nº 5, de 26 de maio de 2017);</t>
        </r>
      </text>
    </comment>
    <comment ref="D79" authorId="0" shapeId="0" xr:uid="{00000000-0006-0000-0500-000013000000}">
      <text>
        <r>
          <rPr>
            <sz val="11"/>
            <color indexed="81"/>
            <rFont val="Segoe UI"/>
            <family val="2"/>
          </rPr>
          <t xml:space="preserve">Acórdão do TCU nº 1.186/2017 Plenário:
9.2. determinar ... que, nas futuras contratações de mão de obra terceirizada, esteja expresso na minuta do contrato que a parcela mensal a título de aviso prévio trabalhado será no percentual máximo de 1,94% no primeiro ano, nos termos dos Acórdãos 1904/2007-TCU-Plenário e 3006/2010-TCU-Plenário, e, em caso de prorrogação do contrato, o percentual máximo dessa parcela será de 0,194% a cada ano de prorrogação, a ser incluído por ocasião da formulação do aditivo da prorrogação do contrato, conforme ditames da Lei 12.506/2011;
A Constituição Federal de 1988, em seu artigo 7º, inciso XXI, e os artigos 477, 487 a 491 da CLT instituem o Aviso Prévio Trabalhado. Na elaboração da Planilha de Custos é importante que a área demandante se atente às recomendações dos Acórdãos TCU nº 3.006/2010 e nº 1.094/2007 - Plenário. 
A base de cálculo do Aviso Prévio Trabalhado, bem como o índice balizador:
[(1/30)*7]/12 = 1,94% sobre a base de cálculo
OBS:
1 = remuneração integral
30 = número de dias no mês
7 = nº de dias de aviso prévio a que o empregado tem direito de se ausentar
12 = nº de meses no ano
</t>
        </r>
        <r>
          <rPr>
            <b/>
            <sz val="11"/>
            <color indexed="81"/>
            <rFont val="Segoe UI"/>
            <family val="2"/>
          </rPr>
          <t xml:space="preserve">Custos não renováveis:
- </t>
        </r>
        <r>
          <rPr>
            <sz val="11"/>
            <color indexed="81"/>
            <rFont val="Segoe UI"/>
            <family val="2"/>
          </rPr>
          <t xml:space="preserve">Acordão 1.586/2018 plenário TCU firmou entendimento que o APT é custo não renovável. 
- Nota Técnica 652/2017 MPDG deixa claro que a não renovação atinge o APT e API. </t>
        </r>
      </text>
    </comment>
    <comment ref="D80" authorId="0" shapeId="0" xr:uid="{00000000-0006-0000-0500-000014000000}">
      <text>
        <r>
          <rPr>
            <b/>
            <sz val="11"/>
            <color indexed="81"/>
            <rFont val="Segoe UI"/>
            <family val="2"/>
          </rPr>
          <t xml:space="preserve">SECON:
</t>
        </r>
        <r>
          <rPr>
            <sz val="11"/>
            <color indexed="81"/>
            <rFont val="Segoe UI"/>
            <family val="2"/>
          </rPr>
          <t>Esse índice incide sobre o percentual do Submódulo 2.2 e sobre o valor do Aviso Prévio Trabalhado.
(% do Submódulo 2.2) x (% Aviso Prévio Trabalhado)= X% incide sobre a base de cálculo.</t>
        </r>
      </text>
    </comment>
    <comment ref="D81" authorId="0" shapeId="0" xr:uid="{00000000-0006-0000-0500-000015000000}">
      <text>
        <r>
          <rPr>
            <b/>
            <sz val="11"/>
            <color indexed="81"/>
            <rFont val="Segoe UI"/>
            <family val="2"/>
          </rPr>
          <t xml:space="preserve">SECON:
</t>
        </r>
        <r>
          <rPr>
            <sz val="11"/>
            <color indexed="81"/>
            <rFont val="Segoe UI"/>
            <family val="2"/>
          </rPr>
          <t>A base de cálculo e o índice balizador da Multa do FGTS sobre o Aviso Prévio Trabalhado:
[0,08 x 0,4] x [% Incidência dos Encargos do Submódulo 2.2] = 0,02 % incide sobre a base de cálculo
OBS:
(0,08) = Alíquota do FGTS
(0,40) = Valor da Multa do FGTS trabalhado
(% Incidência dos Encargos do Submódulo 2.2) = % do item E
Lei nº 13.932, de 11 de dezembro de 2019
"Art. 12. A partir de 1º de janeiro de 2020, fica extinta a contribuição social instituída por meio do art. 1º da Lei Complementar nº 110, de 29 de junho de 2001."
Orientações SEGES:
Para as novas contratações:
a) Devem ser adequadas à nova lei, ou seja, devem excluir da planilha de formação de preços - Módulo 'Provisão para Rescisão' da Planilha de Custo (Anexo VII-D da In nº 5, de 26 de maio de 2017) - a rubrica “Contribuição Social” de 10% sobre o FGTS em caso de demissão sem justa causa, prevista no Módulo 'Provisão para Rescisão' da Planilha de Custo (Anexo VII-D da In nº 5, de 26 de maio de 2017);</t>
        </r>
      </text>
    </comment>
    <comment ref="E86" authorId="0" shapeId="0" xr:uid="{00000000-0006-0000-0500-000016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Utilizei como base de cálculo apenas a remuneração, mas podemos encontra como base de cálculo o somatório dos mósulos 1, 2 e 3.</t>
        </r>
      </text>
    </comment>
    <comment ref="D87" authorId="0" shapeId="0" xr:uid="{00000000-0006-0000-0500-000017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tiver férias no submódulo 2.1 de 12,10, não poderia constar nada neste item. Mas, é comum usar 11,11% no submódulo 2.1 e 0,92% ou 0,95% nesta célula. Também não é raro encontrar aoenas o adicional de férias (2,78%) no submódulo 2.1  e 8,33% nesta célula.</t>
        </r>
      </text>
    </comment>
    <comment ref="E96" authorId="0" shapeId="0" xr:uid="{00000000-0006-0000-0500-000018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 é item é utilizado quando a empresa encaminha empregado para substituir o titular do posto, fato que o levar descansar durante uma hora. Se houver descanso sem qualquer substituição, este item fica zerado. Se for utilizar este item colocar 1 na célula D100</t>
        </r>
      </text>
    </comment>
    <comment ref="E109" authorId="0" shapeId="0" xr:uid="{00000000-0006-0000-0500-000019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 item é obtido a partir da somatório de todo o custos do fornecimento de uniforme durante o ano e dividido por 12 meses, vez que o fornecimento do uniforme é semestral e calcula-se a partir de dois fornecimentos.</t>
        </r>
      </text>
    </comment>
    <comment ref="E110" authorId="0" shapeId="0" xr:uid="{00000000-0006-0000-0500-00001A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equipamento individual deve ser depreciado conforme a sua vida útil em meses. cada equipamento individual tem vida útil diferente de outro equipamento. Deve ser somado todo os os equipamento individuais e dividido de acordo com a sua vida útil.</t>
        </r>
      </text>
    </comment>
    <comment ref="E111" authorId="0" shapeId="0" xr:uid="{00000000-0006-0000-0500-00001B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utiliza a mesma lógica do equipamento individual, contudo, divide-se pelo número de empregados que utilizam o equipamento. faz-se rateio.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28" authorId="0" shapeId="0" xr:uid="{00000000-0006-0000-06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BC pode ser o salário mínimo</t>
        </r>
      </text>
    </comment>
    <comment ref="E29" authorId="0" shapeId="0" xr:uid="{00000000-0006-0000-06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calcular o adicional noturno conforme estabelecido na CCT ou na CLT. Na célula D30 colocar o percentual de adicional noturno.</t>
        </r>
      </text>
    </comment>
    <comment ref="E30" authorId="0" shapeId="0" xr:uid="{00000000-0006-0000-0600-00000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tiver que calcular o adicional de hora noturna reduzida, colocar 100% na célula D31.</t>
        </r>
      </text>
    </comment>
    <comment ref="D37" authorId="0" shapeId="0" xr:uid="{00000000-0006-0000-0600-00000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Normalmente se utiliza 8,33%</t>
        </r>
      </text>
    </comment>
    <comment ref="D38" authorId="0" shapeId="0" xr:uid="{00000000-0006-0000-0600-00000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Pode ser utilizado 12,10%, 11,11% ou 2,78%, e neste caso haverá férias no Submódulo 4.1.</t>
        </r>
      </text>
    </comment>
    <comment ref="D39" authorId="0" shapeId="0" xr:uid="{00000000-0006-0000-0600-000006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incidência do Submódulo 2.2 pode ocorrer  sobre este submódulo de forma isolada ou juntamente com o módulo 1. Preferi utilizar a segunda opção.</t>
        </r>
      </text>
    </comment>
    <comment ref="A41" authorId="0" shapeId="0" xr:uid="{00000000-0006-0000-0600-000007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a empresa for optante pelo simples nacional somente cota INSS, RAt e FGTS. Se a empresa for desonerada, o INSS será 0%. O RAT pode variar entre 0,5% e 6%.</t>
        </r>
      </text>
    </comment>
    <comment ref="D55" authorId="0" shapeId="0" xr:uid="{00000000-0006-0000-0600-000008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http://www.vtsetap.com.br/informe_empresas.php</t>
        </r>
      </text>
    </comment>
    <comment ref="E55" authorId="0" shapeId="0" xr:uid="{00000000-0006-0000-0600-000009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de acordo com a tarifa municipal. VT (valor da tarifa) a quantidade de dias (QD), varia de acordo com o tipo de jornada de trabalho.</t>
        </r>
      </text>
    </comment>
    <comment ref="E56" authorId="0" shapeId="0" xr:uid="{00000000-0006-0000-0600-00000A000000}">
      <text>
        <r>
          <rPr>
            <sz val="11"/>
            <color theme="1"/>
            <rFont val="Calibri"/>
            <family val="2"/>
            <scheme val="minor"/>
          </rPr>
          <t>Comentário:
    valor do auxílio alimentação (AA) de acordo com a CCT. O número de dias depende do tipo de jornada de trabalho. Sem Desconto de acordo com Clausula Décima Segunda e parágrafo sétimo</t>
        </r>
      </text>
    </comment>
    <comment ref="E57" authorId="0" shapeId="0" xr:uid="{00000000-0006-0000-0600-00000B000000}">
      <text>
        <r>
          <rPr>
            <sz val="11"/>
            <color theme="1"/>
            <rFont val="Calibri"/>
            <family val="2"/>
            <scheme val="minor"/>
          </rPr>
          <t xml:space="preserve">Comentário:
    Valor de acordo com a CCT. Cláusula Décima Sexta e Parágrafo Segundo </t>
        </r>
      </text>
    </comment>
    <comment ref="A61" authorId="0" shapeId="0" xr:uid="{00000000-0006-0000-0600-00000C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utilizado se o terceirizado não tirar uma hora de descanso no almoço. Deve ser indenizado. Tempo máximo de indenização 30 minutos (0,5). Considerei tal condição na fórmula. Se for utilizar este cálculo, colocar 1 na célula D65. O percentual de indenização, em regra é de 50%, contudo, deve ser olhada a CCT. Utilizei 1,5 (50%).</t>
        </r>
      </text>
    </comment>
    <comment ref="D75" authorId="0" shapeId="0" xr:uid="{00000000-0006-0000-0600-00000D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E75" authorId="0" shapeId="0" xr:uid="{00000000-0006-0000-0600-00000E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Utilizei como base de cálculo apenas a remuneração, mas podemos encontra como base de cálculo o somatório dos mósulos 1 e 2.</t>
        </r>
      </text>
    </comment>
    <comment ref="E86" authorId="0" shapeId="0" xr:uid="{00000000-0006-0000-0600-00000F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Utilizei como base de cálculo apenas a remuneração, mas podemos encontra como base de cálculo o somatório dos mósulos 1, 2 e 3.</t>
        </r>
      </text>
    </comment>
    <comment ref="D87" authorId="0" shapeId="0" xr:uid="{00000000-0006-0000-0600-000010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tiver férias no submódulo 2.1 de 12,10, não poderia constar nada neste item. Mas, é comum usar 11,11% no submódulo 2.1 e 0,92% ou 0,95% nesta célula. Também não é raro encontrar aoenas o adicional de férias (2,78%) no submódulo 2.1  e 8,33% nesta célula.</t>
        </r>
      </text>
    </comment>
    <comment ref="D88" authorId="0" shapeId="0" xr:uid="{00000000-0006-0000-0600-00001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89" authorId="0" shapeId="0" xr:uid="{00000000-0006-0000-0600-00001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90" authorId="0" shapeId="0" xr:uid="{00000000-0006-0000-0600-00001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91" authorId="0" shapeId="0" xr:uid="{00000000-0006-0000-0600-00001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D92" authorId="0" shapeId="0" xr:uid="{00000000-0006-0000-0600-00001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Utilzar percentuais conforme a prática local.</t>
        </r>
      </text>
    </comment>
    <comment ref="E96" authorId="0" shapeId="0" xr:uid="{00000000-0006-0000-0600-000016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 é item é utilizado quando a empresa encaminha empregado para substituir o titular do posto, fato que o levar descansar durante uma hora. Se houver descanso sem qualquer substituição, este item fica zerado. Se for utilizar este item colocar 1 na célula D100</t>
        </r>
      </text>
    </comment>
    <comment ref="E109" authorId="0" shapeId="0" xr:uid="{00000000-0006-0000-0600-000017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 item é obtido a partir da somatório de todo o custos do fornecimento de uniforme durante o ano e dividido por 12 meses, vez que o fornecimento do uniforme é semestral e calcula-se a partir de dois fornecimentos.</t>
        </r>
      </text>
    </comment>
    <comment ref="E110" authorId="0" shapeId="0" xr:uid="{00000000-0006-0000-0600-000018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equipamento individual deve ser depreciado conforme a sua vida útil em meses. cada equipamento individual tem vida útil diferente de outro equipamento. Deve ser somado todo os os equipamento individuais e dividido de acordo com a sua vida útil.</t>
        </r>
      </text>
    </comment>
    <comment ref="E111" authorId="0" shapeId="0" xr:uid="{00000000-0006-0000-0600-000019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utiliza a mesma lógica do equipamento individual, contudo, divide-se pelo número de empregados que utilizam o equipamento. faz-se rateio.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54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5" authorId="0" shapeId="0" xr:uid="{00000000-0006-0000-0700-000002000000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6" authorId="0" shapeId="0" xr:uid="{FB78BCA4-38AA-4F76-921D-F6D43702D1BA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7" authorId="0" shapeId="0" xr:uid="{C7D2E6DC-1995-441E-A9E6-B572A78AB074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2" authorId="0" shapeId="0" xr:uid="{00000000-0006-0000-0700-000003000000}">
      <text>
        <r>
          <rPr>
            <b/>
            <sz val="9"/>
            <color indexed="81"/>
            <rFont val="Segoe UI"/>
            <family val="2"/>
          </rPr>
          <t>Estimado com base no percentual de 5% e na vigência de 12 meses do contrato, conforme "Memória de Cálculo"</t>
        </r>
      </text>
    </comment>
    <comment ref="D84" authorId="0" shapeId="0" xr:uid="{CFE8D7D0-5CEE-4048-BBB6-0B82A0575738}">
      <text>
        <r>
          <rPr>
            <b/>
            <sz val="9"/>
            <color indexed="81"/>
            <rFont val="Segoe UI"/>
            <family val="2"/>
          </rPr>
          <t>Não haverá cobertura para colaborador que estrar de férias.</t>
        </r>
      </text>
    </comment>
    <comment ref="E106" authorId="0" shapeId="0" xr:uid="{5087DA14-2AA9-4075-A40B-65854B677478}">
      <text>
        <r>
          <rPr>
            <b/>
            <sz val="9"/>
            <color indexed="81"/>
            <rFont val="Segoe UI"/>
            <family val="2"/>
          </rPr>
          <t>Não haverá fornecimento de uniformes.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54" authorId="0" shapeId="0" xr:uid="{5D149DD2-8D11-4879-8F16-439E5A3AFD1E}">
      <text>
        <r>
          <rPr>
            <b/>
            <sz val="9"/>
            <color indexed="81"/>
            <rFont val="Segoe UI"/>
            <family val="2"/>
          </rPr>
          <t>Valor estimado com base na média do valor de auxílio transporte pago no atual contrato vigente no MCID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4" authorId="0" shapeId="0" xr:uid="{464C58BB-B50C-4F21-90F8-132DC5B320A9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5" authorId="0" shapeId="0" xr:uid="{D368E669-4887-4533-BCD4-09A46FD34E41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6" authorId="0" shapeId="0" xr:uid="{2A34A7D6-EE3D-4865-8202-DC3592CFF2F7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7" authorId="0" shapeId="0" xr:uid="{90C3D704-11DD-4FB4-A664-2AB3DF52B927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2" authorId="0" shapeId="0" xr:uid="{077C9D40-5682-4098-B4F4-1F344E6ED693}">
      <text>
        <r>
          <rPr>
            <b/>
            <sz val="9"/>
            <color indexed="81"/>
            <rFont val="Segoe UI"/>
            <family val="2"/>
          </rPr>
          <t>Estimado com base no percentual de 5% e na vigência de 12 meses do contrato, conforme "Memória de Cálculo"</t>
        </r>
      </text>
    </comment>
    <comment ref="D84" authorId="0" shapeId="0" xr:uid="{F334C7ED-8BE4-41C3-A90E-E6CB004B596D}">
      <text>
        <r>
          <rPr>
            <b/>
            <sz val="9"/>
            <color indexed="81"/>
            <rFont val="Segoe UI"/>
            <family val="2"/>
          </rPr>
          <t>Não haverá cobertura para colaborador que estrar de férias.</t>
        </r>
      </text>
    </comment>
    <comment ref="E106" authorId="0" shapeId="0" xr:uid="{22F56FA9-E048-4A95-AC77-FFFD6F38B3EE}">
      <text>
        <r>
          <rPr>
            <b/>
            <sz val="9"/>
            <color indexed="81"/>
            <rFont val="Segoe UI"/>
            <family val="2"/>
          </rPr>
          <t>Não haverá fornecimento de uniformes.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54" authorId="0" shapeId="0" xr:uid="{A014C3A6-74D3-4983-BD44-577F869C4A6A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5" authorId="0" shapeId="0" xr:uid="{6A94945B-E4AA-4F2A-81DF-F95FC8542019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6" authorId="0" shapeId="0" xr:uid="{E22C6EE7-CB4B-4193-9F55-DFB4F521F1A7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7" authorId="0" shapeId="0" xr:uid="{1A78891F-96FF-4C40-8641-69DCE6D4B1CF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2" authorId="0" shapeId="0" xr:uid="{066ED6E4-96A9-4F12-865A-5C5816F0710F}">
      <text>
        <r>
          <rPr>
            <b/>
            <sz val="9"/>
            <color indexed="81"/>
            <rFont val="Segoe UI"/>
            <family val="2"/>
          </rPr>
          <t>Estimado com base no percentual de 5% e na vigência de 12 meses do contrato, conforme "Memória de Cálculo"</t>
        </r>
      </text>
    </comment>
    <comment ref="D84" authorId="0" shapeId="0" xr:uid="{EEAAA164-4B32-49BE-984F-149C342C24BB}">
      <text>
        <r>
          <rPr>
            <b/>
            <sz val="9"/>
            <color indexed="81"/>
            <rFont val="Segoe UI"/>
            <family val="2"/>
          </rPr>
          <t>Não haverá cobertura para colaborador que estrar de férias.</t>
        </r>
      </text>
    </comment>
    <comment ref="E106" authorId="0" shapeId="0" xr:uid="{548BEE14-38DD-4D02-95C4-D601E4AE5609}">
      <text>
        <r>
          <rPr>
            <b/>
            <sz val="9"/>
            <color indexed="81"/>
            <rFont val="Segoe UI"/>
            <family val="2"/>
          </rPr>
          <t>Não haverá fornecimento de uniformes.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54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5" authorId="0" shapeId="0" xr:uid="{00000000-0006-0000-0900-000002000000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6" authorId="0" shapeId="0" xr:uid="{15811B72-0857-4DE7-9272-9C43CA36D8D0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7" authorId="0" shapeId="0" xr:uid="{CCC316D1-03CB-4AF1-8A15-9AA33E7FEA88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2" authorId="0" shapeId="0" xr:uid="{00000000-0006-0000-0900-000003000000}">
      <text>
        <r>
          <rPr>
            <b/>
            <sz val="9"/>
            <color indexed="81"/>
            <rFont val="Segoe UI"/>
            <family val="2"/>
          </rPr>
          <t>Estimado com base no percentual de 5% e na vigência de 12 meses do contrato, conforme "Memória de Cálculo"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54" authorId="0" shapeId="0" xr:uid="{59BFEED0-D062-4470-9952-FA92C5323367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5" authorId="0" shapeId="0" xr:uid="{93095635-2CF8-43C0-B191-7A91C8CC5B3D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6" authorId="0" shapeId="0" xr:uid="{96886D2E-3900-4962-8EDA-5BF50A217D6A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7" authorId="0" shapeId="0" xr:uid="{19FDDC84-C22C-402D-8114-2F576EAA9817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2" authorId="0" shapeId="0" xr:uid="{609591B0-6404-482F-A08E-17B37CAAEBC7}">
      <text>
        <r>
          <rPr>
            <b/>
            <sz val="9"/>
            <color indexed="81"/>
            <rFont val="Segoe UI"/>
            <family val="2"/>
          </rPr>
          <t>Estimado com base no percentual de 5% e na vigência de 12 meses do contrato, conforme "Memória de Cálculo"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54" authorId="0" shapeId="0" xr:uid="{BEF890AF-43BE-40D7-A486-73080F7D67D1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5" authorId="0" shapeId="0" xr:uid="{B9C99D3E-E9C4-4FF7-9FCD-6A53F5EBA83A}">
      <text>
        <r>
          <rPr>
            <b/>
            <sz val="9"/>
            <color indexed="81"/>
            <rFont val="Segoe UI"/>
            <family val="2"/>
          </rPr>
          <t>Considerando a média de 21 Dias úteis por mês no anao de 2026.</t>
        </r>
      </text>
    </comment>
    <comment ref="E56" authorId="0" shapeId="0" xr:uid="{DB4754D1-86BE-440D-A93A-AAE4C51696E0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7" authorId="0" shapeId="0" xr:uid="{C21B4E2A-B90A-4A48-8AFA-587E3A93EC6F}">
      <text>
        <r>
          <rPr>
            <b/>
            <sz val="9"/>
            <color indexed="81"/>
            <rFont val="Segoe UI"/>
            <family val="2"/>
          </rPr>
          <t>Conforme orientação do Parecer - Jurídico n. 445/2025/CJTER- BSB/SCGP/CGU/AGU (6251064)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2" authorId="0" shapeId="0" xr:uid="{D90BC6DF-191C-4994-B816-DA6E834359A6}">
      <text>
        <r>
          <rPr>
            <b/>
            <sz val="9"/>
            <color indexed="81"/>
            <rFont val="Segoe UI"/>
            <family val="2"/>
          </rPr>
          <t>Estimado com base no percentual de 5% e na vigência de 12 meses do contrato, conforme "Memória de Cálculo"</t>
        </r>
      </text>
    </comment>
  </commentList>
</comments>
</file>

<file path=xl/sharedStrings.xml><?xml version="1.0" encoding="utf-8"?>
<sst xmlns="http://schemas.openxmlformats.org/spreadsheetml/2006/main" count="2774" uniqueCount="607">
  <si>
    <t>Cargo</t>
  </si>
  <si>
    <t>Assistente Administrativo I</t>
  </si>
  <si>
    <t>Assistente Administrativo II</t>
  </si>
  <si>
    <t>Assistente Técnico Especializado</t>
  </si>
  <si>
    <t>Técnico de Secretariado</t>
  </si>
  <si>
    <t>Secretária Executiva - Bilingue</t>
  </si>
  <si>
    <t>Secretária Executiva</t>
  </si>
  <si>
    <t>Supervisor</t>
  </si>
  <si>
    <t>Encarregado</t>
  </si>
  <si>
    <t>Custo indireto</t>
  </si>
  <si>
    <t>Lucro</t>
  </si>
  <si>
    <t>Escolaridade</t>
  </si>
  <si>
    <t>Médio + Experiência (1)</t>
  </si>
  <si>
    <t>Superior + Experiência (2)</t>
  </si>
  <si>
    <t>Superior + Experiência (5)</t>
  </si>
  <si>
    <t>Médio/Técnico</t>
  </si>
  <si>
    <t>Superior</t>
  </si>
  <si>
    <t>Salário base</t>
  </si>
  <si>
    <t>Valor do Posto</t>
  </si>
  <si>
    <t>M.Transp PE 90005/2025 Homologado</t>
  </si>
  <si>
    <t>AGU - PE 90001/2025 Homologado</t>
  </si>
  <si>
    <t>MinCult Contrato nº20/2024</t>
  </si>
  <si>
    <t>STJ - Contrato nº 113/2023</t>
  </si>
  <si>
    <t>MPT - Contrato nº 25/2024</t>
  </si>
  <si>
    <t>MDH PE 90005/2025 - Homologado</t>
  </si>
  <si>
    <t>MCom - PE 90015/2024
Contrato nº</t>
  </si>
  <si>
    <t>MME Contrato nº 17/2025</t>
  </si>
  <si>
    <t>MJSP - PE 14/2023 - Contrato 29/2024 2º Apost</t>
  </si>
  <si>
    <t>IBAMA PE 90009/2024 - Homologado</t>
  </si>
  <si>
    <t>SUDECO-MIDR - PE 90005/2024 Contrato nº 14/2024</t>
  </si>
  <si>
    <t>DPU - PE 90048/2024</t>
  </si>
  <si>
    <t>DNIT PE 107/2024 - Contrato nº 431/2024</t>
  </si>
  <si>
    <t>ANTT - Contrato nº 30/2024</t>
  </si>
  <si>
    <t>IPHAN - PE 90011/2024 - Contrato nº /2024</t>
  </si>
  <si>
    <t>MDS - Ata 02/2024 - PE 90003/2024</t>
  </si>
  <si>
    <t>MDef _ PE 90016-2024 - Homologado</t>
  </si>
  <si>
    <t>MEC</t>
  </si>
  <si>
    <t>MGI PE 90009/2025 - Proposta G&amp;E</t>
  </si>
  <si>
    <t>MÉDIA</t>
  </si>
  <si>
    <t>MEDIANA</t>
  </si>
  <si>
    <t>DESVIO PADRÃO</t>
  </si>
  <si>
    <t>COEF. DE VARIAÇÃO</t>
  </si>
  <si>
    <t>MÁXIMO</t>
  </si>
  <si>
    <t>MÍNIMO</t>
  </si>
  <si>
    <t>Quantidade</t>
  </si>
  <si>
    <t>Quantidade de Postos</t>
  </si>
  <si>
    <t>Salário</t>
  </si>
  <si>
    <t>Posto</t>
  </si>
  <si>
    <t>Quant.</t>
  </si>
  <si>
    <t>Ass Adm I</t>
  </si>
  <si>
    <t>Ass Adm II</t>
  </si>
  <si>
    <t>Tec Sec</t>
  </si>
  <si>
    <t>Sec Exec</t>
  </si>
  <si>
    <t>Sec Exec Bil</t>
  </si>
  <si>
    <t>Recep</t>
  </si>
  <si>
    <t>Supervidor</t>
  </si>
  <si>
    <t>mês</t>
  </si>
  <si>
    <t>ano</t>
  </si>
  <si>
    <t>SINDSERVIÇO 2025</t>
  </si>
  <si>
    <t>ANEXO *** - MODELO DE PROPOSTA</t>
  </si>
  <si>
    <t>A. IDENTIFICAÇÃO</t>
  </si>
  <si>
    <t>RAZÃO SOCIAL:</t>
  </si>
  <si>
    <t xml:space="preserve">ENDEREÇO COMPLETO: </t>
  </si>
  <si>
    <t>DADOS BANCÁRIOS:</t>
  </si>
  <si>
    <t>REPRESENTANTE LEGAL: (NOME, RG E CPF)</t>
  </si>
  <si>
    <t>TELEFONE:</t>
  </si>
  <si>
    <t xml:space="preserve">E-MAIL: </t>
  </si>
  <si>
    <t>Valores Estimados</t>
  </si>
  <si>
    <t>Grupo</t>
  </si>
  <si>
    <t>ITEM</t>
  </si>
  <si>
    <t>CATSER</t>
  </si>
  <si>
    <t>Tipo de Serviço (A)</t>
  </si>
  <si>
    <t>UNIDADE</t>
  </si>
  <si>
    <t>Qtd (B)</t>
  </si>
  <si>
    <t>Salário Base R$</t>
  </si>
  <si>
    <t>Valor Unitário Posto(C)</t>
  </si>
  <si>
    <t>Valor Mensal todos os postos (D)</t>
  </si>
  <si>
    <t>Valor Global para 12 meses (F)</t>
  </si>
  <si>
    <t>D = B x C</t>
  </si>
  <si>
    <t>F = E x B</t>
  </si>
  <si>
    <t>posto/mês</t>
  </si>
  <si>
    <t>Total</t>
  </si>
  <si>
    <t>VALOR GLOBAL DOS SERVIÇOS - 12 MESES</t>
  </si>
  <si>
    <t>VALIDADE DA PROPOSTA</t>
  </si>
  <si>
    <t>90 DIAS</t>
  </si>
  <si>
    <t>OBSERVAÇÃO: Nos preços propostos, estão inclusos todos os custos necessários para a prestação dos serviços, todas as despesas com a mão de obra a ser utilizada, encargos trabalhistas, previdenciários, fiscais, comerciais, taxas ou quaisquer outras despesas que incidam ou venham a incidir sobre o objeto e que influenciem na formação dos preços desta proposta.</t>
  </si>
  <si>
    <t>ADVOCACIA-GERAL DA UNIÃO</t>
  </si>
  <si>
    <t>SECRETARIA-GERAL DE ADMINISTRAÇÃO</t>
  </si>
  <si>
    <t>Prestação de serviços continuados de LIMPEZA, CONSERVAÇÃO E HIGIENIZAÇÃO, COM FORNECIMENTO DE MATERIAIS E EQUIPAMENTOS</t>
  </si>
  <si>
    <t>PROCESSO ADMINISTRATIVO NUP: 00676.000761/2022-32</t>
  </si>
  <si>
    <t>PLANILHA DE LEVANTAMENTO DE ÁREA</t>
  </si>
  <si>
    <t>Tipo de área</t>
  </si>
  <si>
    <t>Área a ser considerada para calculo do número de serventes, em m²</t>
  </si>
  <si>
    <t>TOTAL</t>
  </si>
  <si>
    <t>1 - ÁREAS INTERNAS</t>
  </si>
  <si>
    <t>a) Pisos acarpetados: 800 m² a 1200 m²</t>
  </si>
  <si>
    <t>b) Pisos frios: 800 m² a 1200 m2</t>
  </si>
  <si>
    <t>d) Almoxarifados/galpões: 1500 m² a 2500 m²</t>
  </si>
  <si>
    <t>f) Áreas com espaços livres - saguão, hall e salão: 1000 m² a 1500 m²</t>
  </si>
  <si>
    <t>g) Banheiros: 200 m² a 300 m²</t>
  </si>
  <si>
    <t>2 - ÁREAS EXTERNAS</t>
  </si>
  <si>
    <t>a) Pisos pavimentados adjacentes/contíguos às edificações: 1800 m² a 2700 m2</t>
  </si>
  <si>
    <t>b) Varrição de passeios e arruamentos: 6000 m2 a 9000 m2</t>
  </si>
  <si>
    <t>c) Pátios e áreas verdes com alta frequência: 1800 m² a 2700 m²</t>
  </si>
  <si>
    <t>d) Pátios e áreas verdes com média frequência: 1800 m² a 2700 m²</t>
  </si>
  <si>
    <t>e) Pátios e áreas verdes com alta frequência: 1800 m² a 2700 m²</t>
  </si>
  <si>
    <t>f) coleta de detritos em pátios e áreas verdes com frequência diária: 100.000 m²</t>
  </si>
  <si>
    <t>3 - ESQUADRIAS EXTERNAS</t>
  </si>
  <si>
    <t>a) face externa com exposição a situação de risco: 130 m² a 160 m²</t>
  </si>
  <si>
    <t>b) face externa sem exposição a situação de risco: 300 m² a 380 m²</t>
  </si>
  <si>
    <t>c) face interna: 300 m² a 380 m²</t>
  </si>
  <si>
    <t>4 - FACHADAS ENVIDRAÇADAS</t>
  </si>
  <si>
    <t>a) Fachadas envidraçadas: 130 m² a 160 m²</t>
  </si>
  <si>
    <r>
      <t>OBSERVAÇÕES:
Legislação de referência:
Instrução Normativa 05, de 26 de maio de 2017;</t>
    </r>
    <r>
      <rPr>
        <sz val="11"/>
        <color rgb="FF000000"/>
        <rFont val="Calibri"/>
        <family val="2"/>
      </rPr>
      <t xml:space="preserve">
 Considerar-se-á área externa aquela não edificada, mas integrante do imóvel.
Caderno de logística PRESTAÇÃO DE SERVIÇOS DE LIMPEZA, ASSEIO E CONSERVAÇÃO versão 1.0 de abril de 2014.</t>
    </r>
  </si>
  <si>
    <t>PLANILHA DE CÁLCULO NÚMERO DE SERVENTES</t>
  </si>
  <si>
    <t>A</t>
  </si>
  <si>
    <t>B</t>
  </si>
  <si>
    <t>C</t>
  </si>
  <si>
    <t xml:space="preserve">D </t>
  </si>
  <si>
    <t xml:space="preserve">E </t>
  </si>
  <si>
    <t>F = (A / B) x E</t>
  </si>
  <si>
    <t>Área a ser considerada para calculo do número de serventes m²</t>
  </si>
  <si>
    <t>Produtividade por servente, segundo IN 5/2017 m²</t>
  </si>
  <si>
    <t>Frequência de execução</t>
  </si>
  <si>
    <t>Número de horas trabalhadas no mês</t>
  </si>
  <si>
    <t>Porcentagem do mês trabalhado</t>
  </si>
  <si>
    <t>Estimativa de n° de serventes</t>
  </si>
  <si>
    <t> </t>
  </si>
  <si>
    <t>DIÁRIA</t>
  </si>
  <si>
    <t>QUINZENAL</t>
  </si>
  <si>
    <t>SEMESTRAL</t>
  </si>
  <si>
    <t>TOTAL DE SERVENTE</t>
  </si>
  <si>
    <t>PLANILHA DE CÁLCULO NÚMERO DO CUSTO UNITÁRIO</t>
  </si>
  <si>
    <t>TABELA CÁLCULO DO VALOR MÉDIO DO M² CONFORME ANEXO VII-D IN 05/2017</t>
  </si>
  <si>
    <t>TIPO DE ÁREA</t>
  </si>
  <si>
    <t>ÁREA INTERNA
(A)</t>
  </si>
  <si>
    <t>PRODUTIVIDADE (B)</t>
  </si>
  <si>
    <t>1/M²
C = 1/B</t>
  </si>
  <si>
    <t>FREQUÊNCIA (D)</t>
  </si>
  <si>
    <t xml:space="preserve">FREQUÊNCIA
HORAS POR MÊS
(E) </t>
  </si>
  <si>
    <t>JORNADA DE TRABALHO MENSAL (%)
F = D/188,76</t>
  </si>
  <si>
    <t>PREÇO HOMEM-MÊS
(G)</t>
  </si>
  <si>
    <t>SUBTOTAL
H = C X E X F</t>
  </si>
  <si>
    <t>TOTAL MENSAL
I = A X H</t>
  </si>
  <si>
    <t>VALOR MÉDIO
(M) = I TOTAL / A TOTAL</t>
  </si>
  <si>
    <t>ÁREA TOTAL</t>
  </si>
  <si>
    <t>DIARIAMENTE</t>
  </si>
  <si>
    <t>PLANILHA DE CUSTOS E FORMAÇÃO DE PREÇOS POR CATEGORIA</t>
  </si>
  <si>
    <t>Processo Nº 00676.000761/2022-32</t>
  </si>
  <si>
    <t>Data:  06/07//22</t>
  </si>
  <si>
    <t>DETERMINAÇÃO DOS SERVIÇOS</t>
  </si>
  <si>
    <t>Data de Apresentação da Proposta</t>
  </si>
  <si>
    <t>Municipio/UF</t>
  </si>
  <si>
    <t>Macapá/AP</t>
  </si>
  <si>
    <t>Ano Acordo, Convenção ou Sentença Normativa em Dissidio Coletivo</t>
  </si>
  <si>
    <t>AP000001/2022</t>
  </si>
  <si>
    <t>D</t>
  </si>
  <si>
    <t>Nº de meses de execução contratual</t>
  </si>
  <si>
    <t>Item</t>
  </si>
  <si>
    <t>Tipo de Serviço</t>
  </si>
  <si>
    <t xml:space="preserve">Unidade de medida </t>
  </si>
  <si>
    <t>Quantidade total a contratar</t>
  </si>
  <si>
    <t>Servente</t>
  </si>
  <si>
    <t>m²</t>
  </si>
  <si>
    <t>MÃO-DE-OBRA VINCULADA À EXECUÇÃO CONTRATUAL</t>
  </si>
  <si>
    <t>DADOS COMPLEMENTARES PARA COMPOSIÇÃO DOS CUSTOS REFERENTE Á MÃO-DE-OBRA</t>
  </si>
  <si>
    <t xml:space="preserve">Tipo de serviço (mesmo serviço com características distintas) </t>
  </si>
  <si>
    <t>Trabalhadores nos Serviços de Administração, Conservação e Manutenção de Edifícios e Logradouros</t>
  </si>
  <si>
    <t>Classificação Brasileira de Ocupações</t>
  </si>
  <si>
    <t>5143-20</t>
  </si>
  <si>
    <t xml:space="preserve">Salário Normativo da Categoria Profissional </t>
  </si>
  <si>
    <t xml:space="preserve">Categoria profissional (vinculada à execução contratual) </t>
  </si>
  <si>
    <t>Servente de Limpeza</t>
  </si>
  <si>
    <t xml:space="preserve">Data base da categoria (dia/mês/ano) </t>
  </si>
  <si>
    <t>MÓDULO 1 : COMPOSIÇÃO DA REMUNERAÇÃO</t>
  </si>
  <si>
    <t>Remuneração</t>
  </si>
  <si>
    <t>%</t>
  </si>
  <si>
    <t xml:space="preserve">Valor (R$) </t>
  </si>
  <si>
    <t xml:space="preserve">A </t>
  </si>
  <si>
    <t xml:space="preserve">Salário Base </t>
  </si>
  <si>
    <t>Adicional Periculosidade</t>
  </si>
  <si>
    <t>Adicional Insalubridade</t>
  </si>
  <si>
    <t>Adicional Noturno</t>
  </si>
  <si>
    <t>E</t>
  </si>
  <si>
    <t>Adicional de Hora Noturna Reduzida</t>
  </si>
  <si>
    <t>F</t>
  </si>
  <si>
    <t>Adicional de Produtividade</t>
  </si>
  <si>
    <t>TOTAL DO MÓDULO 1</t>
  </si>
  <si>
    <t>MÓDULO 2: ENCARGOS, BENEFÍCIOS ANUAIS, MENSAIS E DIÁRIOS</t>
  </si>
  <si>
    <t>SUBMÓDULO 2.1 - 13º SALÁRIO E ADICIONAL DE FÉRIAS</t>
  </si>
  <si>
    <t>2.1</t>
  </si>
  <si>
    <t xml:space="preserve">13º salário e adicional de férias </t>
  </si>
  <si>
    <t>13º (décimo terceiro) Salário</t>
  </si>
  <si>
    <t xml:space="preserve">B </t>
  </si>
  <si>
    <t>Férias + Adicional de Férias</t>
  </si>
  <si>
    <t>TOTAL DO SUBMÓDULO 2.1</t>
  </si>
  <si>
    <t xml:space="preserve">SUBMÓDULO 2.2 - ENCARGOS PREVIDENCIÁRIOS, FGTS </t>
  </si>
  <si>
    <t>2.2</t>
  </si>
  <si>
    <t xml:space="preserve">Encargos previdenciários e FGTS </t>
  </si>
  <si>
    <t>INSS - Artigo 22 Inciso I Lei 8.212/91</t>
  </si>
  <si>
    <t>Salário Educação - Artigo 3º Inc. I Decreto Nº 87.043/82</t>
  </si>
  <si>
    <t>SAT - Riscos Ambientais de Trabalho (RAT 3,00XFAP 0,50)</t>
  </si>
  <si>
    <t xml:space="preserve">RAT x FAP, em que:     RA T – 2% (Fornecimento e Gestão de Recursos Humanos para Terceiros - CNAE 7830-2/00 do Anexo V do Decreto n° 3.048/1999).      </t>
  </si>
  <si>
    <t>SESC/SESI Artigo 3º Lei Nº 8.036/90</t>
  </si>
  <si>
    <t>SENAC/SENAI Decreto Nº2.318/86</t>
  </si>
  <si>
    <t xml:space="preserve">F </t>
  </si>
  <si>
    <t>SEBRAE - Artigo 8° Lei 8.029/90 e Lei 8.154 de 28/12/90(*)</t>
  </si>
  <si>
    <t>G</t>
  </si>
  <si>
    <t>INCRA - Lei 7.787 de 30/06/89 e DL 1.146/70(*)</t>
  </si>
  <si>
    <t>H</t>
  </si>
  <si>
    <t>FGTS - Artigo 15 Lei 8.036/90 e Artigo 7º III, CF</t>
  </si>
  <si>
    <t>TOTAL DO SUBMÓDULO 2.2</t>
  </si>
  <si>
    <t xml:space="preserve">SUBMÓDULO 2.3 -BENEFÍCIOS MENSAIS E DIÁRIOS </t>
  </si>
  <si>
    <t>2.3</t>
  </si>
  <si>
    <t>Benefícios</t>
  </si>
  <si>
    <t xml:space="preserve">Vale Transporte </t>
  </si>
  <si>
    <t xml:space="preserve"> a empresa pode descontar até 6,% do salário base</t>
  </si>
  <si>
    <t xml:space="preserve">Auxílio refeição/alimentação  </t>
  </si>
  <si>
    <t xml:space="preserve">então empresa paga </t>
  </si>
  <si>
    <t>soma</t>
  </si>
  <si>
    <t>Auxílio Funeral</t>
  </si>
  <si>
    <t>Outros ( descrever)</t>
  </si>
  <si>
    <t>O empregado pagará</t>
  </si>
  <si>
    <t>TOTAL DO SUBMÓDULO 2.3</t>
  </si>
  <si>
    <t>SUBMÓDULO 2.4 -Intervalo Intrajornada do Titular</t>
  </si>
  <si>
    <t>Intervalo Intrajornada</t>
  </si>
  <si>
    <t>Memória de cálculo:</t>
  </si>
  <si>
    <t>TOTAL DO SUBMÓDULO 2.4</t>
  </si>
  <si>
    <t>Intrajornada = [ (Sal.-Base + Periculosidade) / divisor da categoria ] * acréscimo</t>
  </si>
  <si>
    <t>Percentual Hora Extra * Quantidade de horas indenizadas do intrajornada*0,5 ( meia hora de  descanso)</t>
  </si>
  <si>
    <t>QUADRO RESUMO DO MÓDULO 2 - ENCARGOS E BENEFÍCIOS ANUAIS, MENSAIS E DIÁRIOS</t>
  </si>
  <si>
    <t>Intrajornada = [ (REMUNERAÇÃO / 220 ] * acréscimo de 50% * 15</t>
  </si>
  <si>
    <t>Encargos e benefícios anuais, mensis e diários</t>
  </si>
  <si>
    <t xml:space="preserve">% </t>
  </si>
  <si>
    <t>Intrajornada = [ (REMUNERAÇÃO) / 220 ] * 1,5 * 15*0,5</t>
  </si>
  <si>
    <t>13º Salário, Férias e Adicional de Férias</t>
  </si>
  <si>
    <t>GPS, FGTS e outras contribuições</t>
  </si>
  <si>
    <t>Benefícios Mensais e Diários</t>
  </si>
  <si>
    <t>2.4</t>
  </si>
  <si>
    <t>Intervalo Intrajornada Titular</t>
  </si>
  <si>
    <t>VALOR TOTAL DO MÓDULO 2</t>
  </si>
  <si>
    <t>MÓDULO 3: PROVISÃO PARA RESCISÃO</t>
  </si>
  <si>
    <t xml:space="preserve">Provisão para rescisão </t>
  </si>
  <si>
    <t>Aviso prévio indenizado Art. 7º, XXI, CF/88, 477, 487 e 491 CLT</t>
  </si>
  <si>
    <t>Incidência do FGTS  sobre aviso prévio indenizado  Leis Nº 8.036/90 e 9.491/97</t>
  </si>
  <si>
    <t xml:space="preserve">C </t>
  </si>
  <si>
    <t>Multa do FGTS sobre o Aviso Prévio Indenizado  Leis Nº 8.036/90 e 9.491/97</t>
  </si>
  <si>
    <t>Aviso prévio trabalhado Art. 7º, XXI, CF/88, 477, 487 e 491CLT. Redução de 7 dias ou 2 horas por dia, percentual relativo a contrato de 12 meses</t>
  </si>
  <si>
    <t>Incidência dos encargos do submódulo 2.2 sobre o Aviso Prévio</t>
  </si>
  <si>
    <t>Multa do FGTS sobre aviso prévio trabalhado Leis Nº 8.036/90 e 9.491/97</t>
  </si>
  <si>
    <t>TOTAL DO MÓDULO 3</t>
  </si>
  <si>
    <t>MÓDULO 4: CUSTO DE REPOSIÇÃO DO PROFISSIONAL AUSENTE</t>
  </si>
  <si>
    <t>SUBMÓDULO 4.1 - AUSÊNCIAS LEGAIS</t>
  </si>
  <si>
    <t>4.1</t>
  </si>
  <si>
    <t>Ausências Legais</t>
  </si>
  <si>
    <t>Férias Art 7º, XVII, CF/88</t>
  </si>
  <si>
    <t>Licença paternidade Art 7º, XIX, CF/88 e 10, § 1º da CLT</t>
  </si>
  <si>
    <t>Ausência por Acidente de trabalho Art. 19 a 23 da Lei Nº 88.213/91</t>
  </si>
  <si>
    <t>Afastamento Maternidade</t>
  </si>
  <si>
    <t>Outros</t>
  </si>
  <si>
    <t>TOTAL DO SUBMÓDULO 4.1</t>
  </si>
  <si>
    <t>SUBMÓDULO 4.2 - INTRAJORNADA</t>
  </si>
  <si>
    <t>4.2</t>
  </si>
  <si>
    <t>Intrajornada</t>
  </si>
  <si>
    <t xml:space="preserve">Intervalo para repouso ou alimentação </t>
  </si>
  <si>
    <t>TOTAL DO SUBMÓDULO 4.2</t>
  </si>
  <si>
    <t>QUADRO RESUMO DO MÓDULO 4 - CUSTO DE REPOSIÇÃO DO PROFISSIONAL AUSENTE</t>
  </si>
  <si>
    <t>Custo de reposição do profissional ausente</t>
  </si>
  <si>
    <t>TOTAL DO MÓDULO 4</t>
  </si>
  <si>
    <t>MÓDULO 5: INSUMOS DIVERSOS</t>
  </si>
  <si>
    <t>INSUMOS DIVERSOS</t>
  </si>
  <si>
    <t xml:space="preserve">Uniformes </t>
  </si>
  <si>
    <t>Equipamento Individual</t>
  </si>
  <si>
    <t>Materiais de limpeza</t>
  </si>
  <si>
    <t>Utensílios</t>
  </si>
  <si>
    <t>Medicina do Trabalho</t>
  </si>
  <si>
    <t>TOTAL DOS INSUMOS DIVERSOS</t>
  </si>
  <si>
    <t>TOTAL DE ENCARGOS</t>
  </si>
  <si>
    <t>MÓDULO 6: CUSTOS INDIRETOS, TRIBUTOS E LUCRO</t>
  </si>
  <si>
    <t>Custos Indiretos</t>
  </si>
  <si>
    <t>CUSTOS INDIRETOS</t>
  </si>
  <si>
    <t>LUCRO</t>
  </si>
  <si>
    <t>TRIBUTOS</t>
  </si>
  <si>
    <t>PIS</t>
  </si>
  <si>
    <t>COFINS</t>
  </si>
  <si>
    <t>ISS (Art. 178, IV, item 17.05 e art. 52 da Lei nº 5.040/1975)</t>
  </si>
  <si>
    <t>VALOR DO MÓDULO 6</t>
  </si>
  <si>
    <t>QUADRO RESUMO DO CUSTO POR EMPREGADO</t>
  </si>
  <si>
    <t>MÃO DE OBRA VINCULADA Á EXECUÇÃO CONTRATUAL (VALOR POR EMPREGADO)</t>
  </si>
  <si>
    <t xml:space="preserve">(R$) </t>
  </si>
  <si>
    <t xml:space="preserve">Módulo 1 - Composição da Remuneração </t>
  </si>
  <si>
    <t xml:space="preserve">Módulo 2 - Encargos. Benefícios Anuais, Mensais e Diários </t>
  </si>
  <si>
    <t>Módulo 3 - Provisão para Rescisão</t>
  </si>
  <si>
    <t>Módulo 4 - Custo de Reposição do Profissional Ausente</t>
  </si>
  <si>
    <t>Módulo 5 - Insumos Diversos</t>
  </si>
  <si>
    <t xml:space="preserve">Subtotal (A + B + C + D+E) </t>
  </si>
  <si>
    <t xml:space="preserve">Módulo 6 - Custos indiretos, tributos e lucro </t>
  </si>
  <si>
    <t>VALOR TOTAL POR EMPREGADO</t>
  </si>
  <si>
    <t>5143-05</t>
  </si>
  <si>
    <t>Lavador (fachada)</t>
  </si>
  <si>
    <t>PLANILHA DE CUSTOS E FORMAÇÃO DE PREÇOS  - ASSISTENTE ADMINISTRATIVO</t>
  </si>
  <si>
    <t>Processo Nº  ********</t>
  </si>
  <si>
    <t>Pregão Eletrônico nº ******</t>
  </si>
  <si>
    <t>Brasília/DF</t>
  </si>
  <si>
    <t>DF000042/2025</t>
  </si>
  <si>
    <t>IDENTIFICAÇÃO DOS SERVIÇOS</t>
  </si>
  <si>
    <t>Assistente Administrativo – 40h</t>
  </si>
  <si>
    <t>Posto/Mês</t>
  </si>
  <si>
    <t>4110-10</t>
  </si>
  <si>
    <t>Salário Base</t>
  </si>
  <si>
    <t>Salário Mínimo Nacional</t>
  </si>
  <si>
    <t>SEAC/DF x SINDISERVIÇOS/DF</t>
  </si>
  <si>
    <t>Regime Tributário</t>
  </si>
  <si>
    <t>LUCRO PRESUMIDO</t>
  </si>
  <si>
    <r>
      <rPr>
        <sz val="11"/>
        <color rgb="FF000000"/>
        <rFont val="Cambria"/>
        <family val="1"/>
        <scheme val="major"/>
      </rPr>
      <t xml:space="preserve">Salário Base  </t>
    </r>
    <r>
      <rPr>
        <sz val="11"/>
        <color rgb="FFFF0000"/>
        <rFont val="Cambria"/>
        <family val="1"/>
        <scheme val="major"/>
      </rPr>
      <t>(Cláus. 6ª da CCT 2025)</t>
    </r>
  </si>
  <si>
    <t>SUBMÓDULO 2.1 - 13º SALÁRIO, FÉRIAS E ADICIONAL DE FÉRIAS</t>
  </si>
  <si>
    <t xml:space="preserve">13º salário, Férias e adicional de férias </t>
  </si>
  <si>
    <r>
      <t xml:space="preserve">13º (décimo terceiro) Salário             </t>
    </r>
    <r>
      <rPr>
        <sz val="11"/>
        <color rgb="FFFF0000"/>
        <rFont val="Cambria"/>
        <family val="1"/>
        <scheme val="major"/>
      </rPr>
      <t>(Conta Vinculada)</t>
    </r>
  </si>
  <si>
    <t>(Conta Vinculada)</t>
  </si>
  <si>
    <t xml:space="preserve">INSS </t>
  </si>
  <si>
    <t xml:space="preserve">Salário Educação </t>
  </si>
  <si>
    <t>SAT - Riscos Ambientais de Trabalho (RAT  X FAP )</t>
  </si>
  <si>
    <t xml:space="preserve">SESC/SESI </t>
  </si>
  <si>
    <t xml:space="preserve">SENAC/SENAI </t>
  </si>
  <si>
    <t xml:space="preserve">SEBRAE </t>
  </si>
  <si>
    <t>INCRA</t>
  </si>
  <si>
    <t>FGTS</t>
  </si>
  <si>
    <t xml:space="preserve">Vale Alimentação/Refeição </t>
  </si>
  <si>
    <t>Seguro de Vida/Assistência Funeral</t>
  </si>
  <si>
    <t>Assistência Odontológica</t>
  </si>
  <si>
    <t xml:space="preserve">Outros </t>
  </si>
  <si>
    <r>
      <rPr>
        <sz val="11"/>
        <color rgb="FF000000"/>
        <rFont val="Cambria"/>
        <family val="1"/>
      </rPr>
      <t xml:space="preserve">Aviso prévio indenizado  </t>
    </r>
    <r>
      <rPr>
        <sz val="11"/>
        <color rgb="FFFF0000"/>
        <rFont val="Cambria"/>
        <family val="1"/>
      </rPr>
      <t/>
    </r>
  </si>
  <si>
    <t xml:space="preserve">Incidência do FGTS  sobre aviso prévio indenizado  </t>
  </si>
  <si>
    <t>Multa do FGTS sobre aviso prévio indenizado (Conta Vinculada)</t>
  </si>
  <si>
    <t>Aviso prévio trabalhado. Redução de 7 dias ou 2 horas por dia</t>
  </si>
  <si>
    <t>Incidência dos encargos do submódulo 2.2 sobre o Aviso Prévio Trabalhado</t>
  </si>
  <si>
    <r>
      <t xml:space="preserve">Multa do FGTS sobre aviso prévio trabalhado e indenizado  </t>
    </r>
    <r>
      <rPr>
        <sz val="11"/>
        <color rgb="FFFF0000"/>
        <rFont val="Cambria"/>
        <family val="1"/>
        <scheme val="major"/>
      </rPr>
      <t>(Conta Vinculada)</t>
    </r>
  </si>
  <si>
    <t>Base de Cálculo - Exceto Férias: (Módulo 1+Submódulo 2.1+Submódulo 2.2)</t>
  </si>
  <si>
    <t>Férias (custo do ferista - cobertura do residente)</t>
  </si>
  <si>
    <t>Licença paternidade</t>
  </si>
  <si>
    <t xml:space="preserve">Ausência por Acidente de trabalho </t>
  </si>
  <si>
    <t>Outros (especificar)</t>
  </si>
  <si>
    <t>Materiais e Equipamentos</t>
  </si>
  <si>
    <t xml:space="preserve">ISS </t>
  </si>
  <si>
    <t>Assistente Administrativo II – 40h</t>
  </si>
  <si>
    <t>Aviso prévio trabalhado. Redução de 7 dias ou 2 horas por dia  (acrescido de 3 dias do primeiro ano e 3 dias a cada ano de aviso prévio proporcional, totalizando 16 dias) - percentual relativo a composição de contrato de 36 meses "=(16/30)/36"</t>
  </si>
  <si>
    <r>
      <rPr>
        <sz val="11"/>
        <color rgb="FF000000"/>
        <rFont val="Cambria"/>
        <family val="1"/>
        <scheme val="major"/>
      </rPr>
      <t xml:space="preserve">Multa do FGTS sobre aviso prévio trabalhado  </t>
    </r>
    <r>
      <rPr>
        <sz val="11"/>
        <color rgb="FFFF0000"/>
        <rFont val="Cambria"/>
        <family val="1"/>
        <scheme val="major"/>
      </rPr>
      <t>(Conta Vinculada)</t>
    </r>
  </si>
  <si>
    <t xml:space="preserve"> Registrador Eletrônico de Ponto Alternativo - REP-A</t>
  </si>
  <si>
    <t>Assistente Técnico Especializado – 40h</t>
  </si>
  <si>
    <t>Assistência Odontoógica</t>
  </si>
  <si>
    <t>Multa do FGTS sobre aviso prévio indenizado  (Conta Vinculada)</t>
  </si>
  <si>
    <r>
      <rPr>
        <sz val="11"/>
        <color rgb="FF000000"/>
        <rFont val="Cambria"/>
        <family val="1"/>
      </rPr>
      <t xml:space="preserve">Aviso prévio trabalhado. Redução de 7 dias ou 2 horas por dia </t>
    </r>
    <r>
      <rPr>
        <sz val="11"/>
        <rFont val="Cambria"/>
        <family val="1"/>
      </rPr>
      <t xml:space="preserve"> </t>
    </r>
    <r>
      <rPr>
        <sz val="11"/>
        <color rgb="FFFF0000"/>
        <rFont val="Cambria"/>
        <family val="1"/>
      </rPr>
      <t>(acrescido de 3 dias do primeiro ano e 3 dias a cada ano de aviso prévio proporcional, totalizando 16 dias) - percentual relativo a composição de contrato de 36 meses "=(16/30)/36"</t>
    </r>
  </si>
  <si>
    <t>PLANILHA DE CUSTOS E FORMAÇÃO DE PREÇOS  - TÉCNICO EM SECRETARIADO</t>
  </si>
  <si>
    <t>Processo Nº</t>
  </si>
  <si>
    <r>
      <rPr>
        <b/>
        <sz val="11"/>
        <color rgb="FFFF0000"/>
        <rFont val="Cambria"/>
        <family val="1"/>
        <scheme val="major"/>
      </rPr>
      <t xml:space="preserve">Orientações de preenchimento: </t>
    </r>
    <r>
      <rPr>
        <sz val="11"/>
        <color rgb="FFFF0000"/>
        <rFont val="Cambria"/>
        <family val="1"/>
        <scheme val="major"/>
      </rPr>
      <t>Preencher os campos destacados em amarelo uma vez que a planilha está automatizada.</t>
    </r>
  </si>
  <si>
    <t>DF000045/2025</t>
  </si>
  <si>
    <t>Técnico em Secretariado – 40h</t>
  </si>
  <si>
    <t>Técnico em Secretariado</t>
  </si>
  <si>
    <t>3515-05</t>
  </si>
  <si>
    <t xml:space="preserve">Seguro de Vida/Assistência Funeral </t>
  </si>
  <si>
    <r>
      <rPr>
        <sz val="11"/>
        <color rgb="FF000000"/>
        <rFont val="Cambria"/>
        <family val="1"/>
      </rPr>
      <t xml:space="preserve">Aviso prévio trabalhado. Redução de 7 dias ou 2 horas por dia </t>
    </r>
    <r>
      <rPr>
        <sz val="11"/>
        <rFont val="Cambria"/>
        <family val="1"/>
      </rPr>
      <t xml:space="preserve"> </t>
    </r>
  </si>
  <si>
    <r>
      <rPr>
        <sz val="11"/>
        <color rgb="FF000000"/>
        <rFont val="Cambria"/>
        <family val="1"/>
        <scheme val="major"/>
      </rPr>
      <t xml:space="preserve">Multa do FGTS sobre aviso prévio trabalhado </t>
    </r>
    <r>
      <rPr>
        <sz val="11"/>
        <color rgb="FFFF0000"/>
        <rFont val="Cambria"/>
        <family val="1"/>
        <scheme val="major"/>
      </rPr>
      <t>(Conta Vinculada)</t>
    </r>
  </si>
  <si>
    <t xml:space="preserve">Licença paternidade </t>
  </si>
  <si>
    <t>Equipamentos (Ponto Eletrônico)- Depreciação ou Registrador Eletrônico de Ponto Alternativo - REP-A</t>
  </si>
  <si>
    <t xml:space="preserve">Processo Nº </t>
  </si>
  <si>
    <t>Secretário Executivo I– 40h</t>
  </si>
  <si>
    <t>Secretária Executiva I</t>
  </si>
  <si>
    <t xml:space="preserve">Aviso prévio trabalhado. Redução de 7 dias ou 2 horas por dia </t>
  </si>
  <si>
    <t>Secretário Executivo II Bilíngue – 40h</t>
  </si>
  <si>
    <t>Secretária Executiva II - Bilíngue</t>
  </si>
  <si>
    <t>Recepcionista</t>
  </si>
  <si>
    <t>Encarregado Geral</t>
  </si>
  <si>
    <t>UNIFORME FEMININO</t>
  </si>
  <si>
    <t>DESCRIÇÃO</t>
  </si>
  <si>
    <t>VALOR UNIT.
(Média)</t>
  </si>
  <si>
    <t>QUANTIDADE</t>
  </si>
  <si>
    <t>VALOR POR FUNCIONÁRIO</t>
  </si>
  <si>
    <t>CAMISA BRANCA MANGA LONGA ou 3/4</t>
  </si>
  <si>
    <t>Camisa Social em tecido não transparente, manga 3/4 ou longa, gola com entretela, 67% poliéster e 33% algodão, na cor branca, com botões nos punhos e emblema da empresa bordado no lado superior esquerdo.</t>
  </si>
  <si>
    <t>CAMISA BRANCA MANGA CURTA</t>
  </si>
  <si>
    <t>Camisa Social em tecido não transparente, manga curta, gola com entretela, 67% poliéster e 33% algodão, na cor branca, com botões nos punhos e emblema da empresa bordado no lado superior esquerdo.</t>
  </si>
  <si>
    <t>CALÇA SOCIAL PRETA</t>
  </si>
  <si>
    <t>Calça ou Saia Social, na cor preta, em tecido microfibra ou oxford, com zíper, de boa qualidade.</t>
  </si>
  <si>
    <t>SAIA SOCIAL PRETA</t>
  </si>
  <si>
    <t>MEIA CALÇA</t>
  </si>
  <si>
    <t>Meia calça fina, de boa qualidade, na cor da pele. Somente para quem optar pela Saia Social.</t>
  </si>
  <si>
    <t>SAPATO PRETO</t>
  </si>
  <si>
    <t>Sapato social (baixo ou médio) na cor preta, scarpin ou estilo boneca, confortável, de boa qualidade, de couro 100%.</t>
  </si>
  <si>
    <t>PAR</t>
  </si>
  <si>
    <t>TOTAL UNIFORMES:</t>
  </si>
  <si>
    <t>VALOR POR POSTO (MENSAL)</t>
  </si>
  <si>
    <t>UNIFORME MASCULINO</t>
  </si>
  <si>
    <t>CAMISA BRANCA MANGA LONGA</t>
  </si>
  <si>
    <t>Camisa Social em tecido não transparente, manga longa, gola com entretela, 67% poliéster e 33% algodão, na cor branca, com botões nos punhos e emblema da empresa bordado no lado superior esquerdo.</t>
  </si>
  <si>
    <t>Calça Social, na cor preta, em tecido microfibra ou oxford, com zíper, presilhas para cinto, de boa qualidade.</t>
  </si>
  <si>
    <t>MEIA</t>
  </si>
  <si>
    <t>Meia social em tecido com composição de 60% algodão, 39% poliamida e 1% elastano, na cor preta e de boa qualidade.</t>
  </si>
  <si>
    <t>CINTO SOCIAL</t>
  </si>
  <si>
    <t>Cinto social na cor preta, fabricado em couro sintético, de boa qualidade.</t>
  </si>
  <si>
    <t>Sapatos tipo esporte fino, com cadarço, 100% couro, solado de borracha, macio, na cor preta e de boa qualidade.</t>
  </si>
  <si>
    <t>MÉMORIA DE CÁLCULO</t>
  </si>
  <si>
    <t xml:space="preserve">Composição da remuneração </t>
  </si>
  <si>
    <t>BASE LEGAL</t>
  </si>
  <si>
    <t>Módulo 2 - Encargos e Benefícios Anuais, Mensais e Diários</t>
  </si>
  <si>
    <t>Submódulo 2.1 - 13º (décimo terceiro) Salário, Férias e Adicional de Férias</t>
  </si>
  <si>
    <t>Especificação</t>
  </si>
  <si>
    <r>
      <t>Alíquota</t>
    </r>
    <r>
      <rPr>
        <b/>
        <sz val="8.5"/>
        <color indexed="8"/>
        <rFont val="Times New Roman"/>
        <family val="1"/>
      </rPr>
      <t> %</t>
    </r>
  </si>
  <si>
    <t>Fundamento</t>
  </si>
  <si>
    <t>II.1 A 13º Salário 8,333%
Fundamento Jurídico: Art. 7º, VIII, CF/88
Memória de Cálculo: [(1/12)] = 8,333%
Onde:
1 Ocorrência de evento 13º no ano
12 = Número de meses do ano</t>
  </si>
  <si>
    <t xml:space="preserve">Adicional de Férias </t>
  </si>
  <si>
    <t xml:space="preserve">Total </t>
  </si>
  <si>
    <t>Submódulo 2.2 - Encargos Previdenciários (GPS), Fundo de Garantia por Tempo de Serviço (FGTS) e outras contribuições.</t>
  </si>
  <si>
    <t>INSS</t>
  </si>
  <si>
    <t>II.2 A INSS
Memória de Cálculo: 20,00% x (MÓD I )
Fundamento Jurídico: Art. 22, Inciso I, da Lei 8.212, de 24 de julho de 1991.
OBS.Caso a licitante faça uso do benéficio de desoneração da folha, deverá comprovar o seu equadramento e que a maior parte da sua receita está adequada à atividade principal que lhe permite a utilização do benefício, conforme extraído da análise de um caso concreto consubstanciado na NOTA TÉCNICA Nº 484/2025/DG/SFC da Controladoria Geral da União - CGU.</t>
  </si>
  <si>
    <t>Salário Educação</t>
  </si>
  <si>
    <t>II.2 B Salário Educação
Memória de Cálculo: 2,50% x (MÓD I )
Fundamento Jurídico: Art. 3º, Inciso I, Decreto 87.043, de 22 de março de 1982.</t>
  </si>
  <si>
    <t>SAT (*)</t>
  </si>
  <si>
    <t>SESC ou SESI</t>
  </si>
  <si>
    <t>II.2 D SESC ou SESI
Memória de Cálculo: 1,50% x (MÓD I )
Fundamento Jurídico: Art. 30, Lei 8.036, de 11 de maio de 1990</t>
  </si>
  <si>
    <t>SENAI - SENAC</t>
  </si>
  <si>
    <t>II.2 E SENAI-SENAC
Memória de Cálculo: 1,00% x (MÓD I )
Fundamento Jurídico: Art. 1º, caput, Decreto-Lei 6.246, de 1944 (SENAI) e art. 4º, caput do
Decreto-Lei 8.621, de 1946. (SENAC)</t>
  </si>
  <si>
    <t>SEBRAE</t>
  </si>
  <si>
    <t>II.2 F SEBRAE
Memória de Cálculo: 0,60% x (MÓD I )
Fundamento Jurídico: Art. 8º, Lei 8.029, de 12 de abril de 1990</t>
  </si>
  <si>
    <t>II.2 G INCRA
Memória de Cálculo: 0,20% x (MÓD I )
Fundamento Jurídico: Art. 1°, I, 2 c/c art. 3°, ambos do Decreto-Lei 1.146, de 31 de
dezembro de 1970.</t>
  </si>
  <si>
    <t>II.2 H FGTS
Memória de Cálculo: 8,00% x (MÓD I )
Fundamento Jurídico: Art. 15, Lei nº 8.036/90 e Art. 7º, III, CF/88.</t>
  </si>
  <si>
    <t>Aviso Prévio Indenizado</t>
  </si>
  <si>
    <t>III.A Aviso Prévio Indenizado 0,08%
Fundamento Jurídico: Art. 7º, XXI, CF/88,e arts 477, 487 CLT
Memória de Cálculo: {[0,05x(1/12)]x100} = 0,42%
Onde:
0,05 Estimativa de que 5% (cinco por cento) dos empregados serão substituídos durante um ano
1 = um mês não trabalhado
12 = Número de meses do ano</t>
  </si>
  <si>
    <t>Incidência do FGTS sobre o Aviso Prévio Indenizado</t>
  </si>
  <si>
    <t>III.B - Incidência do FGTS sobre o Aviso Prévio Indenizado 0,01%
Fundamento Jurídico: Súmula n.º 305 do TST
Memória de Cálculo: II.2H x III.A = (0,08 x 0,0042)*100 = 0,03%
Onde:
II.2H = FGTS
III.A = Aviso Prévio Indenizado</t>
  </si>
  <si>
    <t>Multa do FGTS e contribuição social sobre o Aviso Prévio Indenizado</t>
  </si>
  <si>
    <t>III.C - Multa do FGTS  e contribuições, sobre o  Aviso Prévio Indenizado e Trabalhabalhado totalizando 4%
Art. 18, §1º da Lei 8.036/90                                                                                                                                                                                                                  (MANUAL STJ 5.4.7)
Memória de Cálculo:[1 +2/12+(1/3*1/12)] × 0,08 × 0,4 × 0,9 × 100 ∴ % Multa sobre FGTS ≅ 3,44%                                                                                       Onde:
% Multa e CS sobre FGTS = Índice que demonstra o custo estimado com a Multa do FGTS e contribuição
social sobre o Aviso Prévio Indenizado
1= Remuneração mensal
2/12= Estimativa de 13º e férias sobre a remuneração
(1/3× 1/12)= Estimativa de 1/3 de férias
0,08 = Alíquota do FGTS
0,4 = Alíquota da Multa sobre o saldo do FGTS
0,9 = 90% dos funcionários remanescentes</t>
  </si>
  <si>
    <t>Aviso Prévio Trabalhado (*)</t>
  </si>
  <si>
    <t>III.D Aviso Prévio Trabalhado
Fundamento Jurídico: Art. 7º, XXI, da CF/88, 477 e 487 da CLT
Memória de Cálculo: {[(7/ 30) / 12] x 100} = 1,94%
Onde:
07 = número de dias de aviso prévio a que o empregado tem direito de se ausentar
30 = número de dias no mês
12 = número de meses no ano</t>
  </si>
  <si>
    <t>Multa do FGTS e contribuição social sobre o Aviso Prévio Trabalhado</t>
  </si>
  <si>
    <t>III.C - Multa do FGTS  e contribuições, sobre o Aviso Prévio Indenizado e Trabalhabalhado totalizando 4%
Art. 18, §1º da Lei 8.036/90 % Multa e CS sobre FGTS = APT × 0,08 × 0,4 × 100
Onde:
% Multa e CS sobre FGTS = Índice que demonstra o custo estimado com a Multa do FGTS e contribuição
social sobre o Aviso Prévio Trabalhado
1= Remuneração mensal
APT = Aviso Prévio Trabalhado disposto no item “D” do Módulo 3
0,08 = Alíquota do FGTS
0,4 = Alíquota da Multa sobre o saldo do FGTS</t>
  </si>
  <si>
    <t>Substituto na cobertura de férias ﻿(custos com 13º, férias e 1/3 de férias do substituto)</t>
  </si>
  <si>
    <t>Art. 7º, VIII, CF/88. Item 14 do Anexo XII IN MPOG/SLTI 5/2017.                                                                                                              Férias:[1/12] = 8,33 % / 12 = número de meses no ano; (8,33/12) +                                                                                                                         13º Salário = 1/12 = 8,33 (1=salário, 12= meses do ano) (8,33/12) + 
Adicional de Férias: [(1/12/3] = (1=salário, 12=meses do ano, 3=abono de 1/3 de férias): Fórmula = (8,33/12/3)
Fundamento Legal: Artigos 7º, XVII, da CF/1988 e Arts. 129 a 153 da CLT
1/3 = adicional de férias;
12 = número de meses no ano;
100% = Remuneração
Férias de 8,33% + 13º Salário 8,33% + Adicional de Férias de 2,78 = 11,11% / 12 meses = 1,62% 
Memória de Cálculo: (8,33%/12) + (8,33%/12) + (8,33%/12/3) = 1,62%</t>
  </si>
  <si>
    <t>Substituto na cobertura de Férias</t>
  </si>
  <si>
    <t>Substituto na cobertura de Ausências Legais</t>
  </si>
  <si>
    <r>
      <t xml:space="preserve">Considera-se, no modelo, uma estimativa de que cada empregado usufrua 1 (um) dia de licença por ano
(IBGE). Portanto o percentual dessa rubrica a ser aplicada sobre a remuneração mensal do titular pode ser
obtido pelo cálculo abaixo:
</t>
    </r>
    <r>
      <rPr>
        <b/>
        <sz val="8.5"/>
        <color rgb="FF000000"/>
        <rFont val="Times New Roman"/>
        <family val="1"/>
      </rPr>
      <t>% AL = (1 ÷ 30 ÷ 12) × 100 ∴ % AL ≅ 0,28%</t>
    </r>
    <r>
      <rPr>
        <sz val="8.5"/>
        <color rgb="FF000000"/>
        <rFont val="Times New Roman"/>
        <family val="1"/>
      </rPr>
      <t xml:space="preserve">
</t>
    </r>
    <r>
      <rPr>
        <sz val="8"/>
        <color rgb="FF000000"/>
        <rFont val="Times New Roman"/>
        <family val="1"/>
      </rPr>
      <t>Onde:
%AL = Índice que demonstra o custo estimado com a substituição na cobertura de ausência legal. Esse índice
deverá ser aplicado sobre a remuneração mensal (Módulo 1).
(1 ÷30 ÷12) = Estimativa de 1 (um) dia de licença por ano</t>
    </r>
  </si>
  <si>
    <t>Substituto na cobertura de Licença-Paternidade</t>
  </si>
  <si>
    <t>Fundamento Jurídico: Art. 7º, XIX, CF/88
Memória de Cálculo: % LP = (5 ÷ 30 ÷ 12) × 0,015 × 100 ∴ % LP ≅ 0,02%
Onde:
5 = Número de dias em que o empregado não trabalha e a Contratada o remunera
30 = Número de dias no mês
12 = Número de meses do ano
1,5% = Média de trabalhadores que são pais durante o ano (IBGE)
100% = Salário integral</t>
  </si>
  <si>
    <t>Substituto na cobertura de Ausência por acidente de trabalho</t>
  </si>
  <si>
    <r>
      <t xml:space="preserve">Acidente de trabalho: Art. 27 do Dec. 89312/84, Art. 131 da CLT e MP. 664/2014.
Manual de Preenchimento da Planilha de Custos e Formação de Preços do STJ
Considerando uma estimativa de 1,78% dos empregados usufruindo 30 (trinta) dias de licença por ano, a estimativa do percentual dessa rubrica a ser aplicada sobre a remuneração mensal do titular pode ser obtida pelo cálculo abaixo:
</t>
    </r>
    <r>
      <rPr>
        <b/>
        <sz val="8.5"/>
        <color rgb="FF000000"/>
        <rFont val="Times New Roman"/>
        <family val="1"/>
      </rPr>
      <t xml:space="preserve">% LP = (1 ÷ 12) × 0,0178 × 100 ∴ % LP ≅ 0,07%
</t>
    </r>
    <r>
      <rPr>
        <sz val="8.5"/>
        <color rgb="FF000000"/>
        <rFont val="Times New Roman"/>
        <family val="1"/>
      </rPr>
      <t xml:space="preserve">
</t>
    </r>
    <r>
      <rPr>
        <sz val="8"/>
        <color rgb="FF000000"/>
        <rFont val="Times New Roman"/>
        <family val="1"/>
      </rPr>
      <t>Onde:
(1 ÷ 12) = Estimativa de 1 (uma) licença de 30 (trinta) dias por ano.
0,0178=Estimativa de empregados usufruindo a licença.</t>
    </r>
  </si>
  <si>
    <t>Substituto na cobertura de Afastamento Maternidade</t>
  </si>
  <si>
    <r>
      <t xml:space="preserve">Fundamento Jurídico: Impacto do item férias sobre a licença maternidade.
Memória de Cálculo: [(0,1111 x 0,0528 x 0,333) x 100]=0,20%
</t>
    </r>
    <r>
      <rPr>
        <sz val="8"/>
        <color rgb="FF000000"/>
        <rFont val="Times New Roman"/>
        <family val="1"/>
      </rPr>
      <t>Onde:
0,1111 = 11,11% = Custo sobre os salários das férias integrais dos trabalhadores
0,0528 = 5,28% = Conforme Anuário Estatístico da RAIS, elaborado pelo Ministério do Trabalho, as mulheres representaram cerca de 24% do total de empregos no Distrito Federal em 2018 (477.974 do total de 1.193.098). Já o Anuário Estatístico da Previdência Social8
dispõe que foi concedida a quantidade de 105.457 salários-maternidade no âmbito do Distrito Federal em 2018. Essa quantidade representa cerca de 22% do total de mulheres empregadas no Distrito Federal no mesmo período. (0,24x0,22 = 0,0528 = 5,28%)
0,333 = 4 meses ao ano - 4/12 = período em um ano que se referem às férias proporcionais ora calculadas</t>
    </r>
  </si>
  <si>
    <t>Módulo 6 - Custos Indiretos, Tributos e Lucro</t>
  </si>
  <si>
    <t>Para cálculo dos custos indiretos e lucro, utilizamos como parâmetro os percentuais das licitações do TCU, Manual de Preenchimento do Modelo de Planilhas de Custos e Formação de Preços do STJ e Nota Técnica 01/2007 SCI-STF, que estipulam como máximos os percentuais de 5% para Custos Indiretos.</t>
  </si>
  <si>
    <t>Para cálculo dos custos indiretos e lucro, utilizamos como parâmetro os percentuais das licitações do TCU, Manual de Preenchimento do Modelo de Planilhas de Custos e Formação de Preços do STJ e Nota Técnica 01/2007 SCI-STF, que estipulam como máximos os percentuais de 10% para Lucro. Todavia, entendemos adequado utilizar o valor médio de 5,0%</t>
  </si>
  <si>
    <t>Tributos</t>
  </si>
  <si>
    <t>C.1. Tributos Federais (PIS, COFINS)</t>
  </si>
  <si>
    <t>Os tributos federais (COFINS e PIS) foram definidos utilizando o regime de tributação de Lucro Presumido. Tal escolha justifica-se uma vez que empresas que utilizam o regime do Lucro Real podem realizar o abatimento de créditos apurados com base em custos, despesas e encargos, tais como insumos, aluguéis de máquinas e equipamentos, vale-transporte, dentre outros, fazendo com que os valores dos tributos efetivamente recolhidos sejam inferiores às alíquotas de 1,65% (PIS) e 7,60% (COFINS).
Em razão disto, conclui-se que não se deve permitir cotar o percentual cheio de PIS/COFINS não-cumulativo (Lucro Real), porque isso poderá redundar em repasse disfarçado de percentual de lucro, criando uma “gordura” indevida na planilha de preços pactuada com a Administração.
A empresa deve elaborar sua proposta e, por conseguinte, sua planilha com base no regime de tributação ao qual estará submetida durante a execução do contrato.
Cumpre salientar que, conforme orientação prevista no Portal de Compras Governamentais, quando os licitantes são tributados pelo regime de incidência não-cumulativa de PIS e COFINS (Lucro Real), deverão cotar na planilha de custos e formação de preços (que detalha os componentes dos seus custos) as alíquotas médias efetivamente recolhidas dessas contribuições.
Isso porque as empresas submetidas a tal regime, conforme normativos vigentes, podem realizar o abatimento de créditos apurados com base em custos, despesas e encargos, tais como insumos, aluguéis de máquinas e equipamentos, vale-transporte, dentre outros, fazendo com que os valores dos tributos efetivamente recolhidos sejam inferiores às alíquotas de 1,65% (PIS) e 7,60% (COFINS).
Para a comprovação das alíquotas médias efetivas, deverão ser exigidos os documentos de Escrituração Fiscal Digital da Contribuição (EFD-Contribuições) para o PIS/PASEP e COFINS dos últimos 12 (doze) meses anteriores à apresentação da proposta, ou outro meio hábil, em que seja possível demonstrar as alíquotas médias efetivas.</t>
  </si>
  <si>
    <t>C.2. Tributos Estaduais (ISS)</t>
  </si>
  <si>
    <t>Para o ISSQN foi prevista a alíquota de 5%, conforme legislação de Brasília</t>
  </si>
  <si>
    <t>TSE
Contrato nº 1/2025</t>
  </si>
  <si>
    <t>ANEXO I C - LISTA DE MATERIAIS, EQUIPAMENTOS E UTENSÍLIOS</t>
  </si>
  <si>
    <t>Descrição de equipamentos  para a categoria de servente</t>
  </si>
  <si>
    <t>Unidade de fornecimento</t>
  </si>
  <si>
    <t>Qtd. Estimada Anual</t>
  </si>
  <si>
    <t>Valor de Referência Unitário R$</t>
  </si>
  <si>
    <t>Valor de Referência Anual R$</t>
  </si>
  <si>
    <t>Valor de Referência Mensal R$</t>
  </si>
  <si>
    <t>Valor anual</t>
  </si>
  <si>
    <t>Balde plástico com capacidade de 10 litros</t>
  </si>
  <si>
    <t>Und.</t>
  </si>
  <si>
    <t>Borrifador plástico, capacidade no mínimo 500ml</t>
  </si>
  <si>
    <t>Frasco</t>
  </si>
  <si>
    <t>Desentupidor de pia</t>
  </si>
  <si>
    <t>Desentupidor de vaso sanitário</t>
  </si>
  <si>
    <t>Dispenser higienizador, em plástico, capacidade para 800ml, para fixação na parede, cor brancae visor frontal - para álcool gel ou sabonete líquido.</t>
  </si>
  <si>
    <t>Dispenser para papel higiênico para rolo de 300metros, cor branca, em plástico.</t>
  </si>
  <si>
    <t>Dispenser para papel toalha  interfolhada comduas ou três dobras, em plástico, com fecho desegurança, janela para inspeção do nível depapel, sistema de fixação antifurto, medindoaproximadamente (comprimento x largura xaltura): 25 x 8,5 x 35. Deve acompanhar buchase parafusos de fixação e capacidade mínima de250 folhas.</t>
  </si>
  <si>
    <t>Escova de limpeza para vaso sanitário</t>
  </si>
  <si>
    <t>Escada de alumínio tipo tesoura com 06 degraus.</t>
  </si>
  <si>
    <t>Escova para limpeza (para de lavar roupas)</t>
  </si>
  <si>
    <t>Lixeira de plástico, capacidade de 10 litros,com tampa basculante, para uso nos banheiros.</t>
  </si>
  <si>
    <t>Lixeira de plástico, capacidade de 10 litros,para uso nas salas.</t>
  </si>
  <si>
    <t>Kit com 5 lixeiras para coleta seletiva em cores padronizadas e com tampas 50 litros.</t>
  </si>
  <si>
    <t>Pá de lixo plástica cabo longo</t>
  </si>
  <si>
    <t>Placas de sinalização de limpeza - tipo “PisoMolhado”</t>
  </si>
  <si>
    <t>Rodo com cabo extensor para limpeza de vidro/janelas</t>
  </si>
  <si>
    <t>Rodo para piso - 40 cm</t>
  </si>
  <si>
    <t>Rodo para piso - 60 cm</t>
  </si>
  <si>
    <t>Vassoura de gari Piaçava, com 40 cm</t>
  </si>
  <si>
    <t>Vassoura de nylon/pelo sintético - 30 cm</t>
  </si>
  <si>
    <t>Vassoura de teto com cabo extensor</t>
  </si>
  <si>
    <t>Mangueira 30 metros</t>
  </si>
  <si>
    <t>Luvas de Couro</t>
  </si>
  <si>
    <t>Par</t>
  </si>
  <si>
    <t>Rastelo Plástico</t>
  </si>
  <si>
    <t>Tesoura para poda 48cm</t>
  </si>
  <si>
    <t>Enxada</t>
  </si>
  <si>
    <t>Ancinho/rastelo de Ferro</t>
  </si>
  <si>
    <t>Carro multiuso para limpeza </t>
  </si>
  <si>
    <t>Unid.</t>
  </si>
  <si>
    <t>Valor Mensal Global R$</t>
  </si>
  <si>
    <t>item</t>
  </si>
  <si>
    <t>Utensílio para servente</t>
  </si>
  <si>
    <t>Valor de Referência Unitário</t>
  </si>
  <si>
    <t>Valor de depreciação Anual</t>
  </si>
  <si>
    <t>Roçadeira Manual</t>
  </si>
  <si>
    <t>Aspirador de pó</t>
  </si>
  <si>
    <t>Máquina de pressão para lavar piso (apenas depreciação)</t>
  </si>
  <si>
    <t>Descrição de Materiais para a categoria de servente</t>
  </si>
  <si>
    <t>Valor de Referência Anual</t>
  </si>
  <si>
    <t>Água sanitária acondicionada em galão de 5 litros</t>
  </si>
  <si>
    <t>Galão </t>
  </si>
  <si>
    <t>Álcool 70% acondicionado em frascos de 1000ml</t>
  </si>
  <si>
    <t>Frasco </t>
  </si>
  <si>
    <t xml:space="preserve">Cera Líquida incolor Galão com 05 litros concentrado </t>
  </si>
  <si>
    <t>Caixa </t>
  </si>
  <si>
    <t>Desinfetante líquido, germicida, bactericida acondicionado em galão de 5 litros</t>
  </si>
  <si>
    <t>Desodorizador para Vaso Sanitário - Pedra sanitária</t>
  </si>
  <si>
    <t>Unidade </t>
  </si>
  <si>
    <t>Detergente acondicionado em galão de 5 litros</t>
  </si>
  <si>
    <t>Esponja de aço tipo Bombril ou similar (pacote com 8 unidades)</t>
  </si>
  <si>
    <t>unidade </t>
  </si>
  <si>
    <t>Detergente Clorado galão 5 litros</t>
  </si>
  <si>
    <t>pacote </t>
  </si>
  <si>
    <t>Flanela macia com 60x40cm, para limpeza de mobiliário, vidros e para secagem do vasosanitário e pia do banheiro.</t>
  </si>
  <si>
    <t>Limpa Vidros acondicionado 500ml</t>
  </si>
  <si>
    <t>Limpador multiuso 500ml - Veja ou similar</t>
  </si>
  <si>
    <t>Pano para Limpeza de Chão Largura entre 40 e50 cm x Comprimento entre 60 e 80cm</t>
  </si>
  <si>
    <t>Papel higiênico de primeira qualidade, extramacio e branco, 100% celulose com folhas duplas, não reciclado, em rolo com no mínimo300 metros de papel, adaptável ao dispenser emuso nos banheiros - Caixa 8 unidades</t>
  </si>
  <si>
    <t xml:space="preserve">Papel toalha folha dupla, 100% celulose, não reciclado, maciez e alta absorção, de primeiraqualidade, branco e macio, caixa/fardo com no mínimo 1.000 folhas, adaptável ao dispenser fornecido e instalado pela empresa, uso nos banheiros e copa. </t>
  </si>
  <si>
    <t>fardo</t>
  </si>
  <si>
    <t>Desodorizador de Ar (360ml) - Bom AR, Johnson ou similar</t>
  </si>
  <si>
    <t>Refil de Álcool 70%  hidratado adaptável ao dispenser em frasco ou sache de 800ml - Gel</t>
  </si>
  <si>
    <t>galão </t>
  </si>
  <si>
    <t>Sabão Amarelo barra (pacote com 5 unidades)</t>
  </si>
  <si>
    <t>Sabonete líquido para as mãos com substancias umectantes e emolientes - Galão com 05 litros.</t>
  </si>
  <si>
    <t>Saco Plástico de Lixo de 200 Litros – Preto, pacote c/ 100 unidades</t>
  </si>
  <si>
    <t>Pacote </t>
  </si>
  <si>
    <t>Saco Plástico de Lixo de 100 Litros – Preto, pacote c/ 100 unidades</t>
  </si>
  <si>
    <t>Saco Plástico de Lixo de 40 Litros – Preto, pacote c/ 100 unidades</t>
  </si>
  <si>
    <t>Sabão em pó pacote 2kg</t>
  </si>
  <si>
    <t>Removedor e clareador para pisos impermeabilizados e superficies laváveis, embalagem de 01 (um) litro</t>
  </si>
  <si>
    <t>Óleo de Peroba embalagem 200ml</t>
  </si>
  <si>
    <t>Limpa pedras - Galão de 5 (cinco) litros</t>
  </si>
  <si>
    <t>MATERIAL DE LIMPEZA POR SERVENTE/MÊS</t>
  </si>
  <si>
    <t>UTENSÍLIOS POR SERVENTE/MÊS</t>
  </si>
  <si>
    <t>EPI PARA SERVENTE</t>
  </si>
  <si>
    <t>Luvas em látex de borracha natural, internamente forrada, tamanho pequeno, médio e grande pacote com duas – um par (utilização na limpeza geral, banheiros) </t>
  </si>
  <si>
    <t>Máscara protetora descartável - pacote com 50 unidades </t>
  </si>
  <si>
    <t>EPI POR SERVENTE/MÊS</t>
  </si>
  <si>
    <t>EPI PARA AUXILIAR ADMINISTRATIVO</t>
  </si>
  <si>
    <t>EPI POR AUXILIAR ADMINISTRATIVO/MÊS</t>
  </si>
  <si>
    <t>cálculo de máscaras</t>
  </si>
  <si>
    <t>servente</t>
  </si>
  <si>
    <t>por dia</t>
  </si>
  <si>
    <t>por mês</t>
  </si>
  <si>
    <t>pelo total de pessoas</t>
  </si>
  <si>
    <t>quantas caixas/mes</t>
  </si>
  <si>
    <t>auxiliar administrativo</t>
  </si>
  <si>
    <t>Descrição de equipamentos  para a categoria de lavador de fachada</t>
  </si>
  <si>
    <t>Valor de deprecição Anual R$</t>
  </si>
  <si>
    <t>Valor de Referência MENSAL R$</t>
  </si>
  <si>
    <t>kit com cadeira suspensa completo para limpeza predial (somente a depreciação)</t>
  </si>
  <si>
    <t>Descrição de Materiais para a categoria de lavador de fachada</t>
  </si>
  <si>
    <t>Detergente acondicionado em frasco 500 ml </t>
  </si>
  <si>
    <t>Unidade</t>
  </si>
  <si>
    <t>Esponja dupla face para limpeza,  pacote com 4 unidades </t>
  </si>
  <si>
    <t>Flanela macia com 60x40cm, cor branca </t>
  </si>
  <si>
    <t>Limpa Vidros acondicionado 500ml </t>
  </si>
  <si>
    <t>Limpador multiuso 500ml - Veja ou similar </t>
  </si>
  <si>
    <t>Pano para Limpeza de Chão Largura entre 40 e50 cm x Comprimento entre 60 e 80cm </t>
  </si>
  <si>
    <t>EPI PARA LAVADOR (FACHADA)</t>
  </si>
  <si>
    <t>EPI POR LAVADOR (FACHADA)/MÊS</t>
  </si>
  <si>
    <t>Lavador</t>
  </si>
  <si>
    <t>Pelo total de pessoas</t>
  </si>
  <si>
    <t xml:space="preserve">Não haja registro no Cadastro Informativo de créditos não quitados do setor público federal </t>
  </si>
  <si>
    <t>Cotado apenas para os postos de Recepcionista, Tecnico em Secretariado e Secretário Executivo I e II.
Cálculo: ((1/3*1/12)+1/12+1/12)/11</t>
  </si>
  <si>
    <t>MEC _ Edital nº 90003-2025 - Contrato 22-2025</t>
  </si>
  <si>
    <t>MÉDIA UNIFORME MASCULINO E FEMININO</t>
  </si>
  <si>
    <t>5</t>
  </si>
  <si>
    <t>Recepcionista - 40h</t>
  </si>
  <si>
    <t>Encarregado – 40h</t>
  </si>
  <si>
    <t>Contratações Pesquisadas</t>
  </si>
  <si>
    <t>RESULTADO</t>
  </si>
  <si>
    <t>Quantidade de Valores</t>
  </si>
  <si>
    <t>DF000042/2025 - SEAC/SINDISERVIÇOS</t>
  </si>
  <si>
    <t>DF000045/2025 -  SEAC/SISDF</t>
  </si>
  <si>
    <t>CCT - Paradigma</t>
  </si>
  <si>
    <t>-</t>
  </si>
  <si>
    <t>Secretária Executiva II - Bilingue</t>
  </si>
  <si>
    <t>MAPA - PE 90001/2025
Contrato nº 15/2025</t>
  </si>
  <si>
    <t>MDS - Ata 02/2024 - PE 90003/2024
M Esporte - Contrato nº 65/2024</t>
  </si>
  <si>
    <t>MRE Contrato nº 6/2024</t>
  </si>
  <si>
    <t>MF Contrato nº 22/2024</t>
  </si>
  <si>
    <t>TJDFT - Contrato nº 180/2024</t>
  </si>
  <si>
    <t xml:space="preserve">   </t>
  </si>
  <si>
    <t>M Esporte Contrato nº 65/2024</t>
  </si>
  <si>
    <t>FUNASA PE 90016/2025</t>
  </si>
  <si>
    <t>II.1 A Férias 9,09%
Fundamento Jurídico: Art. 7º, VIII, CF/88
Memória de Cálculo: [(1/11)x100] = 9,09%
Onde:
1 Ocorrência de evento 13º no ano
11 = Número de meses do ano
100% = Salário extra integral
II.1 B Adicional de Férias 2,78%
Fundamento Jurídico: Art. 7º, XVII, CF/88
Memória de Cálculo: {[(1/3)/12]x100} = 3,03%
Onde:
1/3 Adicional de férias
11 = Número de meses do ano
100% = Salário extra integral</t>
  </si>
  <si>
    <t>IV.D Incidência dos encargos do submódulo 2.2 sobre o Aviso Prévio Trabalhado
Memória de Cálculo: (0,358* 0,04 x 100} = 0,01%
Onde:
0,358 = total dos encargos previdenciários e FGTS constantes do submódulo 2.2 
0,04 = III.D Aviso Prévio Trabalhado</t>
  </si>
  <si>
    <t>O Risco de Acidente de Trabalho – RAT, um dos fatores do RAT Ajustado, varia conforme o grau de risco inerente à atividade econômica da empresa, sendo o percentual variável de 1 a 3%, onde 1% é aplicável às empresas de risco baixo, 2% para empresas de risco médio e 3% para empresas de alto risco.
Estabeleceu-se a alíquota RAT (Risco Ambiental do Trabalho) de 1%.
O Fator Acidentário de Prevenção - FAP é um índice aplicado sobre a alíquota RAT, que tanto pode resultar em aumento como diminuição da respectiva contribuição (GIIL/RAT). O FAP consiste num multiplicador variável num intervalo contínuo de cinquenta centésimos (0,50) a dois inteiros (2,00), desprezando-se as demais casas decimais, a ser aplicado à respectiva alíquota.
Estabeleceu-se o multiplicador de 2%.</t>
  </si>
  <si>
    <t>SEAC - DF000045/2025
SINDSERVIÇOS - DF000042/2025</t>
  </si>
  <si>
    <t>MDS - PE 90007/2025 - Proposta - Contrato nº 38/2025</t>
  </si>
  <si>
    <t>Senado - PE 90005/2025 - Contrato nº 20250042</t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</si>
  <si>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Assistente Administrativo I,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</si>
  <si>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Assistente Administrativo II,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</si>
  <si>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Assistente Técnico Especializado,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</si>
  <si>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Técnico em Secretariado,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</si>
  <si>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Secretária(o) Executiva(o) I,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</si>
  <si>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Secretária(o) Executiva(o) II (Bilíngue),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</si>
  <si>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 xml:space="preserve">Prestação de Serviços de </t>
    </r>
    <r>
      <rPr>
        <b/>
        <sz val="11"/>
        <color rgb="FF000000"/>
        <rFont val="Calibri"/>
        <family val="2"/>
        <scheme val="minor"/>
      </rPr>
      <t xml:space="preserve">Recepcionista,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</si>
  <si>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 xml:space="preserve">Prestação de Serviços de </t>
    </r>
    <r>
      <rPr>
        <b/>
        <sz val="11"/>
        <color rgb="FF000000"/>
        <rFont val="Calibri"/>
        <family val="2"/>
        <scheme val="minor"/>
      </rPr>
      <t xml:space="preserve">Encarregado Geral,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</si>
</sst>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(* #,##0.00_);_(* \(#,##0.00\);_(* \-??_);_(@_)"/>
    <numFmt numFmtId="168" formatCode="0.000"/>
    <numFmt numFmtId="169" formatCode="&quot;R$ &quot;#,##0_);[Red]\(&quot;R$ &quot;#,##0\)"/>
    <numFmt numFmtId="170" formatCode="_-[$R$-416]\ * #,##0.00_-;\-[$R$-416]\ * #,##0.00_-;_-[$R$-416]\ * &quot;-&quot;??_-;_-@_-"/>
    <numFmt numFmtId="171" formatCode="&quot;R$&quot;\ #,##0.00"/>
    <numFmt numFmtId="172" formatCode="0.0000"/>
    <numFmt numFmtId="173" formatCode="_-* #,##0_-;\-* #,##0_-;_-* &quot;-&quot;??_-;_-@_-"/>
    <numFmt numFmtId="174" formatCode="0.000%"/>
    <numFmt numFmtId="175" formatCode="&quot;R$&quot;\ #,##0.0000"/>
    <numFmt numFmtId="176" formatCode="_-&quot;R$&quot;\ * #,##0.0000_-;\-&quot;R$&quot;\ * #,##0.0000_-;_-&quot;R$&quot;\ * &quot;-&quot;??_-;_-@_-"/>
    <numFmt numFmtId="177" formatCode="_-* #,##0.0000_-;\-* #,##0.0000_-;_-* &quot;-&quot;??_-;_-@_-"/>
  </numFmts>
  <fonts count="10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9"/>
      <color indexed="10"/>
      <name val="Geneva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Bookman Old Style"/>
      <family val="1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2"/>
      <color theme="1"/>
      <name val="Cambria"/>
      <family val="1"/>
    </font>
    <font>
      <sz val="11"/>
      <name val="Cambria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charset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  <charset val="1"/>
    </font>
    <font>
      <sz val="11"/>
      <color indexed="81"/>
      <name val="Segoe UI"/>
      <family val="2"/>
    </font>
    <font>
      <sz val="9"/>
      <color indexed="81"/>
      <name val="Segoe UI"/>
      <family val="2"/>
    </font>
    <font>
      <b/>
      <sz val="11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sz val="11"/>
      <name val="Calibri"/>
      <family val="2"/>
      <scheme val="minor"/>
    </font>
    <font>
      <sz val="11"/>
      <color rgb="FFFF0000"/>
      <name val="Cambria"/>
      <family val="1"/>
      <scheme val="major"/>
    </font>
    <font>
      <sz val="11"/>
      <color rgb="FFFF0000"/>
      <name val="Cambria"/>
      <family val="1"/>
    </font>
    <font>
      <b/>
      <sz val="11"/>
      <color theme="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sz val="11"/>
      <name val="Cambria"/>
      <family val="2"/>
      <scheme val="major"/>
    </font>
    <font>
      <b/>
      <sz val="11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"/>
    </font>
    <font>
      <sz val="11"/>
      <color indexed="8"/>
      <name val="Times New Roman"/>
      <family val="1"/>
    </font>
    <font>
      <b/>
      <sz val="11"/>
      <color rgb="FF00B05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8.5"/>
      <color rgb="FF000000"/>
      <name val="Times New Roman"/>
      <family val="1"/>
    </font>
    <font>
      <b/>
      <sz val="8.5"/>
      <color indexed="8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11"/>
      <color rgb="FF242424"/>
      <name val="Aptos Narrow"/>
      <family val="2"/>
    </font>
    <font>
      <sz val="11"/>
      <color theme="1"/>
      <name val="Cambria"/>
      <family val="1"/>
      <scheme val="major"/>
    </font>
    <font>
      <sz val="11"/>
      <color rgb="FF242424"/>
      <name val="Cambria"/>
      <family val="1"/>
      <scheme val="maj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4" tint="-0.249977111117893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  <font>
      <sz val="12"/>
      <color theme="4" tint="-0.24997711111789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9"/>
      <name val="Calibri"/>
      <family val="2"/>
    </font>
    <font>
      <b/>
      <sz val="12"/>
      <color indexed="9"/>
      <name val="Times New Roman"/>
      <family val="1"/>
    </font>
    <font>
      <sz val="12"/>
      <color theme="4" tint="-0.249977111117893"/>
      <name val="Calibri"/>
      <family val="2"/>
      <scheme val="minor"/>
    </font>
    <font>
      <sz val="8.5"/>
      <name val="Times New Roman"/>
      <family val="1"/>
    </font>
    <font>
      <sz val="14"/>
      <color theme="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000000"/>
      </patternFill>
    </fill>
    <fill>
      <patternFill patternType="solid">
        <fgColor rgb="FF808080"/>
        <bgColor rgb="FFD8D8D8"/>
      </patternFill>
    </fill>
    <fill>
      <patternFill patternType="solid">
        <fgColor rgb="FF808080"/>
        <bgColor rgb="FF000000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Trellis">
        <bgColor theme="8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hair">
        <color auto="1"/>
      </bottom>
      <diagonal/>
    </border>
    <border>
      <left/>
      <right/>
      <top style="thin">
        <color theme="4"/>
      </top>
      <bottom style="hair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hair">
        <color auto="1"/>
      </top>
      <bottom/>
      <diagonal/>
    </border>
    <border>
      <left/>
      <right style="thin">
        <color theme="4"/>
      </right>
      <top style="hair">
        <color auto="1"/>
      </top>
      <bottom/>
      <diagonal/>
    </border>
    <border>
      <left/>
      <right style="thin">
        <color theme="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theme="4"/>
      </left>
      <right style="thin">
        <color theme="4"/>
      </right>
      <top style="hair">
        <color theme="4"/>
      </top>
      <bottom/>
      <diagonal/>
    </border>
    <border>
      <left style="thin">
        <color theme="4"/>
      </left>
      <right style="thin">
        <color theme="4"/>
      </right>
      <top style="hair">
        <color theme="4"/>
      </top>
      <bottom/>
      <diagonal/>
    </border>
    <border>
      <left style="thin">
        <color theme="4"/>
      </left>
      <right style="medium">
        <color theme="4"/>
      </right>
      <top style="hair">
        <color theme="4"/>
      </top>
      <bottom/>
      <diagonal/>
    </border>
  </borders>
  <cellStyleXfs count="16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0" borderId="0"/>
    <xf numFmtId="0" fontId="2" fillId="17" borderId="2" applyNumberFormat="0" applyAlignment="0" applyProtection="0"/>
    <xf numFmtId="0" fontId="2" fillId="1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4" fontId="21" fillId="0" borderId="0" applyFont="0" applyFill="0" applyBorder="0" applyAlignment="0" applyProtection="0"/>
    <xf numFmtId="44" fontId="1" fillId="0" borderId="0" applyFill="0" applyBorder="0" applyAlignment="0" applyProtection="0"/>
    <xf numFmtId="44" fontId="1" fillId="0" borderId="0" applyFill="0" applyBorder="0" applyAlignment="0" applyProtection="0"/>
    <xf numFmtId="165" fontId="1" fillId="0" borderId="0" applyFon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4" applyNumberFormat="0" applyFont="0" applyAlignment="0" applyProtection="0"/>
    <xf numFmtId="0" fontId="3" fillId="23" borderId="4" applyNumberFormat="0" applyFont="0" applyAlignment="0" applyProtection="0"/>
    <xf numFmtId="9" fontId="2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43" fontId="22" fillId="0" borderId="0" applyFont="0" applyFill="0" applyBorder="0" applyAlignment="0" applyProtection="0"/>
    <xf numFmtId="0" fontId="22" fillId="0" borderId="0"/>
    <xf numFmtId="165" fontId="23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9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165" fontId="22" fillId="0" borderId="0" applyFont="0" applyFill="0" applyBorder="0" applyAlignment="0" applyProtection="0"/>
    <xf numFmtId="0" fontId="1" fillId="0" borderId="0"/>
    <xf numFmtId="0" fontId="1" fillId="0" borderId="0"/>
    <xf numFmtId="0" fontId="67" fillId="0" borderId="0"/>
    <xf numFmtId="166" fontId="1" fillId="0" borderId="0" applyFill="0" applyBorder="0" applyAlignment="0" applyProtection="0"/>
    <xf numFmtId="9" fontId="1" fillId="0" borderId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4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3" fillId="0" borderId="0"/>
    <xf numFmtId="9" fontId="3" fillId="0" borderId="0" applyFont="0" applyFill="0" applyBorder="0" applyAlignment="0" applyProtection="0"/>
  </cellStyleXfs>
  <cellXfs count="931">
    <xf numFmtId="0" fontId="0" fillId="0" borderId="0" xfId="0"/>
    <xf numFmtId="0" fontId="25" fillId="24" borderId="0" xfId="0" applyFont="1" applyFill="1"/>
    <xf numFmtId="0" fontId="25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vertical="center"/>
    </xf>
    <xf numFmtId="0" fontId="25" fillId="24" borderId="0" xfId="0" applyFont="1" applyFill="1" applyAlignment="1">
      <alignment horizontal="center"/>
    </xf>
    <xf numFmtId="0" fontId="26" fillId="24" borderId="0" xfId="0" applyFont="1" applyFill="1"/>
    <xf numFmtId="0" fontId="25" fillId="24" borderId="0" xfId="0" applyFont="1" applyFill="1" applyAlignment="1">
      <alignment vertical="center"/>
    </xf>
    <xf numFmtId="43" fontId="25" fillId="24" borderId="0" xfId="121" applyFont="1" applyFill="1" applyBorder="1" applyAlignment="1">
      <alignment horizontal="right" wrapText="1"/>
    </xf>
    <xf numFmtId="43" fontId="26" fillId="24" borderId="0" xfId="121" applyFont="1" applyFill="1" applyBorder="1" applyAlignment="1">
      <alignment horizontal="right" wrapText="1"/>
    </xf>
    <xf numFmtId="0" fontId="25" fillId="24" borderId="10" xfId="0" applyFont="1" applyFill="1" applyBorder="1" applyAlignment="1">
      <alignment horizontal="center" vertical="center" wrapText="1"/>
    </xf>
    <xf numFmtId="10" fontId="25" fillId="24" borderId="0" xfId="82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10" fontId="27" fillId="24" borderId="0" xfId="0" applyNumberFormat="1" applyFont="1" applyFill="1"/>
    <xf numFmtId="0" fontId="26" fillId="24" borderId="10" xfId="0" applyFont="1" applyFill="1" applyBorder="1" applyAlignment="1">
      <alignment horizontal="center" wrapText="1"/>
    </xf>
    <xf numFmtId="0" fontId="25" fillId="24" borderId="0" xfId="0" applyFont="1" applyFill="1" applyAlignment="1">
      <alignment horizontal="center" vertical="center" wrapText="1"/>
    </xf>
    <xf numFmtId="0" fontId="25" fillId="24" borderId="0" xfId="0" applyFont="1" applyFill="1" applyAlignment="1">
      <alignment horizontal="left" vertical="center" wrapText="1"/>
    </xf>
    <xf numFmtId="0" fontId="26" fillId="24" borderId="0" xfId="0" applyFont="1" applyFill="1" applyAlignment="1">
      <alignment horizontal="center" vertical="center" wrapText="1"/>
    </xf>
    <xf numFmtId="10" fontId="26" fillId="25" borderId="14" xfId="0" applyNumberFormat="1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wrapText="1"/>
    </xf>
    <xf numFmtId="10" fontId="26" fillId="24" borderId="0" xfId="0" applyNumberFormat="1" applyFont="1" applyFill="1" applyAlignment="1">
      <alignment horizontal="center" vertical="center" wrapText="1"/>
    </xf>
    <xf numFmtId="2" fontId="26" fillId="24" borderId="0" xfId="0" applyNumberFormat="1" applyFont="1" applyFill="1" applyAlignment="1">
      <alignment horizontal="right" vertical="center" wrapText="1"/>
    </xf>
    <xf numFmtId="0" fontId="26" fillId="24" borderId="18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43" fontId="25" fillId="24" borderId="18" xfId="121" applyFont="1" applyFill="1" applyBorder="1" applyAlignment="1">
      <alignment horizontal="right" wrapText="1"/>
    </xf>
    <xf numFmtId="0" fontId="26" fillId="27" borderId="18" xfId="0" applyFont="1" applyFill="1" applyBorder="1" applyAlignment="1">
      <alignment horizontal="center" vertical="center" wrapText="1"/>
    </xf>
    <xf numFmtId="43" fontId="26" fillId="27" borderId="18" xfId="121" applyFont="1" applyFill="1" applyBorder="1" applyAlignment="1">
      <alignment horizontal="right" wrapText="1"/>
    </xf>
    <xf numFmtId="10" fontId="26" fillId="25" borderId="14" xfId="0" applyNumberFormat="1" applyFont="1" applyFill="1" applyBorder="1" applyAlignment="1">
      <alignment horizontal="center"/>
    </xf>
    <xf numFmtId="10" fontId="26" fillId="24" borderId="0" xfId="0" applyNumberFormat="1" applyFont="1" applyFill="1" applyAlignment="1">
      <alignment horizontal="center"/>
    </xf>
    <xf numFmtId="10" fontId="26" fillId="25" borderId="17" xfId="82" applyNumberFormat="1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vertical="center"/>
    </xf>
    <xf numFmtId="43" fontId="26" fillId="24" borderId="0" xfId="0" applyNumberFormat="1" applyFont="1" applyFill="1"/>
    <xf numFmtId="43" fontId="25" fillId="24" borderId="0" xfId="0" applyNumberFormat="1" applyFont="1" applyFill="1" applyAlignment="1">
      <alignment vertical="center"/>
    </xf>
    <xf numFmtId="4" fontId="25" fillId="24" borderId="0" xfId="0" applyNumberFormat="1" applyFont="1" applyFill="1"/>
    <xf numFmtId="10" fontId="25" fillId="24" borderId="0" xfId="0" applyNumberFormat="1" applyFont="1" applyFill="1" applyAlignment="1">
      <alignment horizontal="center"/>
    </xf>
    <xf numFmtId="0" fontId="31" fillId="0" borderId="0" xfId="0" applyFont="1"/>
    <xf numFmtId="170" fontId="0" fillId="0" borderId="0" xfId="0" applyNumberFormat="1"/>
    <xf numFmtId="0" fontId="25" fillId="24" borderId="23" xfId="0" applyFont="1" applyFill="1" applyBorder="1" applyAlignment="1">
      <alignment horizontal="center" vertical="center" wrapText="1"/>
    </xf>
    <xf numFmtId="44" fontId="25" fillId="24" borderId="0" xfId="0" applyNumberFormat="1" applyFont="1" applyFill="1" applyAlignment="1">
      <alignment vertical="center"/>
    </xf>
    <xf numFmtId="43" fontId="25" fillId="28" borderId="23" xfId="121" applyFont="1" applyFill="1" applyBorder="1" applyAlignment="1">
      <alignment horizontal="right" wrapText="1"/>
    </xf>
    <xf numFmtId="43" fontId="25" fillId="24" borderId="23" xfId="121" applyFont="1" applyFill="1" applyBorder="1" applyAlignment="1">
      <alignment horizontal="right" wrapText="1"/>
    </xf>
    <xf numFmtId="2" fontId="25" fillId="24" borderId="23" xfId="0" applyNumberFormat="1" applyFont="1" applyFill="1" applyBorder="1" applyAlignment="1">
      <alignment horizontal="right" vertical="center" wrapText="1"/>
    </xf>
    <xf numFmtId="4" fontId="26" fillId="25" borderId="23" xfId="0" applyNumberFormat="1" applyFont="1" applyFill="1" applyBorder="1" applyAlignment="1">
      <alignment horizontal="right" vertical="center" wrapText="1"/>
    </xf>
    <xf numFmtId="43" fontId="26" fillId="25" borderId="23" xfId="121" applyFont="1" applyFill="1" applyBorder="1" applyAlignment="1">
      <alignment horizontal="right" wrapText="1"/>
    </xf>
    <xf numFmtId="43" fontId="25" fillId="24" borderId="24" xfId="121" applyFont="1" applyFill="1" applyBorder="1" applyAlignment="1">
      <alignment horizontal="right" wrapText="1"/>
    </xf>
    <xf numFmtId="43" fontId="25" fillId="24" borderId="23" xfId="121" applyFont="1" applyFill="1" applyBorder="1" applyAlignment="1">
      <alignment horizontal="right" vertical="center" wrapText="1"/>
    </xf>
    <xf numFmtId="4" fontId="26" fillId="25" borderId="23" xfId="82" applyNumberFormat="1" applyFont="1" applyFill="1" applyBorder="1" applyAlignment="1">
      <alignment horizontal="right" vertical="center" wrapText="1"/>
    </xf>
    <xf numFmtId="44" fontId="25" fillId="28" borderId="23" xfId="64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vertical="center"/>
    </xf>
    <xf numFmtId="43" fontId="26" fillId="25" borderId="39" xfId="121" applyFont="1" applyFill="1" applyBorder="1" applyAlignment="1">
      <alignment horizontal="right" wrapText="1"/>
    </xf>
    <xf numFmtId="43" fontId="26" fillId="25" borderId="23" xfId="121" applyFont="1" applyFill="1" applyBorder="1" applyAlignment="1">
      <alignment horizontal="right" vertical="center" wrapText="1"/>
    </xf>
    <xf numFmtId="43" fontId="26" fillId="25" borderId="24" xfId="121" applyFont="1" applyFill="1" applyBorder="1" applyAlignment="1">
      <alignment horizontal="right" wrapText="1"/>
    </xf>
    <xf numFmtId="0" fontId="26" fillId="25" borderId="23" xfId="0" applyFont="1" applyFill="1" applyBorder="1" applyAlignment="1">
      <alignment horizontal="center" wrapText="1"/>
    </xf>
    <xf numFmtId="43" fontId="25" fillId="28" borderId="28" xfId="121" applyFont="1" applyFill="1" applyBorder="1" applyAlignment="1">
      <alignment horizontal="right" wrapText="1"/>
    </xf>
    <xf numFmtId="0" fontId="26" fillId="25" borderId="23" xfId="0" applyFont="1" applyFill="1" applyBorder="1" applyAlignment="1">
      <alignment horizontal="center" vertical="center" wrapText="1"/>
    </xf>
    <xf numFmtId="0" fontId="25" fillId="24" borderId="13" xfId="0" applyFont="1" applyFill="1" applyBorder="1" applyAlignment="1">
      <alignment horizontal="center" vertical="center" wrapText="1"/>
    </xf>
    <xf numFmtId="2" fontId="25" fillId="24" borderId="28" xfId="0" applyNumberFormat="1" applyFont="1" applyFill="1" applyBorder="1" applyAlignment="1">
      <alignment horizontal="right" vertical="center" wrapText="1"/>
    </xf>
    <xf numFmtId="0" fontId="25" fillId="24" borderId="40" xfId="0" applyFont="1" applyFill="1" applyBorder="1" applyAlignment="1">
      <alignment horizontal="center" vertical="center" wrapText="1"/>
    </xf>
    <xf numFmtId="43" fontId="25" fillId="24" borderId="28" xfId="121" applyFont="1" applyFill="1" applyBorder="1" applyAlignment="1">
      <alignment horizontal="right" vertical="center" wrapText="1"/>
    </xf>
    <xf numFmtId="0" fontId="25" fillId="24" borderId="16" xfId="0" applyFont="1" applyFill="1" applyBorder="1" applyAlignment="1">
      <alignment horizontal="center" vertical="center" wrapText="1"/>
    </xf>
    <xf numFmtId="44" fontId="25" fillId="28" borderId="28" xfId="64" applyFont="1" applyFill="1" applyBorder="1" applyAlignment="1">
      <alignment horizontal="right" vertical="center" wrapText="1"/>
    </xf>
    <xf numFmtId="0" fontId="25" fillId="24" borderId="24" xfId="0" applyFont="1" applyFill="1" applyBorder="1" applyAlignment="1">
      <alignment vertical="center"/>
    </xf>
    <xf numFmtId="0" fontId="26" fillId="24" borderId="41" xfId="0" applyFont="1" applyFill="1" applyBorder="1" applyAlignment="1">
      <alignment vertical="center" wrapText="1"/>
    </xf>
    <xf numFmtId="0" fontId="26" fillId="24" borderId="35" xfId="0" applyFont="1" applyFill="1" applyBorder="1" applyAlignment="1">
      <alignment vertical="center" wrapText="1"/>
    </xf>
    <xf numFmtId="0" fontId="25" fillId="24" borderId="43" xfId="0" applyFont="1" applyFill="1" applyBorder="1" applyAlignment="1">
      <alignment horizontal="center" vertical="center" wrapText="1"/>
    </xf>
    <xf numFmtId="0" fontId="26" fillId="25" borderId="24" xfId="0" applyFont="1" applyFill="1" applyBorder="1" applyAlignment="1">
      <alignment horizontal="center" wrapText="1"/>
    </xf>
    <xf numFmtId="43" fontId="25" fillId="24" borderId="28" xfId="121" applyFont="1" applyFill="1" applyBorder="1" applyAlignment="1">
      <alignment horizontal="right" wrapText="1"/>
    </xf>
    <xf numFmtId="0" fontId="25" fillId="24" borderId="23" xfId="0" applyFont="1" applyFill="1" applyBorder="1" applyAlignment="1">
      <alignment horizontal="left" vertical="center" wrapText="1"/>
    </xf>
    <xf numFmtId="4" fontId="25" fillId="24" borderId="23" xfId="0" applyNumberFormat="1" applyFont="1" applyFill="1" applyBorder="1" applyAlignment="1">
      <alignment wrapText="1"/>
    </xf>
    <xf numFmtId="4" fontId="25" fillId="24" borderId="23" xfId="0" applyNumberFormat="1" applyFont="1" applyFill="1" applyBorder="1" applyAlignment="1">
      <alignment horizontal="right" wrapText="1"/>
    </xf>
    <xf numFmtId="4" fontId="26" fillId="25" borderId="23" xfId="0" applyNumberFormat="1" applyFont="1" applyFill="1" applyBorder="1" applyAlignment="1">
      <alignment horizontal="right" wrapText="1"/>
    </xf>
    <xf numFmtId="0" fontId="26" fillId="25" borderId="24" xfId="0" applyFont="1" applyFill="1" applyBorder="1" applyAlignment="1">
      <alignment horizontal="center" vertical="center" wrapText="1"/>
    </xf>
    <xf numFmtId="10" fontId="25" fillId="24" borderId="23" xfId="82" applyNumberFormat="1" applyFont="1" applyFill="1" applyBorder="1" applyAlignment="1">
      <alignment horizontal="center" vertical="center" wrapText="1"/>
    </xf>
    <xf numFmtId="10" fontId="26" fillId="25" borderId="23" xfId="82" applyNumberFormat="1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/>
    </xf>
    <xf numFmtId="0" fontId="26" fillId="24" borderId="42" xfId="0" applyFont="1" applyFill="1" applyBorder="1" applyAlignment="1">
      <alignment vertical="center" wrapText="1"/>
    </xf>
    <xf numFmtId="0" fontId="26" fillId="24" borderId="17" xfId="0" applyFont="1" applyFill="1" applyBorder="1" applyAlignment="1">
      <alignment vertical="center" wrapText="1"/>
    </xf>
    <xf numFmtId="4" fontId="25" fillId="24" borderId="23" xfId="82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38" fillId="31" borderId="28" xfId="0" applyFont="1" applyFill="1" applyBorder="1" applyAlignment="1">
      <alignment wrapText="1"/>
    </xf>
    <xf numFmtId="4" fontId="38" fillId="31" borderId="33" xfId="0" applyNumberFormat="1" applyFont="1" applyFill="1" applyBorder="1" applyAlignment="1">
      <alignment wrapText="1"/>
    </xf>
    <xf numFmtId="0" fontId="38" fillId="32" borderId="28" xfId="0" applyFont="1" applyFill="1" applyBorder="1" applyAlignment="1">
      <alignment wrapText="1"/>
    </xf>
    <xf numFmtId="4" fontId="38" fillId="32" borderId="33" xfId="0" applyNumberFormat="1" applyFont="1" applyFill="1" applyBorder="1"/>
    <xf numFmtId="0" fontId="38" fillId="33" borderId="24" xfId="0" applyFont="1" applyFill="1" applyBorder="1" applyAlignment="1">
      <alignment wrapText="1"/>
    </xf>
    <xf numFmtId="0" fontId="38" fillId="29" borderId="29" xfId="0" applyFont="1" applyFill="1" applyBorder="1" applyAlignment="1">
      <alignment horizontal="center" vertical="center"/>
    </xf>
    <xf numFmtId="0" fontId="38" fillId="29" borderId="30" xfId="0" applyFont="1" applyFill="1" applyBorder="1" applyAlignment="1">
      <alignment horizontal="center" vertical="center" wrapText="1"/>
    </xf>
    <xf numFmtId="0" fontId="25" fillId="24" borderId="54" xfId="0" applyFont="1" applyFill="1" applyBorder="1" applyAlignment="1">
      <alignment horizontal="center" vertical="center" wrapText="1"/>
    </xf>
    <xf numFmtId="0" fontId="25" fillId="24" borderId="55" xfId="0" applyFont="1" applyFill="1" applyBorder="1" applyAlignment="1">
      <alignment horizontal="center" vertical="center" wrapText="1"/>
    </xf>
    <xf numFmtId="0" fontId="39" fillId="31" borderId="56" xfId="0" applyFont="1" applyFill="1" applyBorder="1" applyAlignment="1">
      <alignment wrapText="1"/>
    </xf>
    <xf numFmtId="0" fontId="40" fillId="32" borderId="56" xfId="0" applyFont="1" applyFill="1" applyBorder="1" applyAlignment="1">
      <alignment wrapText="1"/>
    </xf>
    <xf numFmtId="0" fontId="40" fillId="0" borderId="56" xfId="0" applyFont="1" applyBorder="1" applyAlignment="1">
      <alignment wrapText="1"/>
    </xf>
    <xf numFmtId="0" fontId="40" fillId="33" borderId="56" xfId="0" applyFont="1" applyFill="1" applyBorder="1" applyAlignment="1">
      <alignment wrapText="1"/>
    </xf>
    <xf numFmtId="0" fontId="38" fillId="29" borderId="58" xfId="0" applyFont="1" applyFill="1" applyBorder="1" applyAlignment="1">
      <alignment horizontal="center" vertical="center" wrapText="1"/>
    </xf>
    <xf numFmtId="0" fontId="25" fillId="24" borderId="59" xfId="0" applyFont="1" applyFill="1" applyBorder="1" applyAlignment="1">
      <alignment horizontal="center" vertical="center"/>
    </xf>
    <xf numFmtId="10" fontId="25" fillId="24" borderId="57" xfId="82" applyNumberFormat="1" applyFont="1" applyFill="1" applyBorder="1" applyAlignment="1">
      <alignment horizontal="center" vertical="center" wrapText="1"/>
    </xf>
    <xf numFmtId="10" fontId="25" fillId="24" borderId="59" xfId="0" applyNumberFormat="1" applyFont="1" applyFill="1" applyBorder="1" applyAlignment="1">
      <alignment horizontal="center" wrapText="1"/>
    </xf>
    <xf numFmtId="10" fontId="25" fillId="24" borderId="57" xfId="82" applyNumberFormat="1" applyFont="1" applyFill="1" applyBorder="1" applyAlignment="1">
      <alignment horizontal="center" wrapText="1"/>
    </xf>
    <xf numFmtId="4" fontId="25" fillId="24" borderId="57" xfId="82" applyNumberFormat="1" applyFont="1" applyFill="1" applyBorder="1" applyAlignment="1">
      <alignment horizontal="center" vertical="center" wrapText="1"/>
    </xf>
    <xf numFmtId="4" fontId="39" fillId="31" borderId="58" xfId="0" applyNumberFormat="1" applyFont="1" applyFill="1" applyBorder="1" applyAlignment="1">
      <alignment horizontal="right" vertical="center" wrapText="1"/>
    </xf>
    <xf numFmtId="4" fontId="39" fillId="32" borderId="58" xfId="0" applyNumberFormat="1" applyFont="1" applyFill="1" applyBorder="1" applyAlignment="1">
      <alignment horizontal="right" vertical="center"/>
    </xf>
    <xf numFmtId="4" fontId="40" fillId="0" borderId="58" xfId="0" applyNumberFormat="1" applyFont="1" applyBorder="1" applyAlignment="1">
      <alignment horizontal="right" vertical="center"/>
    </xf>
    <xf numFmtId="4" fontId="39" fillId="33" borderId="58" xfId="0" applyNumberFormat="1" applyFont="1" applyFill="1" applyBorder="1" applyAlignment="1">
      <alignment horizontal="right" vertical="center"/>
    </xf>
    <xf numFmtId="4" fontId="38" fillId="32" borderId="33" xfId="0" applyNumberFormat="1" applyFont="1" applyFill="1" applyBorder="1" applyAlignment="1">
      <alignment vertical="center"/>
    </xf>
    <xf numFmtId="4" fontId="38" fillId="33" borderId="38" xfId="0" applyNumberFormat="1" applyFont="1" applyFill="1" applyBorder="1" applyAlignment="1">
      <alignment vertical="center"/>
    </xf>
    <xf numFmtId="2" fontId="38" fillId="34" borderId="58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2" fillId="37" borderId="23" xfId="0" applyFont="1" applyFill="1" applyBorder="1" applyAlignment="1">
      <alignment horizontal="center" vertical="center" wrapText="1"/>
    </xf>
    <xf numFmtId="0" fontId="43" fillId="0" borderId="23" xfId="0" applyFont="1" applyBorder="1"/>
    <xf numFmtId="0" fontId="44" fillId="37" borderId="23" xfId="0" applyFont="1" applyFill="1" applyBorder="1" applyAlignment="1">
      <alignment horizontal="center" vertical="center" wrapText="1"/>
    </xf>
    <xf numFmtId="170" fontId="44" fillId="37" borderId="23" xfId="0" applyNumberFormat="1" applyFont="1" applyFill="1" applyBorder="1" applyAlignment="1">
      <alignment horizontal="center" vertical="center" wrapText="1"/>
    </xf>
    <xf numFmtId="170" fontId="45" fillId="37" borderId="23" xfId="0" applyNumberFormat="1" applyFont="1" applyFill="1" applyBorder="1" applyAlignment="1">
      <alignment vertical="center" wrapText="1"/>
    </xf>
    <xf numFmtId="0" fontId="42" fillId="37" borderId="23" xfId="0" applyFont="1" applyFill="1" applyBorder="1" applyAlignment="1">
      <alignment horizontal="center" vertical="center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3" fillId="0" borderId="0" xfId="0" applyFont="1"/>
    <xf numFmtId="0" fontId="44" fillId="37" borderId="23" xfId="0" applyFont="1" applyFill="1" applyBorder="1" applyAlignment="1">
      <alignment horizontal="center" vertical="center"/>
    </xf>
    <xf numFmtId="0" fontId="43" fillId="0" borderId="0" xfId="0" applyFont="1" applyAlignment="1">
      <alignment wrapText="1"/>
    </xf>
    <xf numFmtId="0" fontId="42" fillId="37" borderId="24" xfId="0" applyFont="1" applyFill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center" vertical="center"/>
    </xf>
    <xf numFmtId="0" fontId="42" fillId="0" borderId="23" xfId="0" applyFont="1" applyBorder="1" applyAlignment="1">
      <alignment horizontal="left" vertical="top" wrapText="1"/>
    </xf>
    <xf numFmtId="170" fontId="42" fillId="0" borderId="23" xfId="0" applyNumberFormat="1" applyFont="1" applyBorder="1" applyAlignment="1">
      <alignment horizontal="center" vertical="center"/>
    </xf>
    <xf numFmtId="170" fontId="44" fillId="37" borderId="23" xfId="0" applyNumberFormat="1" applyFont="1" applyFill="1" applyBorder="1" applyAlignment="1">
      <alignment horizontal="center" vertical="center"/>
    </xf>
    <xf numFmtId="0" fontId="42" fillId="0" borderId="28" xfId="0" applyFont="1" applyBorder="1" applyAlignment="1">
      <alignment horizontal="left" vertical="top" wrapText="1"/>
    </xf>
    <xf numFmtId="0" fontId="44" fillId="0" borderId="28" xfId="0" applyFont="1" applyBorder="1" applyAlignment="1">
      <alignment horizontal="center" vertical="center"/>
    </xf>
    <xf numFmtId="170" fontId="42" fillId="0" borderId="28" xfId="0" applyNumberFormat="1" applyFont="1" applyBorder="1" applyAlignment="1">
      <alignment horizontal="center" vertical="center"/>
    </xf>
    <xf numFmtId="170" fontId="42" fillId="0" borderId="23" xfId="0" applyNumberFormat="1" applyFont="1" applyBorder="1" applyAlignment="1">
      <alignment horizontal="center" vertical="center" wrapText="1"/>
    </xf>
    <xf numFmtId="0" fontId="42" fillId="0" borderId="23" xfId="0" applyFont="1" applyBorder="1" applyAlignment="1">
      <alignment horizontal="left" wrapText="1"/>
    </xf>
    <xf numFmtId="0" fontId="42" fillId="0" borderId="24" xfId="0" applyFont="1" applyBorder="1" applyAlignment="1">
      <alignment horizontal="left" vertical="top" wrapText="1"/>
    </xf>
    <xf numFmtId="0" fontId="44" fillId="37" borderId="24" xfId="0" applyFont="1" applyFill="1" applyBorder="1" applyAlignment="1">
      <alignment horizontal="center" vertical="center"/>
    </xf>
    <xf numFmtId="170" fontId="42" fillId="0" borderId="24" xfId="0" applyNumberFormat="1" applyFont="1" applyBorder="1" applyAlignment="1">
      <alignment horizontal="center" vertical="center"/>
    </xf>
    <xf numFmtId="170" fontId="46" fillId="26" borderId="23" xfId="0" applyNumberFormat="1" applyFont="1" applyFill="1" applyBorder="1"/>
    <xf numFmtId="170" fontId="46" fillId="28" borderId="0" xfId="0" applyNumberFormat="1" applyFont="1" applyFill="1"/>
    <xf numFmtId="170" fontId="28" fillId="0" borderId="25" xfId="0" applyNumberFormat="1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48" fillId="0" borderId="0" xfId="0" applyFont="1"/>
    <xf numFmtId="170" fontId="47" fillId="0" borderId="23" xfId="0" applyNumberFormat="1" applyFont="1" applyBorder="1" applyAlignment="1">
      <alignment horizontal="center" vertical="center"/>
    </xf>
    <xf numFmtId="0" fontId="33" fillId="0" borderId="0" xfId="0" applyFont="1"/>
    <xf numFmtId="0" fontId="46" fillId="0" borderId="24" xfId="0" applyFont="1" applyBorder="1" applyAlignment="1">
      <alignment horizontal="center" wrapText="1"/>
    </xf>
    <xf numFmtId="170" fontId="47" fillId="0" borderId="25" xfId="0" applyNumberFormat="1" applyFont="1" applyBorder="1"/>
    <xf numFmtId="170" fontId="47" fillId="0" borderId="0" xfId="0" applyNumberFormat="1" applyFont="1"/>
    <xf numFmtId="0" fontId="47" fillId="0" borderId="0" xfId="0" applyFont="1"/>
    <xf numFmtId="170" fontId="28" fillId="26" borderId="65" xfId="0" applyNumberFormat="1" applyFont="1" applyFill="1" applyBorder="1"/>
    <xf numFmtId="170" fontId="28" fillId="26" borderId="34" xfId="0" applyNumberFormat="1" applyFont="1" applyFill="1" applyBorder="1"/>
    <xf numFmtId="0" fontId="0" fillId="0" borderId="0" xfId="0" applyAlignment="1">
      <alignment horizontal="center" vertical="top"/>
    </xf>
    <xf numFmtId="170" fontId="0" fillId="0" borderId="0" xfId="0" applyNumberFormat="1" applyAlignment="1">
      <alignment horizontal="center" vertical="center"/>
    </xf>
    <xf numFmtId="170" fontId="47" fillId="0" borderId="28" xfId="0" applyNumberFormat="1" applyFont="1" applyBorder="1" applyAlignment="1">
      <alignment horizontal="center" vertical="center"/>
    </xf>
    <xf numFmtId="170" fontId="0" fillId="0" borderId="0" xfId="0" applyNumberFormat="1" applyAlignment="1">
      <alignment horizontal="center" vertical="top"/>
    </xf>
    <xf numFmtId="0" fontId="28" fillId="0" borderId="0" xfId="0" applyFont="1" applyAlignment="1">
      <alignment horizontal="center"/>
    </xf>
    <xf numFmtId="170" fontId="28" fillId="0" borderId="0" xfId="0" applyNumberFormat="1" applyFont="1"/>
    <xf numFmtId="0" fontId="0" fillId="0" borderId="72" xfId="0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 vertical="top"/>
    </xf>
    <xf numFmtId="0" fontId="0" fillId="0" borderId="28" xfId="0" applyBorder="1" applyAlignment="1">
      <alignment horizontal="center" vertical="center"/>
    </xf>
    <xf numFmtId="170" fontId="0" fillId="0" borderId="28" xfId="0" applyNumberFormat="1" applyBorder="1"/>
    <xf numFmtId="170" fontId="0" fillId="0" borderId="73" xfId="0" applyNumberFormat="1" applyBorder="1"/>
    <xf numFmtId="2" fontId="28" fillId="26" borderId="34" xfId="0" applyNumberFormat="1" applyFont="1" applyFill="1" applyBorder="1"/>
    <xf numFmtId="2" fontId="28" fillId="0" borderId="0" xfId="0" applyNumberFormat="1" applyFont="1"/>
    <xf numFmtId="0" fontId="0" fillId="0" borderId="77" xfId="0" applyBorder="1" applyAlignment="1">
      <alignment horizontal="center" vertical="top"/>
    </xf>
    <xf numFmtId="0" fontId="0" fillId="0" borderId="78" xfId="0" applyBorder="1" applyAlignment="1">
      <alignment horizontal="center" vertical="center"/>
    </xf>
    <xf numFmtId="170" fontId="0" fillId="0" borderId="78" xfId="0" applyNumberFormat="1" applyBorder="1" applyAlignment="1">
      <alignment horizontal="center" vertical="center"/>
    </xf>
    <xf numFmtId="170" fontId="0" fillId="0" borderId="78" xfId="0" applyNumberFormat="1" applyBorder="1"/>
    <xf numFmtId="0" fontId="0" fillId="0" borderId="79" xfId="0" applyBorder="1"/>
    <xf numFmtId="0" fontId="0" fillId="0" borderId="80" xfId="0" applyBorder="1" applyAlignment="1">
      <alignment horizontal="center" vertical="top"/>
    </xf>
    <xf numFmtId="0" fontId="0" fillId="0" borderId="62" xfId="0" applyBorder="1"/>
    <xf numFmtId="0" fontId="0" fillId="0" borderId="62" xfId="0" applyBorder="1" applyAlignment="1">
      <alignment horizont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62" xfId="0" applyNumberFormat="1" applyBorder="1"/>
    <xf numFmtId="0" fontId="0" fillId="0" borderId="81" xfId="0" applyBorder="1" applyAlignment="1">
      <alignment horizontal="center" vertical="top"/>
    </xf>
    <xf numFmtId="0" fontId="0" fillId="0" borderId="82" xfId="0" applyBorder="1" applyAlignment="1">
      <alignment horizontal="center" vertical="center"/>
    </xf>
    <xf numFmtId="2" fontId="0" fillId="0" borderId="82" xfId="0" applyNumberFormat="1" applyBorder="1" applyAlignment="1">
      <alignment horizontal="center" vertical="center"/>
    </xf>
    <xf numFmtId="2" fontId="0" fillId="0" borderId="82" xfId="0" applyNumberFormat="1" applyBorder="1"/>
    <xf numFmtId="2" fontId="0" fillId="0" borderId="83" xfId="0" applyNumberFormat="1" applyBorder="1"/>
    <xf numFmtId="44" fontId="25" fillId="0" borderId="57" xfId="64" applyFont="1" applyFill="1" applyBorder="1" applyAlignment="1">
      <alignment horizontal="center" vertical="center" wrapText="1"/>
    </xf>
    <xf numFmtId="0" fontId="34" fillId="0" borderId="56" xfId="0" applyFont="1" applyBorder="1" applyAlignment="1">
      <alignment wrapText="1"/>
    </xf>
    <xf numFmtId="0" fontId="38" fillId="29" borderId="85" xfId="0" applyFont="1" applyFill="1" applyBorder="1" applyAlignment="1">
      <alignment horizontal="center" vertical="center"/>
    </xf>
    <xf numFmtId="0" fontId="38" fillId="29" borderId="85" xfId="0" applyFont="1" applyFill="1" applyBorder="1" applyAlignment="1">
      <alignment horizontal="center" vertical="center" wrapText="1"/>
    </xf>
    <xf numFmtId="0" fontId="34" fillId="34" borderId="56" xfId="0" applyFont="1" applyFill="1" applyBorder="1"/>
    <xf numFmtId="0" fontId="34" fillId="34" borderId="58" xfId="0" applyFont="1" applyFill="1" applyBorder="1"/>
    <xf numFmtId="0" fontId="34" fillId="32" borderId="56" xfId="0" applyFont="1" applyFill="1" applyBorder="1"/>
    <xf numFmtId="0" fontId="34" fillId="32" borderId="58" xfId="0" applyFont="1" applyFill="1" applyBorder="1"/>
    <xf numFmtId="4" fontId="34" fillId="0" borderId="33" xfId="0" applyNumberFormat="1" applyFont="1" applyBorder="1" applyAlignment="1">
      <alignment vertical="center"/>
    </xf>
    <xf numFmtId="0" fontId="34" fillId="0" borderId="56" xfId="0" applyFont="1" applyBorder="1" applyAlignment="1">
      <alignment vertical="center"/>
    </xf>
    <xf numFmtId="0" fontId="34" fillId="0" borderId="58" xfId="0" applyFont="1" applyBorder="1" applyAlignment="1">
      <alignment horizontal="center" vertical="center"/>
    </xf>
    <xf numFmtId="0" fontId="34" fillId="0" borderId="58" xfId="0" applyFont="1" applyBorder="1" applyAlignment="1">
      <alignment vertical="center"/>
    </xf>
    <xf numFmtId="10" fontId="34" fillId="0" borderId="58" xfId="0" applyNumberFormat="1" applyFont="1" applyBorder="1" applyAlignment="1">
      <alignment vertical="center"/>
    </xf>
    <xf numFmtId="2" fontId="34" fillId="0" borderId="58" xfId="0" applyNumberFormat="1" applyFont="1" applyBorder="1" applyAlignment="1">
      <alignment vertical="center"/>
    </xf>
    <xf numFmtId="0" fontId="34" fillId="32" borderId="56" xfId="0" applyFont="1" applyFill="1" applyBorder="1" applyAlignment="1">
      <alignment vertical="center"/>
    </xf>
    <xf numFmtId="0" fontId="34" fillId="32" borderId="58" xfId="0" applyFont="1" applyFill="1" applyBorder="1" applyAlignment="1">
      <alignment vertical="center"/>
    </xf>
    <xf numFmtId="3" fontId="34" fillId="0" borderId="56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34" fillId="0" borderId="21" xfId="0" applyFont="1" applyBorder="1" applyAlignment="1">
      <alignment vertical="center"/>
    </xf>
    <xf numFmtId="0" fontId="34" fillId="0" borderId="49" xfId="0" applyFont="1" applyBorder="1" applyAlignment="1">
      <alignment horizontal="center" vertical="center"/>
    </xf>
    <xf numFmtId="0" fontId="34" fillId="0" borderId="49" xfId="0" applyFont="1" applyBorder="1" applyAlignment="1">
      <alignment vertical="center"/>
    </xf>
    <xf numFmtId="0" fontId="34" fillId="0" borderId="24" xfId="0" applyFont="1" applyBorder="1" applyAlignment="1">
      <alignment wrapText="1"/>
    </xf>
    <xf numFmtId="4" fontId="34" fillId="0" borderId="38" xfId="0" applyNumberFormat="1" applyFont="1" applyBorder="1" applyAlignment="1">
      <alignment vertical="center"/>
    </xf>
    <xf numFmtId="0" fontId="34" fillId="33" borderId="86" xfId="0" applyFont="1" applyFill="1" applyBorder="1" applyAlignment="1">
      <alignment vertical="center"/>
    </xf>
    <xf numFmtId="0" fontId="34" fillId="33" borderId="49" xfId="0" applyFont="1" applyFill="1" applyBorder="1" applyAlignment="1">
      <alignment vertical="center"/>
    </xf>
    <xf numFmtId="0" fontId="49" fillId="29" borderId="86" xfId="0" applyFont="1" applyFill="1" applyBorder="1"/>
    <xf numFmtId="0" fontId="49" fillId="29" borderId="85" xfId="0" applyFont="1" applyFill="1" applyBorder="1"/>
    <xf numFmtId="0" fontId="49" fillId="29" borderId="21" xfId="0" applyFont="1" applyFill="1" applyBorder="1" applyAlignment="1">
      <alignment horizontal="center" vertical="center"/>
    </xf>
    <xf numFmtId="0" fontId="49" fillId="29" borderId="49" xfId="0" applyFont="1" applyFill="1" applyBorder="1" applyAlignment="1">
      <alignment horizontal="center" vertical="center" wrapText="1"/>
    </xf>
    <xf numFmtId="0" fontId="49" fillId="29" borderId="0" xfId="0" applyFont="1" applyFill="1" applyAlignment="1">
      <alignment horizontal="center" vertical="center" wrapText="1"/>
    </xf>
    <xf numFmtId="0" fontId="49" fillId="29" borderId="24" xfId="0" applyFont="1" applyFill="1" applyBorder="1" applyAlignment="1">
      <alignment horizontal="center" vertical="center" wrapText="1"/>
    </xf>
    <xf numFmtId="0" fontId="49" fillId="29" borderId="58" xfId="0" applyFont="1" applyFill="1" applyBorder="1" applyAlignment="1">
      <alignment horizontal="center" vertical="center" wrapText="1"/>
    </xf>
    <xf numFmtId="0" fontId="49" fillId="0" borderId="52" xfId="0" applyFont="1" applyBorder="1"/>
    <xf numFmtId="43" fontId="49" fillId="0" borderId="53" xfId="0" applyNumberFormat="1" applyFont="1" applyBorder="1" applyAlignment="1">
      <alignment horizontal="right" vertical="center"/>
    </xf>
    <xf numFmtId="0" fontId="50" fillId="0" borderId="53" xfId="0" applyFont="1" applyBorder="1" applyAlignment="1">
      <alignment horizontal="right"/>
    </xf>
    <xf numFmtId="0" fontId="49" fillId="33" borderId="56" xfId="0" applyFont="1" applyFill="1" applyBorder="1"/>
    <xf numFmtId="43" fontId="49" fillId="33" borderId="58" xfId="0" applyNumberFormat="1" applyFont="1" applyFill="1" applyBorder="1" applyAlignment="1">
      <alignment horizontal="right" vertical="center"/>
    </xf>
    <xf numFmtId="0" fontId="50" fillId="33" borderId="58" xfId="0" applyFont="1" applyFill="1" applyBorder="1" applyAlignment="1">
      <alignment horizontal="right"/>
    </xf>
    <xf numFmtId="0" fontId="49" fillId="33" borderId="59" xfId="0" applyFont="1" applyFill="1" applyBorder="1" applyAlignment="1">
      <alignment horizontal="right"/>
    </xf>
    <xf numFmtId="4" fontId="50" fillId="0" borderId="33" xfId="0" applyNumberFormat="1" applyFont="1" applyBorder="1" applyAlignment="1">
      <alignment vertical="center"/>
    </xf>
    <xf numFmtId="0" fontId="50" fillId="0" borderId="56" xfId="0" applyFont="1" applyBorder="1" applyAlignment="1">
      <alignment vertical="center"/>
    </xf>
    <xf numFmtId="0" fontId="50" fillId="0" borderId="58" xfId="0" applyFont="1" applyBorder="1" applyAlignment="1">
      <alignment horizontal="right" vertical="center"/>
    </xf>
    <xf numFmtId="0" fontId="50" fillId="0" borderId="58" xfId="0" applyFont="1" applyBorder="1" applyAlignment="1">
      <alignment horizontal="right" vertical="center" wrapText="1"/>
    </xf>
    <xf numFmtId="10" fontId="50" fillId="0" borderId="58" xfId="0" applyNumberFormat="1" applyFont="1" applyBorder="1" applyAlignment="1">
      <alignment horizontal="right" vertical="center"/>
    </xf>
    <xf numFmtId="8" fontId="50" fillId="0" borderId="58" xfId="0" applyNumberFormat="1" applyFont="1" applyBorder="1" applyAlignment="1">
      <alignment horizontal="right" vertical="center"/>
    </xf>
    <xf numFmtId="8" fontId="50" fillId="0" borderId="59" xfId="0" applyNumberFormat="1" applyFont="1" applyBorder="1" applyAlignment="1">
      <alignment horizontal="right" vertical="center"/>
    </xf>
    <xf numFmtId="0" fontId="50" fillId="0" borderId="28" xfId="0" applyFont="1" applyBorder="1" applyAlignment="1">
      <alignment vertical="center" wrapText="1"/>
    </xf>
    <xf numFmtId="0" fontId="50" fillId="33" borderId="58" xfId="0" applyFont="1" applyFill="1" applyBorder="1" applyAlignment="1">
      <alignment horizontal="right" vertical="center"/>
    </xf>
    <xf numFmtId="0" fontId="50" fillId="33" borderId="58" xfId="0" applyFont="1" applyFill="1" applyBorder="1" applyAlignment="1">
      <alignment horizontal="right" vertical="center" wrapText="1"/>
    </xf>
    <xf numFmtId="0" fontId="50" fillId="33" borderId="59" xfId="0" applyFont="1" applyFill="1" applyBorder="1" applyAlignment="1">
      <alignment horizontal="right" vertical="center"/>
    </xf>
    <xf numFmtId="3" fontId="50" fillId="0" borderId="56" xfId="0" applyNumberFormat="1" applyFont="1" applyBorder="1" applyAlignment="1">
      <alignment vertical="center"/>
    </xf>
    <xf numFmtId="171" fontId="50" fillId="0" borderId="58" xfId="0" applyNumberFormat="1" applyFont="1" applyBorder="1" applyAlignment="1">
      <alignment horizontal="right" vertical="center"/>
    </xf>
    <xf numFmtId="2" fontId="50" fillId="0" borderId="58" xfId="0" applyNumberFormat="1" applyFont="1" applyBorder="1" applyAlignment="1">
      <alignment horizontal="right" vertical="center"/>
    </xf>
    <xf numFmtId="0" fontId="50" fillId="0" borderId="48" xfId="0" applyFont="1" applyBorder="1" applyAlignment="1">
      <alignment vertical="center" wrapText="1"/>
    </xf>
    <xf numFmtId="4" fontId="50" fillId="0" borderId="0" xfId="0" applyNumberFormat="1" applyFont="1" applyAlignment="1">
      <alignment vertical="center"/>
    </xf>
    <xf numFmtId="0" fontId="50" fillId="0" borderId="21" xfId="0" applyFont="1" applyBorder="1" applyAlignment="1">
      <alignment vertical="center"/>
    </xf>
    <xf numFmtId="0" fontId="50" fillId="0" borderId="24" xfId="0" applyFont="1" applyBorder="1" applyAlignment="1">
      <alignment wrapText="1"/>
    </xf>
    <xf numFmtId="4" fontId="50" fillId="0" borderId="38" xfId="0" applyNumberFormat="1" applyFont="1" applyBorder="1" applyAlignment="1">
      <alignment vertical="center"/>
    </xf>
    <xf numFmtId="0" fontId="49" fillId="33" borderId="86" xfId="0" applyFont="1" applyFill="1" applyBorder="1"/>
    <xf numFmtId="43" fontId="49" fillId="33" borderId="86" xfId="0" applyNumberFormat="1" applyFont="1" applyFill="1" applyBorder="1" applyAlignment="1">
      <alignment horizontal="right" vertical="center"/>
    </xf>
    <xf numFmtId="0" fontId="50" fillId="33" borderId="86" xfId="0" applyFont="1" applyFill="1" applyBorder="1" applyAlignment="1">
      <alignment horizontal="right" vertical="center"/>
    </xf>
    <xf numFmtId="0" fontId="50" fillId="0" borderId="86" xfId="0" applyFont="1" applyBorder="1" applyAlignment="1">
      <alignment wrapText="1"/>
    </xf>
    <xf numFmtId="4" fontId="50" fillId="0" borderId="86" xfId="0" applyNumberFormat="1" applyFont="1" applyBorder="1" applyAlignment="1">
      <alignment vertical="center"/>
    </xf>
    <xf numFmtId="0" fontId="50" fillId="0" borderId="86" xfId="0" applyFont="1" applyBorder="1" applyAlignment="1">
      <alignment vertical="center"/>
    </xf>
    <xf numFmtId="8" fontId="49" fillId="0" borderId="31" xfId="0" applyNumberFormat="1" applyFont="1" applyBorder="1" applyAlignment="1">
      <alignment horizontal="right"/>
    </xf>
    <xf numFmtId="164" fontId="0" fillId="0" borderId="0" xfId="0" applyNumberFormat="1"/>
    <xf numFmtId="0" fontId="40" fillId="0" borderId="56" xfId="0" applyFont="1" applyBorder="1" applyAlignment="1">
      <alignment vertical="center" wrapText="1"/>
    </xf>
    <xf numFmtId="0" fontId="42" fillId="37" borderId="23" xfId="0" applyFont="1" applyFill="1" applyBorder="1" applyAlignment="1">
      <alignment horizontal="left" vertical="center"/>
    </xf>
    <xf numFmtId="0" fontId="42" fillId="37" borderId="25" xfId="0" applyFont="1" applyFill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 wrapText="1"/>
    </xf>
    <xf numFmtId="4" fontId="0" fillId="0" borderId="0" xfId="0" applyNumberFormat="1"/>
    <xf numFmtId="8" fontId="0" fillId="0" borderId="0" xfId="0" applyNumberFormat="1"/>
    <xf numFmtId="0" fontId="34" fillId="0" borderId="23" xfId="0" applyFont="1" applyBorder="1" applyAlignment="1">
      <alignment horizontal="center" vertical="center"/>
    </xf>
    <xf numFmtId="43" fontId="25" fillId="0" borderId="28" xfId="121" applyFont="1" applyFill="1" applyBorder="1" applyAlignment="1">
      <alignment horizontal="right" wrapText="1"/>
    </xf>
    <xf numFmtId="0" fontId="0" fillId="0" borderId="26" xfId="0" applyBorder="1" applyAlignment="1">
      <alignment horizontal="left" vertical="center" wrapText="1"/>
    </xf>
    <xf numFmtId="8" fontId="34" fillId="0" borderId="23" xfId="0" applyNumberFormat="1" applyFont="1" applyBorder="1" applyAlignment="1">
      <alignment horizontal="center" vertical="center"/>
    </xf>
    <xf numFmtId="8" fontId="25" fillId="0" borderId="28" xfId="121" applyNumberFormat="1" applyFont="1" applyFill="1" applyBorder="1" applyAlignment="1">
      <alignment horizontal="right" wrapText="1"/>
    </xf>
    <xf numFmtId="0" fontId="34" fillId="0" borderId="0" xfId="0" applyFont="1"/>
    <xf numFmtId="0" fontId="34" fillId="0" borderId="64" xfId="0" applyFont="1" applyBorder="1" applyAlignment="1">
      <alignment wrapText="1"/>
    </xf>
    <xf numFmtId="0" fontId="38" fillId="36" borderId="23" xfId="0" applyFont="1" applyFill="1" applyBorder="1" applyAlignment="1">
      <alignment horizontal="center" vertical="center" wrapText="1"/>
    </xf>
    <xf numFmtId="0" fontId="38" fillId="36" borderId="27" xfId="0" applyFont="1" applyFill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8" fontId="34" fillId="37" borderId="31" xfId="0" applyNumberFormat="1" applyFont="1" applyFill="1" applyBorder="1" applyAlignment="1">
      <alignment horizontal="center" vertical="center"/>
    </xf>
    <xf numFmtId="8" fontId="34" fillId="0" borderId="29" xfId="0" applyNumberFormat="1" applyFont="1" applyBorder="1" applyAlignment="1">
      <alignment horizontal="center" vertical="center"/>
    </xf>
    <xf numFmtId="8" fontId="38" fillId="38" borderId="23" xfId="0" applyNumberFormat="1" applyFont="1" applyFill="1" applyBorder="1"/>
    <xf numFmtId="8" fontId="51" fillId="0" borderId="23" xfId="0" applyNumberFormat="1" applyFont="1" applyBorder="1" applyAlignment="1">
      <alignment horizontal="center" vertical="center"/>
    </xf>
    <xf numFmtId="8" fontId="25" fillId="28" borderId="23" xfId="121" applyNumberFormat="1" applyFont="1" applyFill="1" applyBorder="1" applyAlignment="1">
      <alignment horizontal="right" wrapText="1"/>
    </xf>
    <xf numFmtId="0" fontId="0" fillId="0" borderId="44" xfId="0" applyBorder="1" applyAlignment="1">
      <alignment horizontal="center" vertical="top"/>
    </xf>
    <xf numFmtId="0" fontId="0" fillId="0" borderId="45" xfId="0" applyBorder="1" applyAlignment="1">
      <alignment horizontal="center" vertical="center"/>
    </xf>
    <xf numFmtId="170" fontId="0" fillId="0" borderId="45" xfId="0" applyNumberFormat="1" applyBorder="1" applyAlignment="1">
      <alignment horizontal="center" vertical="center"/>
    </xf>
    <xf numFmtId="170" fontId="0" fillId="0" borderId="45" xfId="0" applyNumberFormat="1" applyBorder="1"/>
    <xf numFmtId="0" fontId="0" fillId="0" borderId="46" xfId="0" applyBorder="1"/>
    <xf numFmtId="0" fontId="0" fillId="0" borderId="10" xfId="0" applyBorder="1" applyAlignment="1">
      <alignment horizontal="center" vertical="top"/>
    </xf>
    <xf numFmtId="0" fontId="0" fillId="0" borderId="89" xfId="0" applyBorder="1"/>
    <xf numFmtId="0" fontId="0" fillId="0" borderId="89" xfId="0" applyBorder="1" applyAlignment="1">
      <alignment horizontal="center" wrapText="1"/>
    </xf>
    <xf numFmtId="0" fontId="0" fillId="0" borderId="42" xfId="0" applyBorder="1" applyAlignment="1">
      <alignment horizontal="center" vertical="top"/>
    </xf>
    <xf numFmtId="0" fontId="0" fillId="0" borderId="17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7" xfId="0" applyNumberFormat="1" applyBorder="1"/>
    <xf numFmtId="2" fontId="0" fillId="0" borderId="41" xfId="0" applyNumberFormat="1" applyBorder="1"/>
    <xf numFmtId="170" fontId="0" fillId="0" borderId="0" xfId="0" applyNumberFormat="1" applyAlignment="1">
      <alignment vertical="center" wrapText="1"/>
    </xf>
    <xf numFmtId="172" fontId="34" fillId="0" borderId="58" xfId="0" applyNumberFormat="1" applyFont="1" applyBorder="1" applyAlignment="1">
      <alignment vertical="center"/>
    </xf>
    <xf numFmtId="2" fontId="38" fillId="35" borderId="86" xfId="0" applyNumberFormat="1" applyFont="1" applyFill="1" applyBorder="1"/>
    <xf numFmtId="10" fontId="25" fillId="24" borderId="90" xfId="82" applyNumberFormat="1" applyFont="1" applyFill="1" applyBorder="1" applyAlignment="1">
      <alignment horizontal="center" vertical="center" wrapText="1"/>
    </xf>
    <xf numFmtId="8" fontId="26" fillId="25" borderId="39" xfId="121" applyNumberFormat="1" applyFont="1" applyFill="1" applyBorder="1" applyAlignment="1">
      <alignment horizontal="right" wrapText="1"/>
    </xf>
    <xf numFmtId="0" fontId="34" fillId="0" borderId="28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 wrapText="1"/>
    </xf>
    <xf numFmtId="0" fontId="34" fillId="0" borderId="24" xfId="0" applyFont="1" applyBorder="1" applyAlignment="1">
      <alignment vertical="center"/>
    </xf>
    <xf numFmtId="0" fontId="44" fillId="0" borderId="23" xfId="0" applyFont="1" applyBorder="1" applyAlignment="1">
      <alignment horizontal="left" wrapText="1"/>
    </xf>
    <xf numFmtId="10" fontId="26" fillId="24" borderId="0" xfId="0" applyNumberFormat="1" applyFont="1" applyFill="1"/>
    <xf numFmtId="10" fontId="25" fillId="26" borderId="23" xfId="82" applyNumberFormat="1" applyFont="1" applyFill="1" applyBorder="1" applyAlignment="1">
      <alignment horizontal="center" vertical="center" wrapText="1"/>
    </xf>
    <xf numFmtId="2" fontId="25" fillId="24" borderId="23" xfId="0" applyNumberFormat="1" applyFont="1" applyFill="1" applyBorder="1" applyAlignment="1">
      <alignment vertical="center"/>
    </xf>
    <xf numFmtId="44" fontId="25" fillId="26" borderId="23" xfId="64" applyFont="1" applyFill="1" applyBorder="1" applyAlignment="1">
      <alignment horizontal="right" vertical="center" wrapText="1"/>
    </xf>
    <xf numFmtId="0" fontId="26" fillId="25" borderId="28" xfId="0" applyFont="1" applyFill="1" applyBorder="1" applyAlignment="1">
      <alignment horizontal="center" vertical="center" wrapText="1"/>
    </xf>
    <xf numFmtId="0" fontId="36" fillId="0" borderId="86" xfId="0" applyFont="1" applyBorder="1" applyAlignment="1">
      <alignment horizontal="justify" vertical="center" wrapText="1"/>
    </xf>
    <xf numFmtId="0" fontId="25" fillId="24" borderId="86" xfId="0" applyFont="1" applyFill="1" applyBorder="1" applyAlignment="1">
      <alignment horizontal="center" vertical="center" wrapText="1"/>
    </xf>
    <xf numFmtId="0" fontId="26" fillId="25" borderId="86" xfId="0" applyFont="1" applyFill="1" applyBorder="1" applyAlignment="1">
      <alignment horizontal="center" vertical="center" wrapText="1"/>
    </xf>
    <xf numFmtId="0" fontId="26" fillId="24" borderId="86" xfId="0" applyFont="1" applyFill="1" applyBorder="1" applyAlignment="1">
      <alignment horizontal="center" vertical="center" wrapText="1"/>
    </xf>
    <xf numFmtId="49" fontId="26" fillId="0" borderId="86" xfId="0" applyNumberFormat="1" applyFont="1" applyBorder="1" applyAlignment="1">
      <alignment horizontal="center" vertical="center" wrapText="1"/>
    </xf>
    <xf numFmtId="0" fontId="25" fillId="24" borderId="84" xfId="0" applyFont="1" applyFill="1" applyBorder="1" applyAlignment="1">
      <alignment horizontal="left" vertical="center" wrapText="1"/>
    </xf>
    <xf numFmtId="0" fontId="26" fillId="25" borderId="84" xfId="0" applyFont="1" applyFill="1" applyBorder="1" applyAlignment="1">
      <alignment horizontal="center" wrapText="1"/>
    </xf>
    <xf numFmtId="43" fontId="25" fillId="24" borderId="84" xfId="121" applyFont="1" applyFill="1" applyBorder="1" applyAlignment="1">
      <alignment horizontal="center" wrapText="1"/>
    </xf>
    <xf numFmtId="9" fontId="25" fillId="24" borderId="84" xfId="82" applyFont="1" applyFill="1" applyBorder="1" applyAlignment="1">
      <alignment horizontal="center" wrapText="1"/>
    </xf>
    <xf numFmtId="0" fontId="25" fillId="24" borderId="85" xfId="0" applyFont="1" applyFill="1" applyBorder="1" applyAlignment="1">
      <alignment horizontal="left" vertical="center" wrapText="1"/>
    </xf>
    <xf numFmtId="10" fontId="25" fillId="24" borderId="84" xfId="82" applyNumberFormat="1" applyFont="1" applyFill="1" applyBorder="1" applyAlignment="1">
      <alignment horizontal="center" vertical="center" wrapText="1"/>
    </xf>
    <xf numFmtId="10" fontId="26" fillId="25" borderId="84" xfId="82" applyNumberFormat="1" applyFont="1" applyFill="1" applyBorder="1" applyAlignment="1">
      <alignment horizontal="center" vertical="center" wrapText="1"/>
    </xf>
    <xf numFmtId="44" fontId="0" fillId="28" borderId="84" xfId="64" applyFont="1" applyFill="1" applyBorder="1" applyAlignment="1">
      <alignment horizontal="center" vertical="center"/>
    </xf>
    <xf numFmtId="0" fontId="25" fillId="24" borderId="84" xfId="0" applyFont="1" applyFill="1" applyBorder="1" applyAlignment="1">
      <alignment horizontal="center" vertical="center" wrapText="1"/>
    </xf>
    <xf numFmtId="0" fontId="25" fillId="24" borderId="84" xfId="0" applyFont="1" applyFill="1" applyBorder="1" applyAlignment="1">
      <alignment vertical="center"/>
    </xf>
    <xf numFmtId="10" fontId="25" fillId="24" borderId="87" xfId="0" applyNumberFormat="1" applyFont="1" applyFill="1" applyBorder="1" applyAlignment="1">
      <alignment horizontal="center" wrapText="1"/>
    </xf>
    <xf numFmtId="0" fontId="25" fillId="24" borderId="84" xfId="0" applyFont="1" applyFill="1" applyBorder="1" applyAlignment="1">
      <alignment horizontal="left" wrapText="1"/>
    </xf>
    <xf numFmtId="10" fontId="26" fillId="25" borderId="84" xfId="82" applyNumberFormat="1" applyFont="1" applyFill="1" applyBorder="1" applyAlignment="1">
      <alignment horizontal="center" wrapText="1"/>
    </xf>
    <xf numFmtId="10" fontId="25" fillId="24" borderId="87" xfId="82" applyNumberFormat="1" applyFont="1" applyFill="1" applyBorder="1" applyAlignment="1">
      <alignment horizontal="center" vertical="center" wrapText="1"/>
    </xf>
    <xf numFmtId="0" fontId="25" fillId="24" borderId="87" xfId="0" applyFont="1" applyFill="1" applyBorder="1" applyAlignment="1">
      <alignment horizontal="left" wrapText="1"/>
    </xf>
    <xf numFmtId="10" fontId="26" fillId="25" borderId="86" xfId="0" applyNumberFormat="1" applyFont="1" applyFill="1" applyBorder="1" applyAlignment="1">
      <alignment horizontal="center" vertical="center"/>
    </xf>
    <xf numFmtId="10" fontId="25" fillId="24" borderId="84" xfId="82" applyNumberFormat="1" applyFont="1" applyFill="1" applyBorder="1" applyAlignment="1">
      <alignment horizontal="center" wrapText="1"/>
    </xf>
    <xf numFmtId="10" fontId="25" fillId="0" borderId="84" xfId="82" applyNumberFormat="1" applyFont="1" applyFill="1" applyBorder="1" applyAlignment="1">
      <alignment horizontal="center" wrapText="1"/>
    </xf>
    <xf numFmtId="2" fontId="26" fillId="0" borderId="86" xfId="64" applyNumberFormat="1" applyFont="1" applyFill="1" applyBorder="1" applyAlignment="1">
      <alignment horizontal="center" vertical="center" wrapText="1"/>
    </xf>
    <xf numFmtId="0" fontId="59" fillId="24" borderId="85" xfId="0" applyFont="1" applyFill="1" applyBorder="1" applyAlignment="1">
      <alignment horizontal="left" vertical="center" wrapText="1"/>
    </xf>
    <xf numFmtId="170" fontId="34" fillId="37" borderId="23" xfId="0" applyNumberFormat="1" applyFont="1" applyFill="1" applyBorder="1" applyAlignment="1">
      <alignment horizontal="center" vertical="center" wrapText="1"/>
    </xf>
    <xf numFmtId="170" fontId="34" fillId="0" borderId="23" xfId="0" applyNumberFormat="1" applyFont="1" applyBorder="1" applyAlignment="1">
      <alignment horizontal="center" vertical="center"/>
    </xf>
    <xf numFmtId="170" fontId="34" fillId="37" borderId="23" xfId="0" applyNumberFormat="1" applyFont="1" applyFill="1" applyBorder="1" applyAlignment="1">
      <alignment horizontal="center" vertical="center"/>
    </xf>
    <xf numFmtId="170" fontId="34" fillId="0" borderId="24" xfId="0" applyNumberFormat="1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8" fillId="0" borderId="23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2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top" wrapText="1"/>
    </xf>
    <xf numFmtId="0" fontId="38" fillId="0" borderId="23" xfId="0" applyFont="1" applyBorder="1" applyAlignment="1">
      <alignment horizontal="center" vertical="center" wrapText="1"/>
    </xf>
    <xf numFmtId="170" fontId="38" fillId="0" borderId="23" xfId="0" applyNumberFormat="1" applyFont="1" applyBorder="1" applyAlignment="1">
      <alignment horizontal="center" vertical="center" wrapText="1"/>
    </xf>
    <xf numFmtId="170" fontId="47" fillId="0" borderId="23" xfId="0" applyNumberFormat="1" applyFont="1" applyBorder="1"/>
    <xf numFmtId="0" fontId="38" fillId="0" borderId="24" xfId="0" applyFont="1" applyBorder="1" applyAlignment="1">
      <alignment horizontal="center" vertical="center"/>
    </xf>
    <xf numFmtId="170" fontId="46" fillId="26" borderId="86" xfId="0" applyNumberFormat="1" applyFont="1" applyFill="1" applyBorder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top"/>
    </xf>
    <xf numFmtId="170" fontId="34" fillId="0" borderId="0" xfId="0" applyNumberFormat="1" applyFont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0" borderId="92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top"/>
    </xf>
    <xf numFmtId="0" fontId="41" fillId="0" borderId="0" xfId="0" applyFont="1"/>
    <xf numFmtId="0" fontId="41" fillId="0" borderId="23" xfId="0" applyFont="1" applyBorder="1" applyAlignment="1">
      <alignment wrapText="1"/>
    </xf>
    <xf numFmtId="0" fontId="34" fillId="0" borderId="63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92" xfId="0" applyFont="1" applyBorder="1" applyAlignment="1">
      <alignment wrapText="1"/>
    </xf>
    <xf numFmtId="0" fontId="34" fillId="37" borderId="92" xfId="0" applyFont="1" applyFill="1" applyBorder="1" applyAlignment="1">
      <alignment horizontal="center" vertical="center" wrapText="1"/>
    </xf>
    <xf numFmtId="44" fontId="25" fillId="26" borderId="23" xfId="64" applyFont="1" applyFill="1" applyBorder="1" applyAlignment="1">
      <alignment horizontal="center" vertical="center" wrapText="1"/>
    </xf>
    <xf numFmtId="0" fontId="61" fillId="24" borderId="0" xfId="0" applyFont="1" applyFill="1"/>
    <xf numFmtId="10" fontId="61" fillId="24" borderId="0" xfId="0" applyNumberFormat="1" applyFont="1" applyFill="1"/>
    <xf numFmtId="2" fontId="26" fillId="24" borderId="0" xfId="0" applyNumberFormat="1" applyFont="1" applyFill="1" applyAlignment="1">
      <alignment horizontal="center" vertical="center" wrapText="1"/>
    </xf>
    <xf numFmtId="44" fontId="26" fillId="24" borderId="0" xfId="0" applyNumberFormat="1" applyFont="1" applyFill="1"/>
    <xf numFmtId="10" fontId="26" fillId="24" borderId="0" xfId="0" applyNumberFormat="1" applyFont="1" applyFill="1" applyAlignment="1">
      <alignment horizontal="center" vertical="center"/>
    </xf>
    <xf numFmtId="43" fontId="25" fillId="24" borderId="84" xfId="121" applyFont="1" applyFill="1" applyBorder="1" applyAlignment="1">
      <alignment horizontal="center" vertical="center" wrapText="1"/>
    </xf>
    <xf numFmtId="0" fontId="26" fillId="25" borderId="84" xfId="0" applyFont="1" applyFill="1" applyBorder="1" applyAlignment="1">
      <alignment horizontal="center" vertical="center" wrapText="1"/>
    </xf>
    <xf numFmtId="0" fontId="26" fillId="24" borderId="23" xfId="0" applyFont="1" applyFill="1" applyBorder="1" applyAlignment="1">
      <alignment horizontal="center" vertical="center" wrapText="1"/>
    </xf>
    <xf numFmtId="10" fontId="62" fillId="24" borderId="0" xfId="82" applyNumberFormat="1" applyFont="1" applyFill="1"/>
    <xf numFmtId="8" fontId="25" fillId="26" borderId="28" xfId="121" applyNumberFormat="1" applyFont="1" applyFill="1" applyBorder="1" applyAlignment="1">
      <alignment horizontal="right" vertical="center" wrapText="1"/>
    </xf>
    <xf numFmtId="43" fontId="25" fillId="24" borderId="24" xfId="121" applyFont="1" applyFill="1" applyBorder="1" applyAlignment="1">
      <alignment horizontal="right" vertical="center" wrapText="1"/>
    </xf>
    <xf numFmtId="43" fontId="26" fillId="25" borderId="86" xfId="121" applyFont="1" applyFill="1" applyBorder="1" applyAlignment="1">
      <alignment horizontal="right" vertical="center" wrapText="1"/>
    </xf>
    <xf numFmtId="43" fontId="26" fillId="24" borderId="0" xfId="121" applyFont="1" applyFill="1" applyBorder="1" applyAlignment="1">
      <alignment horizontal="right" vertical="center" wrapText="1"/>
    </xf>
    <xf numFmtId="10" fontId="27" fillId="24" borderId="0" xfId="0" applyNumberFormat="1" applyFont="1" applyFill="1" applyAlignment="1">
      <alignment vertical="center"/>
    </xf>
    <xf numFmtId="4" fontId="25" fillId="24" borderId="23" xfId="0" applyNumberFormat="1" applyFont="1" applyFill="1" applyBorder="1" applyAlignment="1">
      <alignment vertical="center" wrapText="1"/>
    </xf>
    <xf numFmtId="4" fontId="25" fillId="24" borderId="23" xfId="0" applyNumberFormat="1" applyFont="1" applyFill="1" applyBorder="1" applyAlignment="1">
      <alignment horizontal="right" vertical="center" wrapText="1"/>
    </xf>
    <xf numFmtId="4" fontId="25" fillId="24" borderId="0" xfId="0" applyNumberFormat="1" applyFont="1" applyFill="1" applyAlignment="1">
      <alignment vertical="center"/>
    </xf>
    <xf numFmtId="10" fontId="25" fillId="24" borderId="23" xfId="0" applyNumberFormat="1" applyFont="1" applyFill="1" applyBorder="1" applyAlignment="1">
      <alignment horizontal="center" vertical="center" wrapText="1"/>
    </xf>
    <xf numFmtId="10" fontId="26" fillId="25" borderId="23" xfId="0" applyNumberFormat="1" applyFont="1" applyFill="1" applyBorder="1" applyAlignment="1">
      <alignment horizontal="center" vertical="center"/>
    </xf>
    <xf numFmtId="10" fontId="25" fillId="24" borderId="0" xfId="0" applyNumberFormat="1" applyFont="1" applyFill="1" applyAlignment="1">
      <alignment horizontal="center" vertical="center"/>
    </xf>
    <xf numFmtId="43" fontId="26" fillId="41" borderId="23" xfId="0" applyNumberFormat="1" applyFont="1" applyFill="1" applyBorder="1" applyAlignment="1">
      <alignment horizontal="left" vertical="center"/>
    </xf>
    <xf numFmtId="0" fontId="35" fillId="44" borderId="86" xfId="0" applyFont="1" applyFill="1" applyBorder="1" applyAlignment="1">
      <alignment horizontal="center" vertical="center" wrapText="1"/>
    </xf>
    <xf numFmtId="0" fontId="36" fillId="0" borderId="86" xfId="0" applyFont="1" applyBorder="1" applyAlignment="1">
      <alignment horizontal="center" vertical="center" wrapText="1"/>
    </xf>
    <xf numFmtId="0" fontId="63" fillId="24" borderId="86" xfId="0" applyFont="1" applyFill="1" applyBorder="1" applyAlignment="1">
      <alignment horizontal="center" vertical="center" wrapText="1"/>
    </xf>
    <xf numFmtId="3" fontId="58" fillId="0" borderId="86" xfId="0" applyNumberFormat="1" applyFont="1" applyBorder="1" applyAlignment="1">
      <alignment horizontal="center" vertical="center"/>
    </xf>
    <xf numFmtId="171" fontId="35" fillId="45" borderId="86" xfId="0" applyNumberFormat="1" applyFont="1" applyFill="1" applyBorder="1" applyAlignment="1">
      <alignment horizontal="center" vertical="center"/>
    </xf>
    <xf numFmtId="49" fontId="58" fillId="39" borderId="95" xfId="0" applyNumberFormat="1" applyFont="1" applyFill="1" applyBorder="1" applyAlignment="1">
      <alignment horizontal="center" vertical="center"/>
    </xf>
    <xf numFmtId="0" fontId="58" fillId="45" borderId="86" xfId="0" applyFont="1" applyFill="1" applyBorder="1" applyAlignment="1">
      <alignment horizontal="center" vertical="center"/>
    </xf>
    <xf numFmtId="1" fontId="30" fillId="45" borderId="86" xfId="0" applyNumberFormat="1" applyFont="1" applyFill="1" applyBorder="1" applyAlignment="1">
      <alignment horizontal="center" vertical="center"/>
    </xf>
    <xf numFmtId="49" fontId="63" fillId="24" borderId="86" xfId="0" applyNumberFormat="1" applyFont="1" applyFill="1" applyBorder="1" applyAlignment="1">
      <alignment horizontal="center" vertical="center" wrapText="1"/>
    </xf>
    <xf numFmtId="44" fontId="25" fillId="24" borderId="23" xfId="64" applyFont="1" applyFill="1" applyBorder="1" applyAlignment="1">
      <alignment horizontal="center" vertical="center" wrapText="1"/>
    </xf>
    <xf numFmtId="10" fontId="68" fillId="26" borderId="86" xfId="130" applyNumberFormat="1" applyFont="1" applyFill="1" applyBorder="1" applyAlignment="1">
      <alignment horizontal="center" vertical="center" wrapText="1"/>
    </xf>
    <xf numFmtId="43" fontId="25" fillId="24" borderId="0" xfId="121" applyFont="1" applyFill="1" applyAlignment="1">
      <alignment vertical="center"/>
    </xf>
    <xf numFmtId="43" fontId="25" fillId="24" borderId="0" xfId="121" applyFont="1" applyFill="1"/>
    <xf numFmtId="43" fontId="0" fillId="0" borderId="0" xfId="121" applyFont="1" applyAlignment="1">
      <alignment vertical="center"/>
    </xf>
    <xf numFmtId="0" fontId="35" fillId="0" borderId="86" xfId="0" applyFont="1" applyBorder="1" applyAlignment="1">
      <alignment horizontal="left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vertical="center"/>
    </xf>
    <xf numFmtId="0" fontId="69" fillId="0" borderId="0" xfId="0" applyFont="1" applyAlignment="1">
      <alignment horizontal="center" vertical="center"/>
    </xf>
    <xf numFmtId="0" fontId="69" fillId="0" borderId="22" xfId="0" applyFont="1" applyBorder="1" applyAlignment="1">
      <alignment horizontal="center" vertical="center"/>
    </xf>
    <xf numFmtId="0" fontId="69" fillId="0" borderId="49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64" fillId="48" borderId="0" xfId="0" applyFont="1" applyFill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0" fillId="49" borderId="86" xfId="0" applyFont="1" applyFill="1" applyBorder="1" applyAlignment="1">
      <alignment horizontal="center" vertical="center" wrapText="1"/>
    </xf>
    <xf numFmtId="0" fontId="70" fillId="49" borderId="0" xfId="0" applyFont="1" applyFill="1" applyAlignment="1">
      <alignment horizontal="center" vertical="center" wrapText="1"/>
    </xf>
    <xf numFmtId="0" fontId="70" fillId="49" borderId="22" xfId="0" applyFont="1" applyFill="1" applyBorder="1" applyAlignment="1">
      <alignment horizontal="center" vertical="center" wrapText="1"/>
    </xf>
    <xf numFmtId="0" fontId="70" fillId="49" borderId="49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44" fontId="70" fillId="0" borderId="101" xfId="158" applyFont="1" applyFill="1" applyBorder="1" applyAlignment="1">
      <alignment vertical="center"/>
    </xf>
    <xf numFmtId="0" fontId="70" fillId="0" borderId="0" xfId="0" applyFont="1" applyAlignment="1">
      <alignment vertical="center"/>
    </xf>
    <xf numFmtId="0" fontId="70" fillId="0" borderId="104" xfId="0" applyFont="1" applyBorder="1" applyAlignment="1">
      <alignment horizontal="center" vertical="center"/>
    </xf>
    <xf numFmtId="0" fontId="70" fillId="0" borderId="104" xfId="0" applyFont="1" applyBorder="1" applyAlignment="1">
      <alignment vertical="center"/>
    </xf>
    <xf numFmtId="44" fontId="70" fillId="0" borderId="105" xfId="158" applyFont="1" applyBorder="1" applyAlignment="1">
      <alignment vertical="center"/>
    </xf>
    <xf numFmtId="44" fontId="70" fillId="0" borderId="104" xfId="158" applyFont="1" applyBorder="1" applyAlignment="1">
      <alignment vertical="center"/>
    </xf>
    <xf numFmtId="44" fontId="70" fillId="0" borderId="106" xfId="158" applyFont="1" applyBorder="1" applyAlignment="1">
      <alignment vertical="center"/>
    </xf>
    <xf numFmtId="44" fontId="70" fillId="0" borderId="105" xfId="158" applyFont="1" applyBorder="1" applyAlignment="1">
      <alignment horizontal="center" vertical="center"/>
    </xf>
    <xf numFmtId="44" fontId="70" fillId="0" borderId="106" xfId="158" applyFont="1" applyBorder="1" applyAlignment="1">
      <alignment horizontal="center" vertical="center"/>
    </xf>
    <xf numFmtId="0" fontId="70" fillId="0" borderId="105" xfId="0" applyFont="1" applyBorder="1" applyAlignment="1">
      <alignment vertical="center"/>
    </xf>
    <xf numFmtId="44" fontId="70" fillId="0" borderId="104" xfId="158" applyFont="1" applyBorder="1" applyAlignment="1">
      <alignment horizontal="center" vertical="center"/>
    </xf>
    <xf numFmtId="0" fontId="70" fillId="0" borderId="106" xfId="0" applyFont="1" applyBorder="1" applyAlignment="1">
      <alignment vertical="center"/>
    </xf>
    <xf numFmtId="44" fontId="70" fillId="0" borderId="104" xfId="158" applyFont="1" applyFill="1" applyBorder="1" applyAlignment="1">
      <alignment vertical="center"/>
    </xf>
    <xf numFmtId="44" fontId="72" fillId="0" borderId="104" xfId="158" applyFont="1" applyFill="1" applyBorder="1" applyAlignment="1">
      <alignment horizontal="center" vertical="center"/>
    </xf>
    <xf numFmtId="44" fontId="70" fillId="0" borderId="0" xfId="158" applyFont="1" applyFill="1" applyBorder="1" applyAlignment="1">
      <alignment vertical="center"/>
    </xf>
    <xf numFmtId="44" fontId="70" fillId="0" borderId="0" xfId="158" applyFont="1" applyAlignment="1">
      <alignment vertical="center"/>
    </xf>
    <xf numFmtId="0" fontId="70" fillId="0" borderId="104" xfId="0" applyFont="1" applyBorder="1" applyAlignment="1">
      <alignment vertical="center" wrapText="1"/>
    </xf>
    <xf numFmtId="0" fontId="71" fillId="50" borderId="104" xfId="0" applyFont="1" applyFill="1" applyBorder="1" applyAlignment="1">
      <alignment vertical="center" wrapText="1"/>
    </xf>
    <xf numFmtId="44" fontId="64" fillId="50" borderId="104" xfId="0" applyNumberFormat="1" applyFont="1" applyFill="1" applyBorder="1" applyAlignment="1">
      <alignment horizontal="center" vertical="center"/>
    </xf>
    <xf numFmtId="0" fontId="70" fillId="51" borderId="104" xfId="0" applyFont="1" applyFill="1" applyBorder="1" applyAlignment="1">
      <alignment vertical="center" wrapText="1"/>
    </xf>
    <xf numFmtId="44" fontId="70" fillId="51" borderId="104" xfId="0" applyNumberFormat="1" applyFont="1" applyFill="1" applyBorder="1" applyAlignment="1">
      <alignment horizontal="center" vertical="center"/>
    </xf>
    <xf numFmtId="44" fontId="70" fillId="52" borderId="104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43" fontId="32" fillId="0" borderId="0" xfId="121" applyFont="1" applyAlignment="1">
      <alignment vertical="center"/>
    </xf>
    <xf numFmtId="10" fontId="32" fillId="0" borderId="0" xfId="154" applyNumberFormat="1" applyFont="1" applyAlignment="1">
      <alignment vertical="center"/>
    </xf>
    <xf numFmtId="0" fontId="0" fillId="53" borderId="0" xfId="0" applyFill="1" applyAlignment="1">
      <alignment horizontal="center" vertical="center"/>
    </xf>
    <xf numFmtId="10" fontId="0" fillId="53" borderId="0" xfId="154" applyNumberFormat="1" applyFont="1" applyFill="1" applyAlignment="1">
      <alignment horizontal="center" vertical="center"/>
    </xf>
    <xf numFmtId="173" fontId="0" fillId="53" borderId="0" xfId="121" applyNumberFormat="1" applyFont="1" applyFill="1" applyAlignment="1">
      <alignment vertical="center"/>
    </xf>
    <xf numFmtId="0" fontId="0" fillId="53" borderId="0" xfId="0" applyFill="1" applyAlignment="1">
      <alignment vertical="center"/>
    </xf>
    <xf numFmtId="44" fontId="0" fillId="53" borderId="0" xfId="158" applyFont="1" applyFill="1" applyAlignment="1">
      <alignment horizontal="center" vertical="center"/>
    </xf>
    <xf numFmtId="44" fontId="0" fillId="53" borderId="0" xfId="158" applyFont="1" applyFill="1" applyAlignment="1">
      <alignment vertical="center"/>
    </xf>
    <xf numFmtId="44" fontId="73" fillId="53" borderId="0" xfId="0" applyNumberFormat="1" applyFont="1" applyFill="1" applyAlignment="1">
      <alignment vertical="center"/>
    </xf>
    <xf numFmtId="44" fontId="0" fillId="0" borderId="0" xfId="0" applyNumberFormat="1" applyAlignment="1">
      <alignment vertical="center"/>
    </xf>
    <xf numFmtId="10" fontId="0" fillId="0" borderId="0" xfId="154" applyNumberFormat="1" applyFont="1" applyAlignment="1">
      <alignment vertical="center"/>
    </xf>
    <xf numFmtId="0" fontId="0" fillId="0" borderId="0" xfId="0" applyAlignment="1">
      <alignment vertical="center"/>
    </xf>
    <xf numFmtId="44" fontId="0" fillId="53" borderId="0" xfId="0" applyNumberFormat="1" applyFill="1" applyAlignment="1">
      <alignment vertical="center"/>
    </xf>
    <xf numFmtId="0" fontId="0" fillId="41" borderId="0" xfId="0" applyFill="1" applyAlignment="1">
      <alignment vertical="center"/>
    </xf>
    <xf numFmtId="10" fontId="0" fillId="41" borderId="0" xfId="154" applyNumberFormat="1" applyFont="1" applyFill="1" applyAlignment="1">
      <alignment horizontal="center" vertical="center"/>
    </xf>
    <xf numFmtId="173" fontId="0" fillId="41" borderId="0" xfId="121" applyNumberFormat="1" applyFont="1" applyFill="1" applyAlignment="1">
      <alignment horizontal="center" vertical="center"/>
    </xf>
    <xf numFmtId="10" fontId="0" fillId="41" borderId="0" xfId="154" applyNumberFormat="1" applyFont="1" applyFill="1" applyAlignment="1">
      <alignment vertical="center"/>
    </xf>
    <xf numFmtId="173" fontId="0" fillId="41" borderId="0" xfId="121" applyNumberFormat="1" applyFont="1" applyFill="1" applyAlignment="1">
      <alignment vertical="center"/>
    </xf>
    <xf numFmtId="44" fontId="0" fillId="41" borderId="0" xfId="158" applyFont="1" applyFill="1" applyAlignment="1">
      <alignment vertical="center"/>
    </xf>
    <xf numFmtId="0" fontId="0" fillId="41" borderId="0" xfId="0" applyFill="1" applyAlignment="1">
      <alignment horizontal="center" vertical="center"/>
    </xf>
    <xf numFmtId="44" fontId="0" fillId="41" borderId="0" xfId="158" applyFont="1" applyFill="1" applyAlignment="1">
      <alignment horizontal="center" vertical="center"/>
    </xf>
    <xf numFmtId="44" fontId="73" fillId="41" borderId="0" xfId="0" applyNumberFormat="1" applyFont="1" applyFill="1" applyAlignment="1">
      <alignment vertical="center"/>
    </xf>
    <xf numFmtId="44" fontId="0" fillId="41" borderId="0" xfId="0" applyNumberFormat="1" applyFill="1" applyAlignment="1">
      <alignment vertical="center"/>
    </xf>
    <xf numFmtId="44" fontId="0" fillId="0" borderId="0" xfId="158" applyFont="1" applyAlignment="1">
      <alignment horizontal="center" vertical="center"/>
    </xf>
    <xf numFmtId="44" fontId="0" fillId="0" borderId="0" xfId="158" applyFont="1" applyAlignment="1">
      <alignment vertical="center"/>
    </xf>
    <xf numFmtId="0" fontId="0" fillId="46" borderId="0" xfId="0" applyFill="1" applyAlignment="1">
      <alignment vertical="center"/>
    </xf>
    <xf numFmtId="173" fontId="0" fillId="46" borderId="0" xfId="121" applyNumberFormat="1" applyFont="1" applyFill="1" applyAlignment="1">
      <alignment horizontal="center" vertical="center"/>
    </xf>
    <xf numFmtId="10" fontId="0" fillId="46" borderId="0" xfId="154" applyNumberFormat="1" applyFont="1" applyFill="1" applyAlignment="1">
      <alignment vertical="center"/>
    </xf>
    <xf numFmtId="173" fontId="0" fillId="46" borderId="0" xfId="121" applyNumberFormat="1" applyFont="1" applyFill="1" applyAlignment="1">
      <alignment vertical="center"/>
    </xf>
    <xf numFmtId="173" fontId="0" fillId="0" borderId="0" xfId="0" applyNumberFormat="1" applyAlignment="1">
      <alignment vertical="center"/>
    </xf>
    <xf numFmtId="43" fontId="0" fillId="46" borderId="0" xfId="121" applyFont="1" applyFill="1" applyAlignment="1">
      <alignment horizontal="center" vertical="center"/>
    </xf>
    <xf numFmtId="43" fontId="0" fillId="46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43" fontId="0" fillId="0" borderId="0" xfId="121" applyFont="1" applyAlignment="1">
      <alignment horizontal="center" vertical="center"/>
    </xf>
    <xf numFmtId="10" fontId="25" fillId="0" borderId="23" xfId="82" applyNumberFormat="1" applyFont="1" applyFill="1" applyBorder="1" applyAlignment="1">
      <alignment horizontal="center" vertical="center" wrapText="1"/>
    </xf>
    <xf numFmtId="0" fontId="72" fillId="0" borderId="0" xfId="149" applyFont="1"/>
    <xf numFmtId="0" fontId="77" fillId="0" borderId="20" xfId="70" applyFont="1" applyBorder="1" applyAlignment="1">
      <alignment horizontal="center" vertical="center" shrinkToFit="1"/>
    </xf>
    <xf numFmtId="165" fontId="77" fillId="0" borderId="19" xfId="125" applyFont="1" applyFill="1" applyBorder="1" applyAlignment="1">
      <alignment vertical="center" shrinkToFit="1"/>
    </xf>
    <xf numFmtId="0" fontId="72" fillId="0" borderId="0" xfId="70" applyFont="1"/>
    <xf numFmtId="0" fontId="72" fillId="0" borderId="110" xfId="70" applyFont="1" applyBorder="1" applyAlignment="1">
      <alignment horizontal="center" vertical="center" shrinkToFit="1"/>
    </xf>
    <xf numFmtId="0" fontId="72" fillId="0" borderId="0" xfId="149" applyFont="1" applyAlignment="1">
      <alignment horizontal="center"/>
    </xf>
    <xf numFmtId="0" fontId="78" fillId="0" borderId="0" xfId="149" applyFont="1"/>
    <xf numFmtId="0" fontId="79" fillId="46" borderId="75" xfId="149" applyFont="1" applyFill="1" applyBorder="1" applyAlignment="1">
      <alignment horizontal="center" vertical="center" wrapText="1"/>
    </xf>
    <xf numFmtId="0" fontId="65" fillId="0" borderId="86" xfId="149" applyFont="1" applyBorder="1" applyAlignment="1">
      <alignment horizontal="center" vertical="center" wrapText="1"/>
    </xf>
    <xf numFmtId="0" fontId="65" fillId="0" borderId="97" xfId="149" applyFont="1" applyBorder="1" applyAlignment="1">
      <alignment vertical="center" wrapText="1"/>
    </xf>
    <xf numFmtId="10" fontId="65" fillId="0" borderId="28" xfId="154" applyNumberFormat="1" applyFont="1" applyBorder="1" applyAlignment="1">
      <alignment horizontal="center" vertical="center" wrapText="1"/>
    </xf>
    <xf numFmtId="0" fontId="65" fillId="0" borderId="28" xfId="149" applyFont="1" applyBorder="1" applyAlignment="1">
      <alignment horizontal="left" vertical="center" wrapText="1"/>
    </xf>
    <xf numFmtId="0" fontId="65" fillId="0" borderId="29" xfId="149" applyFont="1" applyBorder="1" applyAlignment="1">
      <alignment vertical="center" wrapText="1"/>
    </xf>
    <xf numFmtId="10" fontId="79" fillId="46" borderId="28" xfId="154" applyNumberFormat="1" applyFont="1" applyFill="1" applyBorder="1" applyAlignment="1">
      <alignment horizontal="center" vertical="center" wrapText="1"/>
    </xf>
    <xf numFmtId="0" fontId="65" fillId="47" borderId="23" xfId="149" applyFont="1" applyFill="1" applyBorder="1" applyAlignment="1">
      <alignment horizontal="left" vertical="center" wrapText="1"/>
    </xf>
    <xf numFmtId="0" fontId="65" fillId="0" borderId="0" xfId="149" applyFont="1" applyAlignment="1">
      <alignment horizontal="center" vertical="center" wrapText="1"/>
    </xf>
    <xf numFmtId="10" fontId="79" fillId="0" borderId="0" xfId="154" applyNumberFormat="1" applyFont="1" applyBorder="1" applyAlignment="1">
      <alignment horizontal="center" vertical="center" wrapText="1"/>
    </xf>
    <xf numFmtId="0" fontId="65" fillId="0" borderId="0" xfId="149" applyFont="1" applyAlignment="1">
      <alignment horizontal="left" vertical="center" wrapText="1"/>
    </xf>
    <xf numFmtId="0" fontId="65" fillId="0" borderId="23" xfId="149" applyFont="1" applyBorder="1" applyAlignment="1">
      <alignment horizontal="left" vertical="center" wrapText="1"/>
    </xf>
    <xf numFmtId="10" fontId="65" fillId="0" borderId="23" xfId="154" applyNumberFormat="1" applyFont="1" applyBorder="1" applyAlignment="1">
      <alignment horizontal="center" vertical="center" wrapText="1"/>
    </xf>
    <xf numFmtId="0" fontId="65" fillId="0" borderId="98" xfId="149" applyFont="1" applyBorder="1" applyAlignment="1">
      <alignment vertical="center" wrapText="1"/>
    </xf>
    <xf numFmtId="10" fontId="65" fillId="0" borderId="99" xfId="149" applyNumberFormat="1" applyFont="1" applyBorder="1" applyAlignment="1">
      <alignment horizontal="center" vertical="center" wrapText="1"/>
    </xf>
    <xf numFmtId="0" fontId="65" fillId="0" borderId="98" xfId="149" applyFont="1" applyBorder="1" applyAlignment="1">
      <alignment horizontal="left" vertical="center" wrapText="1"/>
    </xf>
    <xf numFmtId="10" fontId="72" fillId="0" borderId="0" xfId="154" applyNumberFormat="1" applyFont="1" applyAlignment="1">
      <alignment vertical="center"/>
    </xf>
    <xf numFmtId="0" fontId="65" fillId="0" borderId="23" xfId="149" applyFont="1" applyBorder="1" applyAlignment="1">
      <alignment vertical="center" wrapText="1"/>
    </xf>
    <xf numFmtId="0" fontId="65" fillId="0" borderId="25" xfId="149" applyFont="1" applyBorder="1" applyAlignment="1">
      <alignment vertical="center" wrapText="1"/>
    </xf>
    <xf numFmtId="10" fontId="65" fillId="0" borderId="86" xfId="149" applyNumberFormat="1" applyFont="1" applyBorder="1" applyAlignment="1">
      <alignment horizontal="center" vertical="center" wrapText="1"/>
    </xf>
    <xf numFmtId="0" fontId="65" fillId="0" borderId="29" xfId="149" applyFont="1" applyBorder="1" applyAlignment="1">
      <alignment horizontal="left" vertical="center" wrapText="1"/>
    </xf>
    <xf numFmtId="10" fontId="72" fillId="0" borderId="0" xfId="149" applyNumberFormat="1" applyFont="1" applyAlignment="1">
      <alignment vertical="center" wrapText="1"/>
    </xf>
    <xf numFmtId="10" fontId="72" fillId="0" borderId="0" xfId="149" applyNumberFormat="1" applyFont="1" applyAlignment="1">
      <alignment vertical="center"/>
    </xf>
    <xf numFmtId="10" fontId="79" fillId="46" borderId="23" xfId="149" applyNumberFormat="1" applyFont="1" applyFill="1" applyBorder="1" applyAlignment="1">
      <alignment horizontal="center" vertical="center" wrapText="1"/>
    </xf>
    <xf numFmtId="0" fontId="65" fillId="0" borderId="100" xfId="149" applyFont="1" applyBorder="1" applyAlignment="1">
      <alignment vertical="center" wrapText="1"/>
    </xf>
    <xf numFmtId="0" fontId="65" fillId="24" borderId="25" xfId="149" applyFont="1" applyFill="1" applyBorder="1" applyAlignment="1">
      <alignment vertical="center" wrapText="1"/>
    </xf>
    <xf numFmtId="10" fontId="65" fillId="24" borderId="86" xfId="154" applyNumberFormat="1" applyFont="1" applyFill="1" applyBorder="1" applyAlignment="1">
      <alignment horizontal="center" vertical="center" wrapText="1"/>
    </xf>
    <xf numFmtId="0" fontId="65" fillId="24" borderId="29" xfId="149" applyFont="1" applyFill="1" applyBorder="1" applyAlignment="1">
      <alignment horizontal="left" vertical="center" wrapText="1"/>
    </xf>
    <xf numFmtId="0" fontId="65" fillId="54" borderId="29" xfId="149" applyFont="1" applyFill="1" applyBorder="1" applyAlignment="1">
      <alignment horizontal="left" vertical="center" wrapText="1"/>
    </xf>
    <xf numFmtId="10" fontId="72" fillId="0" borderId="0" xfId="154" applyNumberFormat="1" applyFont="1" applyAlignment="1">
      <alignment vertical="center" wrapText="1"/>
    </xf>
    <xf numFmtId="0" fontId="65" fillId="54" borderId="113" xfId="149" applyFont="1" applyFill="1" applyBorder="1" applyAlignment="1">
      <alignment horizontal="left" vertical="center" wrapText="1"/>
    </xf>
    <xf numFmtId="0" fontId="66" fillId="0" borderId="0" xfId="0" applyFont="1"/>
    <xf numFmtId="0" fontId="72" fillId="0" borderId="86" xfId="70" applyFont="1" applyBorder="1" applyAlignment="1">
      <alignment horizontal="center" vertical="center" wrapText="1"/>
    </xf>
    <xf numFmtId="0" fontId="72" fillId="0" borderId="86" xfId="70" applyFont="1" applyBorder="1" applyAlignment="1">
      <alignment vertical="center" wrapText="1"/>
    </xf>
    <xf numFmtId="10" fontId="72" fillId="0" borderId="86" xfId="155" applyNumberFormat="1" applyFont="1" applyFill="1" applyBorder="1" applyAlignment="1">
      <alignment horizontal="center" vertical="center" wrapText="1"/>
    </xf>
    <xf numFmtId="49" fontId="82" fillId="54" borderId="86" xfId="125" applyNumberFormat="1" applyFont="1" applyFill="1" applyBorder="1" applyAlignment="1">
      <alignment horizontal="left" vertical="center" wrapText="1"/>
    </xf>
    <xf numFmtId="165" fontId="72" fillId="0" borderId="86" xfId="125" applyFont="1" applyFill="1" applyBorder="1" applyAlignment="1">
      <alignment horizontal="center" vertical="center" wrapText="1"/>
    </xf>
    <xf numFmtId="165" fontId="72" fillId="54" borderId="86" xfId="125" applyFont="1" applyFill="1" applyBorder="1" applyAlignment="1">
      <alignment horizontal="left" vertical="center" wrapText="1"/>
    </xf>
    <xf numFmtId="0" fontId="79" fillId="46" borderId="116" xfId="149" applyFont="1" applyFill="1" applyBorder="1" applyAlignment="1">
      <alignment horizontal="center" vertical="center" wrapText="1"/>
    </xf>
    <xf numFmtId="44" fontId="70" fillId="55" borderId="101" xfId="158" applyFont="1" applyFill="1" applyBorder="1" applyAlignment="1">
      <alignment vertical="center"/>
    </xf>
    <xf numFmtId="44" fontId="70" fillId="55" borderId="102" xfId="158" applyFont="1" applyFill="1" applyBorder="1" applyAlignment="1">
      <alignment vertical="center"/>
    </xf>
    <xf numFmtId="44" fontId="70" fillId="55" borderId="103" xfId="158" applyFont="1" applyFill="1" applyBorder="1" applyAlignment="1">
      <alignment vertical="center"/>
    </xf>
    <xf numFmtId="49" fontId="63" fillId="52" borderId="86" xfId="0" applyNumberFormat="1" applyFont="1" applyFill="1" applyBorder="1" applyAlignment="1">
      <alignment horizontal="center" vertical="center" wrapText="1"/>
    </xf>
    <xf numFmtId="174" fontId="25" fillId="26" borderId="23" xfId="82" applyNumberFormat="1" applyFont="1" applyFill="1" applyBorder="1" applyAlignment="1">
      <alignment horizontal="center" vertical="center" wrapText="1"/>
    </xf>
    <xf numFmtId="44" fontId="25" fillId="56" borderId="58" xfId="64" applyFont="1" applyFill="1" applyBorder="1" applyAlignment="1">
      <alignment vertical="center" wrapText="1"/>
    </xf>
    <xf numFmtId="0" fontId="25" fillId="56" borderId="84" xfId="0" applyFont="1" applyFill="1" applyBorder="1" applyAlignment="1">
      <alignment horizontal="center" vertical="center"/>
    </xf>
    <xf numFmtId="44" fontId="25" fillId="56" borderId="85" xfId="64" applyFont="1" applyFill="1" applyBorder="1" applyAlignment="1">
      <alignment vertical="center" wrapText="1"/>
    </xf>
    <xf numFmtId="8" fontId="25" fillId="56" borderId="57" xfId="64" applyNumberFormat="1" applyFont="1" applyFill="1" applyBorder="1" applyAlignment="1">
      <alignment vertical="center" wrapText="1"/>
    </xf>
    <xf numFmtId="8" fontId="25" fillId="26" borderId="57" xfId="64" applyNumberFormat="1" applyFont="1" applyFill="1" applyBorder="1" applyAlignment="1">
      <alignment vertical="center" wrapText="1"/>
    </xf>
    <xf numFmtId="44" fontId="25" fillId="26" borderId="58" xfId="64" applyFont="1" applyFill="1" applyBorder="1" applyAlignment="1">
      <alignment vertical="center" wrapText="1"/>
    </xf>
    <xf numFmtId="44" fontId="25" fillId="26" borderId="28" xfId="121" applyNumberFormat="1" applyFont="1" applyFill="1" applyBorder="1" applyAlignment="1">
      <alignment horizontal="right" vertical="center" wrapText="1"/>
    </xf>
    <xf numFmtId="44" fontId="70" fillId="26" borderId="104" xfId="158" applyFont="1" applyFill="1" applyBorder="1" applyAlignment="1">
      <alignment horizontal="center" vertical="center"/>
    </xf>
    <xf numFmtId="44" fontId="70" fillId="55" borderId="104" xfId="158" applyFont="1" applyFill="1" applyBorder="1" applyAlignment="1">
      <alignment horizontal="center" vertical="center"/>
    </xf>
    <xf numFmtId="0" fontId="71" fillId="57" borderId="101" xfId="0" applyFont="1" applyFill="1" applyBorder="1" applyAlignment="1">
      <alignment vertical="center" wrapText="1"/>
    </xf>
    <xf numFmtId="0" fontId="71" fillId="57" borderId="104" xfId="0" applyFont="1" applyFill="1" applyBorder="1" applyAlignment="1">
      <alignment vertical="center" wrapText="1"/>
    </xf>
    <xf numFmtId="44" fontId="72" fillId="55" borderId="104" xfId="158" applyFont="1" applyFill="1" applyBorder="1" applyAlignment="1">
      <alignment horizontal="center" vertical="center"/>
    </xf>
    <xf numFmtId="44" fontId="70" fillId="0" borderId="104" xfId="158" applyFont="1" applyFill="1" applyBorder="1" applyAlignment="1">
      <alignment horizontal="center" vertical="center"/>
    </xf>
    <xf numFmtId="0" fontId="84" fillId="0" borderId="0" xfId="0" applyFont="1" applyAlignment="1">
      <alignment horizontal="center" vertical="center" wrapText="1"/>
    </xf>
    <xf numFmtId="44" fontId="70" fillId="55" borderId="104" xfId="158" applyFont="1" applyFill="1" applyBorder="1" applyAlignment="1">
      <alignment vertical="center"/>
    </xf>
    <xf numFmtId="44" fontId="70" fillId="0" borderId="49" xfId="158" applyFont="1" applyBorder="1" applyAlignment="1">
      <alignment vertical="center"/>
    </xf>
    <xf numFmtId="0" fontId="75" fillId="56" borderId="0" xfId="0" applyFont="1" applyFill="1" applyAlignment="1">
      <alignment vertical="center"/>
    </xf>
    <xf numFmtId="44" fontId="75" fillId="56" borderId="0" xfId="154" applyNumberFormat="1" applyFont="1" applyFill="1" applyAlignment="1">
      <alignment vertical="center"/>
    </xf>
    <xf numFmtId="0" fontId="75" fillId="58" borderId="0" xfId="0" applyFont="1" applyFill="1" applyAlignment="1">
      <alignment vertical="center"/>
    </xf>
    <xf numFmtId="44" fontId="75" fillId="58" borderId="0" xfId="154" applyNumberFormat="1" applyFont="1" applyFill="1" applyAlignment="1">
      <alignment vertical="center"/>
    </xf>
    <xf numFmtId="44" fontId="74" fillId="56" borderId="0" xfId="154" applyNumberFormat="1" applyFont="1" applyFill="1" applyAlignment="1">
      <alignment vertical="center"/>
    </xf>
    <xf numFmtId="44" fontId="74" fillId="58" borderId="0" xfId="154" applyNumberFormat="1" applyFont="1" applyFill="1" applyAlignment="1">
      <alignment vertical="center"/>
    </xf>
    <xf numFmtId="44" fontId="70" fillId="59" borderId="0" xfId="158" applyFont="1" applyFill="1" applyBorder="1" applyAlignment="1">
      <alignment vertical="center"/>
    </xf>
    <xf numFmtId="44" fontId="70" fillId="59" borderId="104" xfId="158" applyFont="1" applyFill="1" applyBorder="1" applyAlignment="1">
      <alignment horizontal="center" vertical="center"/>
    </xf>
    <xf numFmtId="44" fontId="70" fillId="59" borderId="0" xfId="158" applyFont="1" applyFill="1" applyAlignment="1">
      <alignment vertical="center"/>
    </xf>
    <xf numFmtId="44" fontId="70" fillId="59" borderId="104" xfId="158" applyFont="1" applyFill="1" applyBorder="1" applyAlignment="1">
      <alignment vertical="center"/>
    </xf>
    <xf numFmtId="44" fontId="70" fillId="59" borderId="22" xfId="158" applyFont="1" applyFill="1" applyBorder="1" applyAlignment="1">
      <alignment vertical="center"/>
    </xf>
    <xf numFmtId="44" fontId="70" fillId="59" borderId="105" xfId="158" applyFont="1" applyFill="1" applyBorder="1" applyAlignment="1">
      <alignment vertical="center"/>
    </xf>
    <xf numFmtId="44" fontId="72" fillId="59" borderId="104" xfId="158" applyFont="1" applyFill="1" applyBorder="1" applyAlignment="1">
      <alignment horizontal="center" vertical="center"/>
    </xf>
    <xf numFmtId="0" fontId="25" fillId="24" borderId="25" xfId="0" applyFont="1" applyFill="1" applyBorder="1" applyAlignment="1">
      <alignment horizontal="left" vertical="center" wrapText="1"/>
    </xf>
    <xf numFmtId="0" fontId="25" fillId="24" borderId="29" xfId="0" applyFont="1" applyFill="1" applyBorder="1" applyAlignment="1">
      <alignment horizontal="left" vertical="center" wrapText="1"/>
    </xf>
    <xf numFmtId="0" fontId="25" fillId="24" borderId="23" xfId="0" applyFont="1" applyFill="1" applyBorder="1" applyAlignment="1">
      <alignment horizontal="justify" vertical="center" wrapText="1"/>
    </xf>
    <xf numFmtId="0" fontId="87" fillId="0" borderId="0" xfId="0" applyFont="1"/>
    <xf numFmtId="0" fontId="89" fillId="0" borderId="0" xfId="0" applyFont="1"/>
    <xf numFmtId="0" fontId="26" fillId="24" borderId="0" xfId="0" applyFont="1" applyFill="1" applyAlignment="1">
      <alignment wrapText="1"/>
    </xf>
    <xf numFmtId="43" fontId="25" fillId="24" borderId="0" xfId="121" applyFont="1" applyFill="1" applyAlignment="1">
      <alignment horizontal="center" vertical="center"/>
    </xf>
    <xf numFmtId="43" fontId="26" fillId="24" borderId="0" xfId="121" applyFont="1" applyFill="1" applyAlignment="1">
      <alignment horizontal="center" vertical="center"/>
    </xf>
    <xf numFmtId="43" fontId="26" fillId="24" borderId="0" xfId="121" applyFont="1" applyFill="1" applyAlignment="1">
      <alignment horizontal="center" vertical="center" wrapText="1"/>
    </xf>
    <xf numFmtId="43" fontId="25" fillId="24" borderId="0" xfId="0" applyNumberFormat="1" applyFont="1" applyFill="1"/>
    <xf numFmtId="44" fontId="25" fillId="24" borderId="0" xfId="64" applyFont="1" applyFill="1"/>
    <xf numFmtId="44" fontId="70" fillId="55" borderId="0" xfId="157" applyFont="1" applyFill="1" applyAlignment="1">
      <alignment vertical="center"/>
    </xf>
    <xf numFmtId="44" fontId="70" fillId="55" borderId="104" xfId="157" applyFont="1" applyFill="1" applyBorder="1" applyAlignment="1">
      <alignment horizontal="center" vertical="center"/>
    </xf>
    <xf numFmtId="44" fontId="70" fillId="55" borderId="101" xfId="157" applyFont="1" applyFill="1" applyBorder="1" applyAlignment="1">
      <alignment vertical="center"/>
    </xf>
    <xf numFmtId="0" fontId="39" fillId="57" borderId="118" xfId="143" applyFont="1" applyFill="1" applyBorder="1" applyAlignment="1">
      <alignment horizontal="center" vertical="center"/>
    </xf>
    <xf numFmtId="0" fontId="39" fillId="57" borderId="119" xfId="143" applyFont="1" applyFill="1" applyBorder="1" applyAlignment="1">
      <alignment horizontal="center" vertical="center"/>
    </xf>
    <xf numFmtId="0" fontId="39" fillId="57" borderId="120" xfId="143" applyFont="1" applyFill="1" applyBorder="1" applyAlignment="1">
      <alignment horizontal="center" vertical="center"/>
    </xf>
    <xf numFmtId="0" fontId="33" fillId="0" borderId="0" xfId="159"/>
    <xf numFmtId="0" fontId="90" fillId="0" borderId="56" xfId="143" applyFont="1" applyBorder="1" applyAlignment="1">
      <alignment horizontal="center" vertical="center"/>
    </xf>
    <xf numFmtId="171" fontId="90" fillId="0" borderId="121" xfId="143" applyNumberFormat="1" applyFont="1" applyBorder="1" applyAlignment="1">
      <alignment horizontal="center" vertical="center"/>
    </xf>
    <xf numFmtId="0" fontId="90" fillId="0" borderId="86" xfId="143" applyFont="1" applyBorder="1" applyAlignment="1">
      <alignment horizontal="center" vertical="center"/>
    </xf>
    <xf numFmtId="0" fontId="90" fillId="0" borderId="0" xfId="143" applyFont="1" applyAlignment="1">
      <alignment horizontal="center" vertical="center"/>
    </xf>
    <xf numFmtId="0" fontId="22" fillId="0" borderId="0" xfId="143"/>
    <xf numFmtId="0" fontId="90" fillId="0" borderId="86" xfId="143" applyFont="1" applyBorder="1" applyAlignment="1">
      <alignment horizontal="left" vertical="center" wrapText="1"/>
    </xf>
    <xf numFmtId="171" fontId="90" fillId="0" borderId="56" xfId="143" applyNumberFormat="1" applyFont="1" applyBorder="1" applyAlignment="1">
      <alignment horizontal="center" vertical="center"/>
    </xf>
    <xf numFmtId="0" fontId="90" fillId="0" borderId="13" xfId="143" applyFont="1" applyBorder="1" applyAlignment="1">
      <alignment horizontal="center" vertical="center" wrapText="1"/>
    </xf>
    <xf numFmtId="0" fontId="90" fillId="0" borderId="54" xfId="143" applyFont="1" applyBorder="1" applyAlignment="1">
      <alignment horizontal="center" vertical="center" wrapText="1"/>
    </xf>
    <xf numFmtId="0" fontId="90" fillId="0" borderId="122" xfId="143" applyFont="1" applyBorder="1" applyAlignment="1">
      <alignment horizontal="center" vertical="center" wrapText="1"/>
    </xf>
    <xf numFmtId="0" fontId="90" fillId="0" borderId="56" xfId="143" applyFont="1" applyBorder="1" applyAlignment="1">
      <alignment horizontal="left" vertical="center" wrapText="1"/>
    </xf>
    <xf numFmtId="175" fontId="39" fillId="57" borderId="119" xfId="143" applyNumberFormat="1" applyFont="1" applyFill="1" applyBorder="1" applyAlignment="1">
      <alignment horizontal="center" vertical="center" wrapText="1"/>
    </xf>
    <xf numFmtId="175" fontId="90" fillId="55" borderId="56" xfId="143" applyNumberFormat="1" applyFont="1" applyFill="1" applyBorder="1" applyAlignment="1">
      <alignment horizontal="center" vertical="center"/>
    </xf>
    <xf numFmtId="175" fontId="90" fillId="55" borderId="86" xfId="143" applyNumberFormat="1" applyFont="1" applyFill="1" applyBorder="1" applyAlignment="1">
      <alignment horizontal="center" vertical="center"/>
    </xf>
    <xf numFmtId="175" fontId="90" fillId="0" borderId="0" xfId="143" applyNumberFormat="1" applyFont="1" applyAlignment="1">
      <alignment horizontal="center" vertical="center"/>
    </xf>
    <xf numFmtId="175" fontId="33" fillId="0" borderId="0" xfId="159" applyNumberFormat="1"/>
    <xf numFmtId="10" fontId="70" fillId="0" borderId="0" xfId="160" applyNumberFormat="1" applyFont="1" applyAlignment="1">
      <alignment vertical="center"/>
    </xf>
    <xf numFmtId="0" fontId="34" fillId="0" borderId="130" xfId="0" applyFont="1" applyBorder="1" applyAlignment="1">
      <alignment vertical="center"/>
    </xf>
    <xf numFmtId="0" fontId="34" fillId="0" borderId="131" xfId="0" applyFont="1" applyBorder="1" applyAlignment="1">
      <alignment horizontal="center" vertical="center"/>
    </xf>
    <xf numFmtId="0" fontId="34" fillId="0" borderId="131" xfId="0" applyFont="1" applyBorder="1" applyAlignment="1">
      <alignment vertical="center"/>
    </xf>
    <xf numFmtId="0" fontId="34" fillId="33" borderId="130" xfId="0" applyFont="1" applyFill="1" applyBorder="1" applyAlignment="1">
      <alignment vertical="center"/>
    </xf>
    <xf numFmtId="0" fontId="34" fillId="33" borderId="131" xfId="0" applyFont="1" applyFill="1" applyBorder="1" applyAlignment="1">
      <alignment vertical="center"/>
    </xf>
    <xf numFmtId="2" fontId="34" fillId="0" borderId="131" xfId="0" applyNumberFormat="1" applyFont="1" applyBorder="1" applyAlignment="1">
      <alignment vertical="center"/>
    </xf>
    <xf numFmtId="0" fontId="49" fillId="29" borderId="131" xfId="0" applyFont="1" applyFill="1" applyBorder="1"/>
    <xf numFmtId="0" fontId="50" fillId="0" borderId="130" xfId="0" applyFont="1" applyBorder="1" applyAlignment="1">
      <alignment vertical="center"/>
    </xf>
    <xf numFmtId="0" fontId="25" fillId="24" borderId="132" xfId="0" applyFont="1" applyFill="1" applyBorder="1" applyAlignment="1">
      <alignment horizontal="center" vertical="center" wrapText="1"/>
    </xf>
    <xf numFmtId="0" fontId="25" fillId="24" borderId="130" xfId="0" applyFont="1" applyFill="1" applyBorder="1" applyAlignment="1">
      <alignment horizontal="center" vertical="center" wrapText="1"/>
    </xf>
    <xf numFmtId="0" fontId="25" fillId="24" borderId="140" xfId="0" applyFont="1" applyFill="1" applyBorder="1" applyAlignment="1">
      <alignment horizontal="center" vertical="center" wrapText="1"/>
    </xf>
    <xf numFmtId="0" fontId="26" fillId="24" borderId="140" xfId="0" applyFont="1" applyFill="1" applyBorder="1" applyAlignment="1">
      <alignment horizontal="center" vertical="center" wrapText="1"/>
    </xf>
    <xf numFmtId="10" fontId="25" fillId="24" borderId="142" xfId="82" applyNumberFormat="1" applyFont="1" applyFill="1" applyBorder="1" applyAlignment="1">
      <alignment horizontal="center" vertical="center" wrapText="1"/>
    </xf>
    <xf numFmtId="10" fontId="25" fillId="24" borderId="143" xfId="82" applyNumberFormat="1" applyFont="1" applyFill="1" applyBorder="1" applyAlignment="1">
      <alignment horizontal="center" vertical="center" wrapText="1"/>
    </xf>
    <xf numFmtId="9" fontId="25" fillId="24" borderId="144" xfId="82" applyFont="1" applyFill="1" applyBorder="1" applyAlignment="1">
      <alignment horizontal="center" vertical="center" wrapText="1"/>
    </xf>
    <xf numFmtId="0" fontId="90" fillId="0" borderId="130" xfId="143" applyFont="1" applyBorder="1" applyAlignment="1">
      <alignment horizontal="left" vertical="center" wrapText="1"/>
    </xf>
    <xf numFmtId="171" fontId="90" fillId="0" borderId="130" xfId="143" applyNumberFormat="1" applyFont="1" applyBorder="1" applyAlignment="1">
      <alignment horizontal="center" vertical="center"/>
    </xf>
    <xf numFmtId="175" fontId="90" fillId="55" borderId="130" xfId="143" applyNumberFormat="1" applyFont="1" applyFill="1" applyBorder="1" applyAlignment="1">
      <alignment horizontal="center" vertical="center"/>
    </xf>
    <xf numFmtId="0" fontId="90" fillId="0" borderId="130" xfId="143" applyFont="1" applyBorder="1" applyAlignment="1">
      <alignment horizontal="center" vertical="center"/>
    </xf>
    <xf numFmtId="0" fontId="48" fillId="0" borderId="130" xfId="0" applyFont="1" applyBorder="1" applyAlignment="1">
      <alignment horizontal="center" vertical="center" wrapText="1"/>
    </xf>
    <xf numFmtId="170" fontId="48" fillId="0" borderId="144" xfId="0" applyNumberFormat="1" applyFont="1" applyBorder="1" applyAlignment="1">
      <alignment horizontal="center" vertical="center" wrapText="1"/>
    </xf>
    <xf numFmtId="0" fontId="34" fillId="0" borderId="145" xfId="0" applyFont="1" applyBorder="1" applyAlignment="1">
      <alignment horizontal="left" vertical="top" wrapText="1"/>
    </xf>
    <xf numFmtId="0" fontId="48" fillId="36" borderId="130" xfId="0" applyFont="1" applyFill="1" applyBorder="1" applyAlignment="1">
      <alignment horizontal="center" vertical="center" wrapText="1"/>
    </xf>
    <xf numFmtId="0" fontId="48" fillId="36" borderId="144" xfId="0" applyFont="1" applyFill="1" applyBorder="1" applyAlignment="1">
      <alignment horizontal="center" vertical="center" wrapText="1"/>
    </xf>
    <xf numFmtId="174" fontId="65" fillId="0" borderId="99" xfId="149" applyNumberFormat="1" applyFont="1" applyBorder="1" applyAlignment="1">
      <alignment horizontal="center" vertical="center" wrapText="1"/>
    </xf>
    <xf numFmtId="10" fontId="26" fillId="24" borderId="0" xfId="82" applyNumberFormat="1" applyFont="1" applyFill="1"/>
    <xf numFmtId="171" fontId="91" fillId="57" borderId="125" xfId="143" applyNumberFormat="1" applyFont="1" applyFill="1" applyBorder="1" applyAlignment="1">
      <alignment horizontal="center" vertical="center"/>
    </xf>
    <xf numFmtId="171" fontId="91" fillId="57" borderId="128" xfId="143" applyNumberFormat="1" applyFont="1" applyFill="1" applyBorder="1" applyAlignment="1">
      <alignment horizontal="center" vertical="center"/>
    </xf>
    <xf numFmtId="0" fontId="70" fillId="0" borderId="101" xfId="0" applyFont="1" applyBorder="1" applyAlignment="1">
      <alignment vertical="center" wrapText="1"/>
    </xf>
    <xf numFmtId="44" fontId="70" fillId="0" borderId="101" xfId="158" applyFont="1" applyBorder="1" applyAlignment="1">
      <alignment vertical="center"/>
    </xf>
    <xf numFmtId="0" fontId="93" fillId="57" borderId="154" xfId="0" applyFont="1" applyFill="1" applyBorder="1" applyAlignment="1">
      <alignment vertical="center" wrapText="1"/>
    </xf>
    <xf numFmtId="0" fontId="93" fillId="57" borderId="157" xfId="0" applyFont="1" applyFill="1" applyBorder="1" applyAlignment="1">
      <alignment vertical="center" wrapText="1"/>
    </xf>
    <xf numFmtId="0" fontId="94" fillId="48" borderId="160" xfId="0" applyFont="1" applyFill="1" applyBorder="1" applyAlignment="1">
      <alignment horizontal="center" vertical="center" wrapText="1"/>
    </xf>
    <xf numFmtId="0" fontId="94" fillId="48" borderId="161" xfId="0" applyFont="1" applyFill="1" applyBorder="1" applyAlignment="1">
      <alignment horizontal="center" vertical="center" wrapText="1"/>
    </xf>
    <xf numFmtId="0" fontId="94" fillId="48" borderId="162" xfId="0" applyFont="1" applyFill="1" applyBorder="1" applyAlignment="1">
      <alignment horizontal="center" vertical="center" wrapText="1"/>
    </xf>
    <xf numFmtId="44" fontId="97" fillId="60" borderId="155" xfId="64" applyFont="1" applyFill="1" applyBorder="1" applyAlignment="1">
      <alignment horizontal="center" vertical="center"/>
    </xf>
    <xf numFmtId="44" fontId="97" fillId="0" borderId="155" xfId="64" applyFont="1" applyBorder="1" applyAlignment="1">
      <alignment vertical="center"/>
    </xf>
    <xf numFmtId="44" fontId="97" fillId="60" borderId="155" xfId="64" applyFont="1" applyFill="1" applyBorder="1" applyAlignment="1">
      <alignment vertical="center"/>
    </xf>
    <xf numFmtId="44" fontId="97" fillId="0" borderId="155" xfId="64" applyFont="1" applyBorder="1" applyAlignment="1">
      <alignment horizontal="center" vertical="center"/>
    </xf>
    <xf numFmtId="44" fontId="64" fillId="0" borderId="104" xfId="0" applyNumberFormat="1" applyFont="1" applyBorder="1" applyAlignment="1">
      <alignment horizontal="center" vertical="center"/>
    </xf>
    <xf numFmtId="44" fontId="70" fillId="0" borderId="104" xfId="0" applyNumberFormat="1" applyFont="1" applyBorder="1" applyAlignment="1">
      <alignment horizontal="center" vertical="center"/>
    </xf>
    <xf numFmtId="43" fontId="32" fillId="0" borderId="0" xfId="121" applyFont="1" applyFill="1" applyAlignment="1">
      <alignment vertical="center"/>
    </xf>
    <xf numFmtId="10" fontId="32" fillId="0" borderId="0" xfId="154" applyNumberFormat="1" applyFont="1" applyFill="1" applyAlignment="1">
      <alignment vertical="center"/>
    </xf>
    <xf numFmtId="44" fontId="75" fillId="0" borderId="0" xfId="154" applyNumberFormat="1" applyFont="1" applyFill="1" applyAlignment="1">
      <alignment vertical="center"/>
    </xf>
    <xf numFmtId="0" fontId="64" fillId="0" borderId="0" xfId="0" applyFont="1" applyAlignment="1">
      <alignment horizontal="center" vertical="center" wrapText="1"/>
    </xf>
    <xf numFmtId="0" fontId="70" fillId="0" borderId="101" xfId="0" applyFont="1" applyBorder="1" applyAlignment="1">
      <alignment horizontal="center" vertical="center"/>
    </xf>
    <xf numFmtId="0" fontId="70" fillId="0" borderId="101" xfId="0" applyFont="1" applyBorder="1" applyAlignment="1">
      <alignment vertical="center"/>
    </xf>
    <xf numFmtId="44" fontId="97" fillId="0" borderId="156" xfId="64" applyFont="1" applyBorder="1" applyAlignment="1">
      <alignment vertical="center"/>
    </xf>
    <xf numFmtId="44" fontId="97" fillId="60" borderId="156" xfId="64" applyFont="1" applyFill="1" applyBorder="1" applyAlignment="1">
      <alignment vertical="center"/>
    </xf>
    <xf numFmtId="0" fontId="93" fillId="57" borderId="151" xfId="0" applyFont="1" applyFill="1" applyBorder="1" applyAlignment="1">
      <alignment vertical="center" wrapText="1"/>
    </xf>
    <xf numFmtId="44" fontId="97" fillId="0" borderId="152" xfId="64" applyFont="1" applyBorder="1" applyAlignment="1">
      <alignment vertical="center"/>
    </xf>
    <xf numFmtId="44" fontId="97" fillId="0" borderId="153" xfId="64" applyFont="1" applyBorder="1" applyAlignment="1">
      <alignment vertical="center"/>
    </xf>
    <xf numFmtId="0" fontId="93" fillId="49" borderId="160" xfId="0" applyFont="1" applyFill="1" applyBorder="1" applyAlignment="1">
      <alignment horizontal="center" vertical="center" wrapText="1"/>
    </xf>
    <xf numFmtId="0" fontId="93" fillId="49" borderId="161" xfId="0" applyFont="1" applyFill="1" applyBorder="1" applyAlignment="1">
      <alignment horizontal="center" vertical="center" wrapText="1"/>
    </xf>
    <xf numFmtId="0" fontId="93" fillId="49" borderId="162" xfId="0" applyFont="1" applyFill="1" applyBorder="1" applyAlignment="1">
      <alignment horizontal="center" vertical="center" wrapText="1"/>
    </xf>
    <xf numFmtId="0" fontId="98" fillId="0" borderId="160" xfId="0" applyFont="1" applyBorder="1" applyAlignment="1">
      <alignment horizontal="center" vertical="center" wrapText="1"/>
    </xf>
    <xf numFmtId="44" fontId="98" fillId="0" borderId="161" xfId="64" applyFont="1" applyFill="1" applyBorder="1" applyAlignment="1">
      <alignment horizontal="center" vertical="center" wrapText="1"/>
    </xf>
    <xf numFmtId="44" fontId="98" fillId="0" borderId="162" xfId="64" applyFont="1" applyFill="1" applyBorder="1" applyAlignment="1">
      <alignment horizontal="center" vertical="center" wrapText="1"/>
    </xf>
    <xf numFmtId="0" fontId="100" fillId="12" borderId="167" xfId="25" applyFont="1" applyBorder="1" applyAlignment="1">
      <alignment horizontal="right" vertical="center" wrapText="1"/>
    </xf>
    <xf numFmtId="170" fontId="100" fillId="12" borderId="129" xfId="25" applyNumberFormat="1" applyFont="1" applyBorder="1" applyAlignment="1">
      <alignment horizontal="center" vertical="center"/>
    </xf>
    <xf numFmtId="0" fontId="66" fillId="0" borderId="167" xfId="0" applyFont="1" applyBorder="1" applyAlignment="1">
      <alignment vertical="center" wrapText="1"/>
    </xf>
    <xf numFmtId="44" fontId="66" fillId="0" borderId="129" xfId="0" applyNumberFormat="1" applyFont="1" applyBorder="1" applyAlignment="1">
      <alignment horizontal="center" vertical="center"/>
    </xf>
    <xf numFmtId="44" fontId="66" fillId="0" borderId="168" xfId="0" applyNumberFormat="1" applyFont="1" applyBorder="1" applyAlignment="1">
      <alignment horizontal="center" vertical="center"/>
    </xf>
    <xf numFmtId="0" fontId="66" fillId="0" borderId="167" xfId="0" applyFont="1" applyBorder="1" applyAlignment="1">
      <alignment vertical="center"/>
    </xf>
    <xf numFmtId="43" fontId="66" fillId="0" borderId="129" xfId="121" applyFont="1" applyBorder="1" applyAlignment="1">
      <alignment vertical="center"/>
    </xf>
    <xf numFmtId="43" fontId="66" fillId="0" borderId="168" xfId="121" applyFont="1" applyBorder="1" applyAlignment="1">
      <alignment vertical="center"/>
    </xf>
    <xf numFmtId="0" fontId="66" fillId="0" borderId="165" xfId="0" applyFont="1" applyBorder="1" applyAlignment="1">
      <alignment vertical="center"/>
    </xf>
    <xf numFmtId="10" fontId="66" fillId="0" borderId="148" xfId="154" applyNumberFormat="1" applyFont="1" applyBorder="1" applyAlignment="1">
      <alignment vertical="center"/>
    </xf>
    <xf numFmtId="10" fontId="66" fillId="0" borderId="166" xfId="154" applyNumberFormat="1" applyFont="1" applyBorder="1" applyAlignment="1">
      <alignment vertical="center"/>
    </xf>
    <xf numFmtId="0" fontId="95" fillId="0" borderId="165" xfId="0" applyFont="1" applyBorder="1" applyAlignment="1">
      <alignment vertical="center"/>
    </xf>
    <xf numFmtId="44" fontId="83" fillId="0" borderId="148" xfId="154" applyNumberFormat="1" applyFont="1" applyBorder="1" applyAlignment="1">
      <alignment vertical="center"/>
    </xf>
    <xf numFmtId="0" fontId="95" fillId="0" borderId="163" xfId="0" applyFont="1" applyBorder="1" applyAlignment="1">
      <alignment vertical="center"/>
    </xf>
    <xf numFmtId="44" fontId="83" fillId="0" borderId="164" xfId="154" applyNumberFormat="1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0" fontId="30" fillId="29" borderId="86" xfId="0" applyFont="1" applyFill="1" applyBorder="1" applyAlignment="1">
      <alignment vertical="center"/>
    </xf>
    <xf numFmtId="0" fontId="70" fillId="0" borderId="171" xfId="0" applyFont="1" applyBorder="1" applyAlignment="1">
      <alignment vertical="center"/>
    </xf>
    <xf numFmtId="44" fontId="70" fillId="0" borderId="0" xfId="0" applyNumberFormat="1" applyFont="1" applyAlignment="1">
      <alignment vertical="center"/>
    </xf>
    <xf numFmtId="44" fontId="64" fillId="0" borderId="0" xfId="0" applyNumberFormat="1" applyFont="1" applyAlignment="1">
      <alignment horizontal="center" vertical="center"/>
    </xf>
    <xf numFmtId="44" fontId="70" fillId="0" borderId="0" xfId="0" applyNumberFormat="1" applyFont="1" applyAlignment="1">
      <alignment horizontal="center" vertical="center"/>
    </xf>
    <xf numFmtId="43" fontId="32" fillId="0" borderId="0" xfId="121" applyFont="1" applyFill="1" applyBorder="1" applyAlignment="1">
      <alignment vertical="center"/>
    </xf>
    <xf numFmtId="10" fontId="32" fillId="0" borderId="0" xfId="154" applyNumberFormat="1" applyFont="1" applyFill="1" applyBorder="1" applyAlignment="1">
      <alignment vertical="center"/>
    </xf>
    <xf numFmtId="44" fontId="75" fillId="0" borderId="0" xfId="154" applyNumberFormat="1" applyFont="1" applyFill="1" applyBorder="1" applyAlignment="1">
      <alignment vertical="center"/>
    </xf>
    <xf numFmtId="0" fontId="101" fillId="0" borderId="0" xfId="0" applyFont="1" applyAlignment="1">
      <alignment vertical="center" wrapText="1"/>
    </xf>
    <xf numFmtId="0" fontId="101" fillId="60" borderId="147" xfId="0" applyFont="1" applyFill="1" applyBorder="1" applyAlignment="1">
      <alignment vertical="center" wrapText="1"/>
    </xf>
    <xf numFmtId="0" fontId="94" fillId="0" borderId="148" xfId="0" applyFont="1" applyBorder="1" applyAlignment="1">
      <alignment horizontal="right" vertical="center" wrapText="1"/>
    </xf>
    <xf numFmtId="0" fontId="93" fillId="60" borderId="148" xfId="0" applyFont="1" applyFill="1" applyBorder="1" applyAlignment="1">
      <alignment horizontal="center" vertical="center" wrapText="1"/>
    </xf>
    <xf numFmtId="0" fontId="93" fillId="49" borderId="149" xfId="0" applyFont="1" applyFill="1" applyBorder="1" applyAlignment="1">
      <alignment horizontal="center" vertical="center" wrapText="1"/>
    </xf>
    <xf numFmtId="0" fontId="93" fillId="49" borderId="148" xfId="0" applyFont="1" applyFill="1" applyBorder="1" applyAlignment="1">
      <alignment horizontal="center" vertical="center" wrapText="1"/>
    </xf>
    <xf numFmtId="0" fontId="93" fillId="49" borderId="150" xfId="0" applyFont="1" applyFill="1" applyBorder="1" applyAlignment="1">
      <alignment horizontal="center" vertical="center" wrapText="1"/>
    </xf>
    <xf numFmtId="0" fontId="96" fillId="0" borderId="0" xfId="0" applyFont="1" applyAlignment="1">
      <alignment horizontal="center" vertical="center"/>
    </xf>
    <xf numFmtId="44" fontId="96" fillId="0" borderId="0" xfId="158" applyFont="1" applyBorder="1" applyAlignment="1">
      <alignment vertical="center"/>
    </xf>
    <xf numFmtId="44" fontId="96" fillId="60" borderId="101" xfId="158" applyFont="1" applyFill="1" applyBorder="1" applyAlignment="1">
      <alignment vertical="center"/>
    </xf>
    <xf numFmtId="44" fontId="96" fillId="60" borderId="105" xfId="158" applyFont="1" applyFill="1" applyBorder="1" applyAlignment="1">
      <alignment vertical="center"/>
    </xf>
    <xf numFmtId="0" fontId="96" fillId="60" borderId="104" xfId="0" applyFont="1" applyFill="1" applyBorder="1" applyAlignment="1">
      <alignment vertical="center"/>
    </xf>
    <xf numFmtId="0" fontId="96" fillId="60" borderId="105" xfId="0" applyFont="1" applyFill="1" applyBorder="1" applyAlignment="1">
      <alignment vertical="center"/>
    </xf>
    <xf numFmtId="0" fontId="96" fillId="60" borderId="106" xfId="0" applyFont="1" applyFill="1" applyBorder="1" applyAlignment="1">
      <alignment vertical="center"/>
    </xf>
    <xf numFmtId="0" fontId="70" fillId="0" borderId="105" xfId="0" applyFont="1" applyBorder="1" applyAlignment="1">
      <alignment horizontal="center" vertical="center"/>
    </xf>
    <xf numFmtId="0" fontId="70" fillId="0" borderId="106" xfId="0" applyFont="1" applyBorder="1" applyAlignment="1">
      <alignment horizontal="center" vertical="center"/>
    </xf>
    <xf numFmtId="43" fontId="70" fillId="0" borderId="104" xfId="121" applyFont="1" applyBorder="1" applyAlignment="1">
      <alignment vertical="center"/>
    </xf>
    <xf numFmtId="44" fontId="70" fillId="50" borderId="104" xfId="0" applyNumberFormat="1" applyFont="1" applyFill="1" applyBorder="1" applyAlignment="1">
      <alignment horizontal="center" vertical="center"/>
    </xf>
    <xf numFmtId="0" fontId="81" fillId="0" borderId="0" xfId="149" applyFont="1" applyAlignment="1">
      <alignment wrapText="1"/>
    </xf>
    <xf numFmtId="0" fontId="102" fillId="0" borderId="28" xfId="149" applyFont="1" applyBorder="1" applyAlignment="1">
      <alignment horizontal="left" vertical="center" wrapText="1"/>
    </xf>
    <xf numFmtId="0" fontId="102" fillId="54" borderId="98" xfId="149" applyFont="1" applyFill="1" applyBorder="1" applyAlignment="1">
      <alignment horizontal="left" vertical="center" wrapText="1"/>
    </xf>
    <xf numFmtId="165" fontId="72" fillId="0" borderId="112" xfId="125" applyFont="1" applyFill="1" applyBorder="1" applyAlignment="1">
      <alignment vertical="center" wrapText="1" shrinkToFit="1"/>
    </xf>
    <xf numFmtId="0" fontId="93" fillId="57" borderId="172" xfId="0" applyFont="1" applyFill="1" applyBorder="1" applyAlignment="1">
      <alignment vertical="center" wrapText="1"/>
    </xf>
    <xf numFmtId="44" fontId="97" fillId="0" borderId="158" xfId="64" applyFont="1" applyFill="1" applyBorder="1" applyAlignment="1">
      <alignment vertical="center"/>
    </xf>
    <xf numFmtId="44" fontId="97" fillId="0" borderId="158" xfId="64" applyFont="1" applyFill="1" applyBorder="1" applyAlignment="1">
      <alignment horizontal="center" vertical="center"/>
    </xf>
    <xf numFmtId="44" fontId="97" fillId="0" borderId="159" xfId="64" applyFont="1" applyFill="1" applyBorder="1" applyAlignment="1">
      <alignment vertical="center"/>
    </xf>
    <xf numFmtId="44" fontId="97" fillId="60" borderId="173" xfId="64" applyFont="1" applyFill="1" applyBorder="1" applyAlignment="1">
      <alignment vertical="center"/>
    </xf>
    <xf numFmtId="44" fontId="97" fillId="60" borderId="174" xfId="64" applyFont="1" applyFill="1" applyBorder="1" applyAlignment="1">
      <alignment vertical="center"/>
    </xf>
    <xf numFmtId="176" fontId="58" fillId="0" borderId="86" xfId="64" applyNumberFormat="1" applyFont="1" applyBorder="1" applyAlignment="1">
      <alignment horizontal="center" vertical="center"/>
    </xf>
    <xf numFmtId="176" fontId="36" fillId="0" borderId="86" xfId="0" applyNumberFormat="1" applyFont="1" applyBorder="1" applyAlignment="1">
      <alignment horizontal="center" vertical="center"/>
    </xf>
    <xf numFmtId="176" fontId="58" fillId="0" borderId="86" xfId="157" applyNumberFormat="1" applyFont="1" applyBorder="1" applyAlignment="1">
      <alignment horizontal="center" vertical="center"/>
    </xf>
    <xf numFmtId="176" fontId="0" fillId="0" borderId="86" xfId="0" applyNumberFormat="1" applyBorder="1" applyAlignment="1">
      <alignment horizontal="center" vertical="center"/>
    </xf>
    <xf numFmtId="176" fontId="58" fillId="0" borderId="86" xfId="64" applyNumberFormat="1" applyFont="1" applyFill="1" applyBorder="1" applyAlignment="1">
      <alignment horizontal="center" vertical="center"/>
    </xf>
    <xf numFmtId="176" fontId="58" fillId="0" borderId="86" xfId="157" applyNumberFormat="1" applyFont="1" applyFill="1" applyBorder="1" applyAlignment="1">
      <alignment horizontal="center" vertical="center"/>
    </xf>
    <xf numFmtId="175" fontId="35" fillId="45" borderId="86" xfId="0" applyNumberFormat="1" applyFont="1" applyFill="1" applyBorder="1" applyAlignment="1">
      <alignment horizontal="center" vertical="center"/>
    </xf>
    <xf numFmtId="175" fontId="30" fillId="29" borderId="86" xfId="0" applyNumberFormat="1" applyFont="1" applyFill="1" applyBorder="1"/>
    <xf numFmtId="175" fontId="0" fillId="0" borderId="0" xfId="0" applyNumberFormat="1"/>
    <xf numFmtId="43" fontId="103" fillId="0" borderId="0" xfId="121" applyFont="1"/>
    <xf numFmtId="177" fontId="103" fillId="0" borderId="0" xfId="121" applyNumberFormat="1" applyFont="1"/>
    <xf numFmtId="0" fontId="64" fillId="48" borderId="22" xfId="0" applyFont="1" applyFill="1" applyBorder="1" applyAlignment="1">
      <alignment horizontal="center" vertical="center" wrapText="1"/>
    </xf>
    <xf numFmtId="0" fontId="64" fillId="48" borderId="0" xfId="0" applyFont="1" applyFill="1" applyAlignment="1">
      <alignment horizontal="center" vertical="center" wrapText="1"/>
    </xf>
    <xf numFmtId="0" fontId="64" fillId="48" borderId="49" xfId="0" applyFont="1" applyFill="1" applyBorder="1" applyAlignment="1">
      <alignment horizontal="center" vertical="center" wrapText="1"/>
    </xf>
    <xf numFmtId="0" fontId="70" fillId="49" borderId="85" xfId="0" applyFont="1" applyFill="1" applyBorder="1" applyAlignment="1">
      <alignment horizontal="center" vertical="center"/>
    </xf>
    <xf numFmtId="0" fontId="70" fillId="49" borderId="84" xfId="0" applyFont="1" applyFill="1" applyBorder="1" applyAlignment="1">
      <alignment horizontal="center" vertical="center"/>
    </xf>
    <xf numFmtId="0" fontId="70" fillId="49" borderId="85" xfId="0" applyFont="1" applyFill="1" applyBorder="1" applyAlignment="1">
      <alignment horizontal="center" vertical="center" wrapText="1"/>
    </xf>
    <xf numFmtId="0" fontId="70" fillId="49" borderId="86" xfId="0" applyFont="1" applyFill="1" applyBorder="1" applyAlignment="1">
      <alignment horizontal="center" vertical="center"/>
    </xf>
    <xf numFmtId="0" fontId="64" fillId="48" borderId="57" xfId="0" applyFont="1" applyFill="1" applyBorder="1" applyAlignment="1">
      <alignment horizontal="center" vertical="center" wrapText="1"/>
    </xf>
    <xf numFmtId="0" fontId="64" fillId="48" borderId="58" xfId="0" applyFont="1" applyFill="1" applyBorder="1" applyAlignment="1">
      <alignment horizontal="center" vertical="center" wrapText="1"/>
    </xf>
    <xf numFmtId="0" fontId="99" fillId="12" borderId="169" xfId="25" applyFont="1" applyBorder="1" applyAlignment="1">
      <alignment horizontal="center" vertical="center" textRotation="90"/>
    </xf>
    <xf numFmtId="0" fontId="94" fillId="48" borderId="170" xfId="0" applyFont="1" applyFill="1" applyBorder="1" applyAlignment="1">
      <alignment horizontal="center" vertical="center" wrapText="1"/>
    </xf>
    <xf numFmtId="0" fontId="94" fillId="48" borderId="146" xfId="0" applyFont="1" applyFill="1" applyBorder="1" applyAlignment="1">
      <alignment horizontal="center" vertical="center" wrapText="1"/>
    </xf>
    <xf numFmtId="0" fontId="35" fillId="45" borderId="86" xfId="0" applyFont="1" applyFill="1" applyBorder="1" applyAlignment="1">
      <alignment horizontal="center" vertical="center" wrapText="1"/>
    </xf>
    <xf numFmtId="0" fontId="30" fillId="29" borderId="84" xfId="0" applyFont="1" applyFill="1" applyBorder="1" applyAlignment="1">
      <alignment horizontal="center" vertical="center"/>
    </xf>
    <xf numFmtId="0" fontId="30" fillId="29" borderId="87" xfId="0" applyFont="1" applyFill="1" applyBorder="1" applyAlignment="1">
      <alignment horizontal="center" vertical="center"/>
    </xf>
    <xf numFmtId="0" fontId="30" fillId="29" borderId="85" xfId="0" applyFont="1" applyFill="1" applyBorder="1" applyAlignment="1">
      <alignment horizontal="center" vertical="center"/>
    </xf>
    <xf numFmtId="0" fontId="30" fillId="39" borderId="93" xfId="0" applyFont="1" applyFill="1" applyBorder="1" applyAlignment="1">
      <alignment horizontal="right" vertical="center"/>
    </xf>
    <xf numFmtId="0" fontId="30" fillId="39" borderId="94" xfId="0" applyFont="1" applyFill="1" applyBorder="1" applyAlignment="1">
      <alignment horizontal="right" vertical="center"/>
    </xf>
    <xf numFmtId="0" fontId="36" fillId="0" borderId="56" xfId="0" applyFont="1" applyBorder="1" applyAlignment="1">
      <alignment horizontal="justify" vertical="center" wrapText="1"/>
    </xf>
    <xf numFmtId="0" fontId="35" fillId="44" borderId="130" xfId="0" applyFont="1" applyFill="1" applyBorder="1" applyAlignment="1">
      <alignment horizontal="center" vertical="center" wrapText="1"/>
    </xf>
    <xf numFmtId="0" fontId="35" fillId="44" borderId="56" xfId="0" applyFont="1" applyFill="1" applyBorder="1" applyAlignment="1">
      <alignment horizontal="center" vertical="center" wrapText="1"/>
    </xf>
    <xf numFmtId="0" fontId="0" fillId="43" borderId="86" xfId="0" applyFill="1" applyBorder="1" applyAlignment="1">
      <alignment horizontal="center" vertical="center"/>
    </xf>
    <xf numFmtId="0" fontId="35" fillId="0" borderId="86" xfId="0" applyFont="1" applyBorder="1" applyAlignment="1">
      <alignment horizontal="left"/>
    </xf>
    <xf numFmtId="0" fontId="35" fillId="0" borderId="86" xfId="0" applyFont="1" applyBorder="1" applyAlignment="1">
      <alignment horizontal="center" vertical="center"/>
    </xf>
    <xf numFmtId="0" fontId="35" fillId="44" borderId="86" xfId="0" applyFont="1" applyFill="1" applyBorder="1" applyAlignment="1">
      <alignment horizontal="center" vertical="center" wrapText="1"/>
    </xf>
    <xf numFmtId="0" fontId="35" fillId="44" borderId="86" xfId="0" applyFont="1" applyFill="1" applyBorder="1" applyAlignment="1">
      <alignment horizontal="center" vertical="center" textRotation="90" wrapText="1"/>
    </xf>
    <xf numFmtId="0" fontId="35" fillId="29" borderId="86" xfId="0" applyFont="1" applyFill="1" applyBorder="1" applyAlignment="1">
      <alignment horizontal="center"/>
    </xf>
    <xf numFmtId="0" fontId="35" fillId="0" borderId="86" xfId="0" applyFont="1" applyBorder="1" applyAlignment="1">
      <alignment horizontal="center"/>
    </xf>
    <xf numFmtId="0" fontId="38" fillId="0" borderId="84" xfId="0" applyFont="1" applyBorder="1" applyAlignment="1">
      <alignment wrapText="1"/>
    </xf>
    <xf numFmtId="0" fontId="38" fillId="0" borderId="85" xfId="0" applyFont="1" applyBorder="1" applyAlignment="1">
      <alignment wrapText="1"/>
    </xf>
    <xf numFmtId="0" fontId="38" fillId="30" borderId="0" xfId="0" applyFont="1" applyFill="1" applyAlignment="1">
      <alignment horizontal="center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9" fillId="29" borderId="130" xfId="0" applyFont="1" applyFill="1" applyBorder="1" applyAlignment="1">
      <alignment horizontal="center" vertical="center" wrapText="1"/>
    </xf>
    <xf numFmtId="0" fontId="39" fillId="29" borderId="56" xfId="0" applyFont="1" applyFill="1" applyBorder="1" applyAlignment="1">
      <alignment horizontal="center" vertical="center" wrapText="1"/>
    </xf>
    <xf numFmtId="0" fontId="39" fillId="29" borderId="47" xfId="0" applyFont="1" applyFill="1" applyBorder="1" applyAlignment="1">
      <alignment horizontal="center" vertical="center" wrapText="1"/>
    </xf>
    <xf numFmtId="0" fontId="38" fillId="35" borderId="84" xfId="0" applyFont="1" applyFill="1" applyBorder="1"/>
    <xf numFmtId="0" fontId="38" fillId="35" borderId="87" xfId="0" applyFont="1" applyFill="1" applyBorder="1"/>
    <xf numFmtId="0" fontId="38" fillId="35" borderId="85" xfId="0" applyFont="1" applyFill="1" applyBorder="1"/>
    <xf numFmtId="0" fontId="38" fillId="29" borderId="24" xfId="0" applyFont="1" applyFill="1" applyBorder="1" applyAlignment="1">
      <alignment horizontal="center" vertical="center" wrapText="1"/>
    </xf>
    <xf numFmtId="0" fontId="38" fillId="29" borderId="28" xfId="0" applyFont="1" applyFill="1" applyBorder="1" applyAlignment="1">
      <alignment horizontal="center" vertical="center" wrapText="1"/>
    </xf>
    <xf numFmtId="171" fontId="49" fillId="29" borderId="88" xfId="0" applyNumberFormat="1" applyFont="1" applyFill="1" applyBorder="1" applyAlignment="1">
      <alignment horizontal="center" vertical="center"/>
    </xf>
    <xf numFmtId="171" fontId="49" fillId="29" borderId="50" xfId="0" applyNumberFormat="1" applyFont="1" applyFill="1" applyBorder="1" applyAlignment="1">
      <alignment horizontal="center" vertical="center"/>
    </xf>
    <xf numFmtId="171" fontId="49" fillId="29" borderId="51" xfId="0" applyNumberFormat="1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wrapText="1"/>
    </xf>
    <xf numFmtId="0" fontId="25" fillId="24" borderId="84" xfId="0" applyFont="1" applyFill="1" applyBorder="1" applyAlignment="1">
      <alignment horizontal="left" vertical="center"/>
    </xf>
    <xf numFmtId="0" fontId="25" fillId="24" borderId="85" xfId="0" applyFont="1" applyFill="1" applyBorder="1" applyAlignment="1">
      <alignment horizontal="left" vertical="center"/>
    </xf>
    <xf numFmtId="0" fontId="25" fillId="24" borderId="23" xfId="0" applyFont="1" applyFill="1" applyBorder="1" applyAlignment="1">
      <alignment horizontal="left" vertical="center" wrapText="1"/>
    </xf>
    <xf numFmtId="0" fontId="26" fillId="25" borderId="23" xfId="0" applyFont="1" applyFill="1" applyBorder="1" applyAlignment="1">
      <alignment horizontal="center" vertical="center" wrapText="1"/>
    </xf>
    <xf numFmtId="0" fontId="26" fillId="25" borderId="11" xfId="0" applyFont="1" applyFill="1" applyBorder="1" applyAlignment="1">
      <alignment horizontal="center" vertical="center" wrapText="1"/>
    </xf>
    <xf numFmtId="0" fontId="26" fillId="25" borderId="12" xfId="0" applyFont="1" applyFill="1" applyBorder="1" applyAlignment="1">
      <alignment horizontal="center" vertical="center" wrapText="1"/>
    </xf>
    <xf numFmtId="0" fontId="26" fillId="25" borderId="15" xfId="0" applyFont="1" applyFill="1" applyBorder="1" applyAlignment="1">
      <alignment horizontal="center" vertical="center" wrapText="1"/>
    </xf>
    <xf numFmtId="0" fontId="26" fillId="25" borderId="23" xfId="0" applyFont="1" applyFill="1" applyBorder="1" applyAlignment="1">
      <alignment horizontal="center" vertical="center"/>
    </xf>
    <xf numFmtId="0" fontId="25" fillId="24" borderId="56" xfId="0" applyFont="1" applyFill="1" applyBorder="1" applyAlignment="1">
      <alignment horizontal="left" wrapText="1"/>
    </xf>
    <xf numFmtId="0" fontId="25" fillId="24" borderId="86" xfId="0" applyFont="1" applyFill="1" applyBorder="1" applyAlignment="1">
      <alignment horizontal="left" wrapText="1"/>
    </xf>
    <xf numFmtId="0" fontId="26" fillId="24" borderId="14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25" borderId="86" xfId="0" applyFont="1" applyFill="1" applyBorder="1" applyAlignment="1">
      <alignment horizontal="center" wrapText="1"/>
    </xf>
    <xf numFmtId="0" fontId="26" fillId="25" borderId="11" xfId="0" applyFont="1" applyFill="1" applyBorder="1" applyAlignment="1">
      <alignment horizontal="center" wrapText="1"/>
    </xf>
    <xf numFmtId="0" fontId="26" fillId="25" borderId="12" xfId="0" applyFont="1" applyFill="1" applyBorder="1" applyAlignment="1">
      <alignment horizontal="center" wrapText="1"/>
    </xf>
    <xf numFmtId="0" fontId="26" fillId="25" borderId="15" xfId="0" applyFont="1" applyFill="1" applyBorder="1" applyAlignment="1">
      <alignment horizontal="center" wrapText="1"/>
    </xf>
    <xf numFmtId="0" fontId="26" fillId="25" borderId="84" xfId="0" applyFont="1" applyFill="1" applyBorder="1" applyAlignment="1">
      <alignment horizontal="center" vertical="center"/>
    </xf>
    <xf numFmtId="0" fontId="26" fillId="25" borderId="87" xfId="0" applyFont="1" applyFill="1" applyBorder="1" applyAlignment="1">
      <alignment horizontal="center" vertical="center"/>
    </xf>
    <xf numFmtId="0" fontId="26" fillId="25" borderId="85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5" borderId="23" xfId="0" applyFont="1" applyFill="1" applyBorder="1" applyAlignment="1">
      <alignment horizontal="left" vertical="center"/>
    </xf>
    <xf numFmtId="0" fontId="26" fillId="25" borderId="23" xfId="0" applyFont="1" applyFill="1" applyBorder="1" applyAlignment="1">
      <alignment horizontal="left" vertical="center" wrapText="1"/>
    </xf>
    <xf numFmtId="0" fontId="26" fillId="25" borderId="23" xfId="0" applyFont="1" applyFill="1" applyBorder="1" applyAlignment="1">
      <alignment horizontal="left" wrapText="1"/>
    </xf>
    <xf numFmtId="0" fontId="25" fillId="24" borderId="57" xfId="0" applyFont="1" applyFill="1" applyBorder="1" applyAlignment="1">
      <alignment horizontal="left" wrapText="1"/>
    </xf>
    <xf numFmtId="0" fontId="25" fillId="24" borderId="59" xfId="0" applyFont="1" applyFill="1" applyBorder="1" applyAlignment="1">
      <alignment horizontal="left" wrapText="1"/>
    </xf>
    <xf numFmtId="0" fontId="25" fillId="24" borderId="84" xfId="0" applyFont="1" applyFill="1" applyBorder="1" applyAlignment="1">
      <alignment horizontal="left" wrapText="1"/>
    </xf>
    <xf numFmtId="0" fontId="25" fillId="24" borderId="87" xfId="0" applyFont="1" applyFill="1" applyBorder="1" applyAlignment="1">
      <alignment horizontal="left" wrapText="1"/>
    </xf>
    <xf numFmtId="0" fontId="26" fillId="25" borderId="55" xfId="0" applyFont="1" applyFill="1" applyBorder="1" applyAlignment="1">
      <alignment horizontal="center" vertical="center" wrapText="1"/>
    </xf>
    <xf numFmtId="0" fontId="26" fillId="25" borderId="87" xfId="0" applyFont="1" applyFill="1" applyBorder="1" applyAlignment="1">
      <alignment horizontal="center" vertical="center" wrapText="1"/>
    </xf>
    <xf numFmtId="0" fontId="26" fillId="25" borderId="85" xfId="0" applyFont="1" applyFill="1" applyBorder="1" applyAlignment="1">
      <alignment horizontal="center" vertical="center" wrapText="1"/>
    </xf>
    <xf numFmtId="0" fontId="25" fillId="24" borderId="56" xfId="0" applyFont="1" applyFill="1" applyBorder="1" applyAlignment="1">
      <alignment horizontal="left" vertical="center" wrapText="1"/>
    </xf>
    <xf numFmtId="0" fontId="25" fillId="24" borderId="86" xfId="0" applyFont="1" applyFill="1" applyBorder="1" applyAlignment="1">
      <alignment horizontal="left" vertical="center" wrapText="1"/>
    </xf>
    <xf numFmtId="0" fontId="25" fillId="24" borderId="85" xfId="0" applyFont="1" applyFill="1" applyBorder="1" applyAlignment="1">
      <alignment horizontal="left" wrapText="1"/>
    </xf>
    <xf numFmtId="0" fontId="26" fillId="25" borderId="91" xfId="0" applyFont="1" applyFill="1" applyBorder="1" applyAlignment="1">
      <alignment horizontal="center" vertical="center" wrapText="1"/>
    </xf>
    <xf numFmtId="0" fontId="26" fillId="25" borderId="139" xfId="0" applyFont="1" applyFill="1" applyBorder="1" applyAlignment="1">
      <alignment horizontal="center" vertical="center" wrapText="1"/>
    </xf>
    <xf numFmtId="0" fontId="26" fillId="27" borderId="42" xfId="0" applyFont="1" applyFill="1" applyBorder="1" applyAlignment="1">
      <alignment horizontal="center" vertical="center" wrapText="1"/>
    </xf>
    <xf numFmtId="0" fontId="26" fillId="27" borderId="17" xfId="0" applyFont="1" applyFill="1" applyBorder="1" applyAlignment="1">
      <alignment horizontal="center" vertical="center" wrapText="1"/>
    </xf>
    <xf numFmtId="0" fontId="26" fillId="27" borderId="41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left" vertical="center" wrapText="1"/>
    </xf>
    <xf numFmtId="0" fontId="25" fillId="24" borderId="19" xfId="0" applyFont="1" applyFill="1" applyBorder="1" applyAlignment="1">
      <alignment horizontal="left" vertical="center" wrapText="1"/>
    </xf>
    <xf numFmtId="0" fontId="26" fillId="27" borderId="20" xfId="0" applyFont="1" applyFill="1" applyBorder="1" applyAlignment="1">
      <alignment horizontal="center" vertical="center" wrapText="1"/>
    </xf>
    <xf numFmtId="0" fontId="26" fillId="27" borderId="19" xfId="0" applyFont="1" applyFill="1" applyBorder="1" applyAlignment="1">
      <alignment horizontal="center" vertical="center" wrapText="1"/>
    </xf>
    <xf numFmtId="0" fontId="26" fillId="24" borderId="44" xfId="0" applyFont="1" applyFill="1" applyBorder="1" applyAlignment="1">
      <alignment horizontal="center" vertical="center" wrapText="1"/>
    </xf>
    <xf numFmtId="0" fontId="26" fillId="24" borderId="45" xfId="0" applyFont="1" applyFill="1" applyBorder="1" applyAlignment="1">
      <alignment horizontal="center" vertical="center" wrapText="1"/>
    </xf>
    <xf numFmtId="0" fontId="26" fillId="24" borderId="46" xfId="0" applyFont="1" applyFill="1" applyBorder="1" applyAlignment="1">
      <alignment horizontal="center" vertical="center" wrapText="1"/>
    </xf>
    <xf numFmtId="0" fontId="26" fillId="24" borderId="36" xfId="0" applyFont="1" applyFill="1" applyBorder="1" applyAlignment="1">
      <alignment horizontal="center" vertical="center" wrapText="1"/>
    </xf>
    <xf numFmtId="0" fontId="26" fillId="24" borderId="37" xfId="0" applyFont="1" applyFill="1" applyBorder="1" applyAlignment="1">
      <alignment horizontal="center" vertical="center" wrapText="1"/>
    </xf>
    <xf numFmtId="0" fontId="25" fillId="24" borderId="57" xfId="0" applyFont="1" applyFill="1" applyBorder="1" applyAlignment="1">
      <alignment horizontal="left" vertical="center" wrapText="1"/>
    </xf>
    <xf numFmtId="0" fontId="25" fillId="24" borderId="59" xfId="0" applyFont="1" applyFill="1" applyBorder="1" applyAlignment="1">
      <alignment horizontal="left" vertical="center" wrapText="1"/>
    </xf>
    <xf numFmtId="0" fontId="25" fillId="24" borderId="84" xfId="0" applyFont="1" applyFill="1" applyBorder="1" applyAlignment="1">
      <alignment horizontal="left" vertical="center" wrapText="1"/>
    </xf>
    <xf numFmtId="0" fontId="25" fillId="24" borderId="87" xfId="0" applyFont="1" applyFill="1" applyBorder="1" applyAlignment="1">
      <alignment horizontal="left" vertical="center" wrapText="1"/>
    </xf>
    <xf numFmtId="0" fontId="25" fillId="24" borderId="135" xfId="0" applyFont="1" applyFill="1" applyBorder="1" applyAlignment="1">
      <alignment horizontal="left" vertical="center" wrapText="1"/>
    </xf>
    <xf numFmtId="0" fontId="25" fillId="24" borderId="136" xfId="0" applyFont="1" applyFill="1" applyBorder="1" applyAlignment="1">
      <alignment horizontal="left" vertical="center" wrapText="1"/>
    </xf>
    <xf numFmtId="0" fontId="25" fillId="24" borderId="133" xfId="0" applyFont="1" applyFill="1" applyBorder="1" applyAlignment="1">
      <alignment horizontal="left" vertical="center" wrapText="1"/>
    </xf>
    <xf numFmtId="0" fontId="25" fillId="24" borderId="134" xfId="0" applyFont="1" applyFill="1" applyBorder="1" applyAlignment="1">
      <alignment horizontal="left" vertical="center" wrapText="1"/>
    </xf>
    <xf numFmtId="0" fontId="25" fillId="24" borderId="137" xfId="0" applyFont="1" applyFill="1" applyBorder="1" applyAlignment="1">
      <alignment horizontal="left" vertical="center" wrapText="1"/>
    </xf>
    <xf numFmtId="0" fontId="25" fillId="24" borderId="138" xfId="0" applyFont="1" applyFill="1" applyBorder="1" applyAlignment="1">
      <alignment horizontal="left" vertical="center" wrapText="1"/>
    </xf>
    <xf numFmtId="0" fontId="26" fillId="25" borderId="86" xfId="0" applyFont="1" applyFill="1" applyBorder="1" applyAlignment="1">
      <alignment horizontal="center" vertical="center" wrapText="1"/>
    </xf>
    <xf numFmtId="0" fontId="25" fillId="24" borderId="60" xfId="0" applyFont="1" applyFill="1" applyBorder="1" applyAlignment="1">
      <alignment horizontal="left" vertical="center" wrapText="1"/>
    </xf>
    <xf numFmtId="0" fontId="25" fillId="24" borderId="61" xfId="0" applyFont="1" applyFill="1" applyBorder="1" applyAlignment="1">
      <alignment horizontal="left" vertical="center" wrapText="1"/>
    </xf>
    <xf numFmtId="0" fontId="25" fillId="24" borderId="58" xfId="0" applyFont="1" applyFill="1" applyBorder="1" applyAlignment="1">
      <alignment horizontal="left" vertical="center" wrapText="1"/>
    </xf>
    <xf numFmtId="0" fontId="26" fillId="25" borderId="84" xfId="0" applyFont="1" applyFill="1" applyBorder="1" applyAlignment="1">
      <alignment horizontal="center" vertical="center" wrapText="1"/>
    </xf>
    <xf numFmtId="14" fontId="25" fillId="28" borderId="86" xfId="0" applyNumberFormat="1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left" vertical="center"/>
    </xf>
    <xf numFmtId="0" fontId="26" fillId="25" borderId="86" xfId="0" applyFont="1" applyFill="1" applyBorder="1" applyAlignment="1">
      <alignment horizontal="left" wrapText="1"/>
    </xf>
    <xf numFmtId="44" fontId="25" fillId="24" borderId="57" xfId="64" applyFont="1" applyFill="1" applyBorder="1" applyAlignment="1">
      <alignment horizontal="center" vertical="center" wrapText="1"/>
    </xf>
    <xf numFmtId="44" fontId="25" fillId="24" borderId="58" xfId="64" applyFont="1" applyFill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6" fillId="24" borderId="86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 vertical="center"/>
    </xf>
    <xf numFmtId="0" fontId="26" fillId="25" borderId="130" xfId="0" applyFont="1" applyFill="1" applyBorder="1" applyAlignment="1">
      <alignment horizontal="center" wrapText="1"/>
    </xf>
    <xf numFmtId="0" fontId="32" fillId="0" borderId="25" xfId="140" applyFont="1" applyBorder="1" applyAlignment="1">
      <alignment horizontal="center" wrapText="1"/>
    </xf>
    <xf numFmtId="0" fontId="32" fillId="0" borderId="29" xfId="140" applyFont="1" applyBorder="1" applyAlignment="1">
      <alignment horizontal="center" wrapText="1"/>
    </xf>
    <xf numFmtId="0" fontId="25" fillId="24" borderId="23" xfId="0" applyFont="1" applyFill="1" applyBorder="1" applyAlignment="1">
      <alignment horizontal="center" vertical="center" wrapText="1"/>
    </xf>
    <xf numFmtId="43" fontId="25" fillId="24" borderId="84" xfId="121" applyFont="1" applyFill="1" applyBorder="1" applyAlignment="1">
      <alignment horizontal="center" vertical="center" wrapText="1"/>
    </xf>
    <xf numFmtId="43" fontId="25" fillId="24" borderId="85" xfId="121" applyFont="1" applyFill="1" applyBorder="1" applyAlignment="1">
      <alignment horizontal="center" vertical="center" wrapText="1"/>
    </xf>
    <xf numFmtId="0" fontId="25" fillId="24" borderId="86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left" vertical="center"/>
    </xf>
    <xf numFmtId="14" fontId="25" fillId="24" borderId="86" xfId="0" applyNumberFormat="1" applyFont="1" applyFill="1" applyBorder="1" applyAlignment="1">
      <alignment horizontal="center" vertical="center" wrapText="1"/>
    </xf>
    <xf numFmtId="43" fontId="25" fillId="28" borderId="84" xfId="121" applyFont="1" applyFill="1" applyBorder="1" applyAlignment="1">
      <alignment horizontal="center" vertical="center" wrapText="1"/>
    </xf>
    <xf numFmtId="43" fontId="25" fillId="28" borderId="85" xfId="121" applyFont="1" applyFill="1" applyBorder="1" applyAlignment="1">
      <alignment horizontal="center" vertical="center" wrapText="1"/>
    </xf>
    <xf numFmtId="43" fontId="25" fillId="0" borderId="84" xfId="121" applyFont="1" applyFill="1" applyBorder="1" applyAlignment="1">
      <alignment horizontal="center" vertical="center" wrapText="1"/>
    </xf>
    <xf numFmtId="43" fontId="25" fillId="0" borderId="85" xfId="121" applyFont="1" applyFill="1" applyBorder="1" applyAlignment="1">
      <alignment horizontal="center" vertical="center" wrapText="1"/>
    </xf>
    <xf numFmtId="8" fontId="25" fillId="42" borderId="57" xfId="64" applyNumberFormat="1" applyFont="1" applyFill="1" applyBorder="1" applyAlignment="1">
      <alignment horizontal="center" vertical="center" wrapText="1"/>
    </xf>
    <xf numFmtId="44" fontId="25" fillId="42" borderId="58" xfId="64" applyFont="1" applyFill="1" applyBorder="1" applyAlignment="1">
      <alignment horizontal="center" vertical="center" wrapText="1"/>
    </xf>
    <xf numFmtId="0" fontId="86" fillId="24" borderId="86" xfId="0" applyFont="1" applyFill="1" applyBorder="1" applyAlignment="1">
      <alignment horizontal="left" wrapText="1"/>
    </xf>
    <xf numFmtId="0" fontId="25" fillId="24" borderId="130" xfId="0" applyFont="1" applyFill="1" applyBorder="1" applyAlignment="1">
      <alignment horizontal="left" wrapText="1"/>
    </xf>
    <xf numFmtId="14" fontId="25" fillId="0" borderId="86" xfId="0" applyNumberFormat="1" applyFont="1" applyBorder="1" applyAlignment="1">
      <alignment horizontal="center" vertical="center" wrapText="1"/>
    </xf>
    <xf numFmtId="14" fontId="25" fillId="52" borderId="86" xfId="0" applyNumberFormat="1" applyFont="1" applyFill="1" applyBorder="1" applyAlignment="1">
      <alignment horizontal="center" vertical="center" wrapText="1"/>
    </xf>
    <xf numFmtId="0" fontId="61" fillId="40" borderId="22" xfId="0" applyFont="1" applyFill="1" applyBorder="1" applyAlignment="1">
      <alignment horizontal="center"/>
    </xf>
    <xf numFmtId="0" fontId="61" fillId="40" borderId="0" xfId="0" applyFont="1" applyFill="1" applyAlignment="1">
      <alignment horizontal="center"/>
    </xf>
    <xf numFmtId="0" fontId="24" fillId="50" borderId="86" xfId="0" applyFont="1" applyFill="1" applyBorder="1" applyAlignment="1">
      <alignment horizontal="left" vertical="center"/>
    </xf>
    <xf numFmtId="14" fontId="25" fillId="26" borderId="86" xfId="0" applyNumberFormat="1" applyFont="1" applyFill="1" applyBorder="1" applyAlignment="1">
      <alignment horizontal="center" vertical="center" wrapText="1"/>
    </xf>
    <xf numFmtId="0" fontId="25" fillId="26" borderId="86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0" fontId="25" fillId="24" borderId="117" xfId="0" applyFont="1" applyFill="1" applyBorder="1" applyAlignment="1">
      <alignment horizontal="center" vertical="center" wrapText="1"/>
    </xf>
    <xf numFmtId="0" fontId="41" fillId="0" borderId="144" xfId="140" applyFont="1" applyBorder="1" applyAlignment="1">
      <alignment horizontal="center" vertical="center" wrapText="1"/>
    </xf>
    <xf numFmtId="0" fontId="41" fillId="0" borderId="131" xfId="140" applyFont="1" applyBorder="1" applyAlignment="1">
      <alignment horizontal="center" vertical="center" wrapText="1"/>
    </xf>
    <xf numFmtId="0" fontId="62" fillId="24" borderId="59" xfId="0" applyFont="1" applyFill="1" applyBorder="1" applyAlignment="1">
      <alignment horizontal="justify" vertical="center"/>
    </xf>
    <xf numFmtId="0" fontId="26" fillId="24" borderId="59" xfId="0" applyFont="1" applyFill="1" applyBorder="1" applyAlignment="1">
      <alignment horizontal="justify" vertical="center"/>
    </xf>
    <xf numFmtId="0" fontId="63" fillId="24" borderId="84" xfId="0" applyFont="1" applyFill="1" applyBorder="1" applyAlignment="1">
      <alignment horizontal="center" vertical="center" wrapText="1"/>
    </xf>
    <xf numFmtId="0" fontId="63" fillId="24" borderId="85" xfId="0" applyFont="1" applyFill="1" applyBorder="1" applyAlignment="1">
      <alignment horizontal="center" vertical="center" wrapText="1"/>
    </xf>
    <xf numFmtId="0" fontId="26" fillId="24" borderId="26" xfId="0" applyFont="1" applyFill="1" applyBorder="1" applyAlignment="1">
      <alignment horizontal="center" wrapText="1"/>
    </xf>
    <xf numFmtId="0" fontId="26" fillId="25" borderId="86" xfId="0" applyFont="1" applyFill="1" applyBorder="1" applyAlignment="1">
      <alignment horizontal="left" vertical="center"/>
    </xf>
    <xf numFmtId="0" fontId="26" fillId="25" borderId="28" xfId="0" applyFont="1" applyFill="1" applyBorder="1" applyAlignment="1">
      <alignment horizontal="left" vertical="center" wrapText="1"/>
    </xf>
    <xf numFmtId="0" fontId="25" fillId="24" borderId="23" xfId="0" applyFont="1" applyFill="1" applyBorder="1" applyAlignment="1">
      <alignment horizontal="left" wrapText="1"/>
    </xf>
    <xf numFmtId="0" fontId="26" fillId="25" borderId="23" xfId="0" applyFont="1" applyFill="1" applyBorder="1" applyAlignment="1">
      <alignment horizontal="center" wrapText="1"/>
    </xf>
    <xf numFmtId="0" fontId="25" fillId="24" borderId="25" xfId="0" applyFont="1" applyFill="1" applyBorder="1" applyAlignment="1">
      <alignment horizontal="left" vertical="center"/>
    </xf>
    <xf numFmtId="0" fontId="25" fillId="24" borderId="29" xfId="0" applyFont="1" applyFill="1" applyBorder="1" applyAlignment="1">
      <alignment horizontal="left" vertical="center"/>
    </xf>
    <xf numFmtId="0" fontId="25" fillId="24" borderId="23" xfId="0" applyFont="1" applyFill="1" applyBorder="1" applyAlignment="1">
      <alignment horizontal="justify" vertical="center" wrapText="1"/>
    </xf>
    <xf numFmtId="0" fontId="44" fillId="24" borderId="23" xfId="0" applyFont="1" applyFill="1" applyBorder="1" applyAlignment="1">
      <alignment horizontal="justify" vertical="center" wrapText="1"/>
    </xf>
    <xf numFmtId="0" fontId="42" fillId="24" borderId="23" xfId="0" applyFont="1" applyFill="1" applyBorder="1" applyAlignment="1">
      <alignment horizontal="justify" vertical="center"/>
    </xf>
    <xf numFmtId="0" fontId="25" fillId="24" borderId="23" xfId="0" applyFont="1" applyFill="1" applyBorder="1" applyAlignment="1">
      <alignment horizontal="justify" vertical="center"/>
    </xf>
    <xf numFmtId="0" fontId="26" fillId="41" borderId="25" xfId="0" applyFont="1" applyFill="1" applyBorder="1" applyAlignment="1">
      <alignment horizontal="justify" vertical="center" wrapText="1"/>
    </xf>
    <xf numFmtId="0" fontId="26" fillId="41" borderId="31" xfId="0" applyFont="1" applyFill="1" applyBorder="1" applyAlignment="1">
      <alignment horizontal="justify" vertical="center" wrapText="1"/>
    </xf>
    <xf numFmtId="0" fontId="26" fillId="41" borderId="29" xfId="0" applyFont="1" applyFill="1" applyBorder="1" applyAlignment="1">
      <alignment horizontal="justify" vertical="center" wrapText="1"/>
    </xf>
    <xf numFmtId="0" fontId="25" fillId="24" borderId="25" xfId="0" applyFont="1" applyFill="1" applyBorder="1" applyAlignment="1">
      <alignment horizontal="center" vertical="center" wrapText="1"/>
    </xf>
    <xf numFmtId="0" fontId="25" fillId="24" borderId="31" xfId="0" applyFont="1" applyFill="1" applyBorder="1" applyAlignment="1">
      <alignment horizontal="center" vertical="center" wrapText="1"/>
    </xf>
    <xf numFmtId="0" fontId="25" fillId="24" borderId="29" xfId="0" applyFont="1" applyFill="1" applyBorder="1" applyAlignment="1">
      <alignment horizontal="center" vertical="center" wrapText="1"/>
    </xf>
    <xf numFmtId="0" fontId="25" fillId="24" borderId="25" xfId="0" applyFont="1" applyFill="1" applyBorder="1" applyAlignment="1">
      <alignment horizontal="left" vertical="center" wrapText="1"/>
    </xf>
    <xf numFmtId="0" fontId="25" fillId="24" borderId="31" xfId="0" applyFont="1" applyFill="1" applyBorder="1" applyAlignment="1">
      <alignment horizontal="left" vertical="center" wrapText="1"/>
    </xf>
    <xf numFmtId="0" fontId="25" fillId="24" borderId="29" xfId="0" applyFont="1" applyFill="1" applyBorder="1" applyAlignment="1">
      <alignment horizontal="left" vertical="center" wrapText="1"/>
    </xf>
    <xf numFmtId="0" fontId="26" fillId="24" borderId="28" xfId="0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center" vertical="center" wrapText="1"/>
    </xf>
    <xf numFmtId="0" fontId="41" fillId="24" borderId="23" xfId="0" applyFont="1" applyFill="1" applyBorder="1" applyAlignment="1">
      <alignment horizontal="justify" vertical="center"/>
    </xf>
    <xf numFmtId="0" fontId="88" fillId="24" borderId="23" xfId="0" applyFont="1" applyFill="1" applyBorder="1" applyAlignment="1">
      <alignment horizontal="justify" vertical="center"/>
    </xf>
    <xf numFmtId="0" fontId="86" fillId="24" borderId="23" xfId="0" applyFont="1" applyFill="1" applyBorder="1" applyAlignment="1">
      <alignment horizontal="justify" vertical="center" wrapText="1"/>
    </xf>
    <xf numFmtId="43" fontId="25" fillId="26" borderId="84" xfId="121" applyFont="1" applyFill="1" applyBorder="1" applyAlignment="1">
      <alignment horizontal="center" vertical="center" wrapText="1"/>
    </xf>
    <xf numFmtId="43" fontId="25" fillId="26" borderId="85" xfId="121" applyFont="1" applyFill="1" applyBorder="1" applyAlignment="1">
      <alignment horizontal="center" vertical="center" wrapText="1"/>
    </xf>
    <xf numFmtId="0" fontId="24" fillId="26" borderId="86" xfId="0" applyFont="1" applyFill="1" applyBorder="1" applyAlignment="1">
      <alignment horizontal="left" vertical="center"/>
    </xf>
    <xf numFmtId="0" fontId="42" fillId="24" borderId="23" xfId="0" applyFont="1" applyFill="1" applyBorder="1" applyAlignment="1">
      <alignment horizontal="justify" vertical="center" wrapText="1"/>
    </xf>
    <xf numFmtId="0" fontId="26" fillId="25" borderId="86" xfId="0" applyFont="1" applyFill="1" applyBorder="1" applyAlignment="1">
      <alignment horizontal="center" vertical="center"/>
    </xf>
    <xf numFmtId="0" fontId="91" fillId="57" borderId="126" xfId="143" applyFont="1" applyFill="1" applyBorder="1" applyAlignment="1">
      <alignment horizontal="center" vertical="center"/>
    </xf>
    <xf numFmtId="0" fontId="91" fillId="57" borderId="127" xfId="143" applyFont="1" applyFill="1" applyBorder="1" applyAlignment="1">
      <alignment horizontal="center" vertical="center"/>
    </xf>
    <xf numFmtId="0" fontId="91" fillId="57" borderId="123" xfId="143" applyFont="1" applyFill="1" applyBorder="1" applyAlignment="1">
      <alignment horizontal="center" vertical="center" wrapText="1"/>
    </xf>
    <xf numFmtId="0" fontId="91" fillId="57" borderId="124" xfId="143" applyFont="1" applyFill="1" applyBorder="1" applyAlignment="1">
      <alignment horizontal="center" vertical="center" wrapText="1"/>
    </xf>
    <xf numFmtId="0" fontId="92" fillId="57" borderId="20" xfId="143" applyFont="1" applyFill="1" applyBorder="1" applyAlignment="1">
      <alignment horizontal="center" vertical="center" wrapText="1"/>
    </xf>
    <xf numFmtId="0" fontId="92" fillId="57" borderId="107" xfId="143" applyFont="1" applyFill="1" applyBorder="1" applyAlignment="1">
      <alignment horizontal="center" vertical="center" wrapText="1"/>
    </xf>
    <xf numFmtId="0" fontId="92" fillId="57" borderId="19" xfId="143" applyFont="1" applyFill="1" applyBorder="1" applyAlignment="1">
      <alignment horizontal="center" vertical="center" wrapText="1"/>
    </xf>
    <xf numFmtId="0" fontId="90" fillId="0" borderId="130" xfId="143" applyFont="1" applyBorder="1" applyAlignment="1">
      <alignment horizontal="center" vertical="center" wrapText="1"/>
    </xf>
    <xf numFmtId="0" fontId="90" fillId="0" borderId="56" xfId="143" applyFont="1" applyBorder="1" applyAlignment="1">
      <alignment horizontal="center" vertical="center" wrapText="1"/>
    </xf>
    <xf numFmtId="0" fontId="79" fillId="46" borderId="76" xfId="149" applyFont="1" applyFill="1" applyBorder="1" applyAlignment="1">
      <alignment horizontal="center" vertical="center" wrapText="1"/>
    </xf>
    <xf numFmtId="0" fontId="79" fillId="46" borderId="96" xfId="149" applyFont="1" applyFill="1" applyBorder="1" applyAlignment="1">
      <alignment horizontal="center" vertical="center" wrapText="1"/>
    </xf>
    <xf numFmtId="0" fontId="79" fillId="46" borderId="25" xfId="149" applyFont="1" applyFill="1" applyBorder="1" applyAlignment="1">
      <alignment horizontal="center" vertical="center" wrapText="1"/>
    </xf>
    <xf numFmtId="0" fontId="79" fillId="46" borderId="29" xfId="149" applyFont="1" applyFill="1" applyBorder="1" applyAlignment="1">
      <alignment horizontal="center" vertical="center" wrapText="1"/>
    </xf>
    <xf numFmtId="0" fontId="79" fillId="46" borderId="32" xfId="149" applyFont="1" applyFill="1" applyBorder="1" applyAlignment="1">
      <alignment horizontal="center" vertical="center" wrapText="1"/>
    </xf>
    <xf numFmtId="0" fontId="83" fillId="0" borderId="0" xfId="149" applyFont="1" applyAlignment="1">
      <alignment horizontal="center"/>
    </xf>
    <xf numFmtId="0" fontId="79" fillId="46" borderId="23" xfId="149" applyFont="1" applyFill="1" applyBorder="1" applyAlignment="1">
      <alignment horizontal="center" vertical="center" wrapText="1"/>
    </xf>
    <xf numFmtId="0" fontId="79" fillId="46" borderId="114" xfId="149" applyFont="1" applyFill="1" applyBorder="1" applyAlignment="1">
      <alignment horizontal="center" vertical="center" wrapText="1"/>
    </xf>
    <xf numFmtId="0" fontId="79" fillId="46" borderId="115" xfId="149" applyFont="1" applyFill="1" applyBorder="1" applyAlignment="1">
      <alignment horizontal="center" vertical="center" wrapText="1"/>
    </xf>
    <xf numFmtId="0" fontId="77" fillId="0" borderId="84" xfId="70" applyFont="1" applyBorder="1" applyAlignment="1">
      <alignment horizontal="left" vertical="center" wrapText="1"/>
    </xf>
    <xf numFmtId="0" fontId="77" fillId="0" borderId="87" xfId="70" applyFont="1" applyBorder="1" applyAlignment="1">
      <alignment horizontal="left" vertical="center" wrapText="1"/>
    </xf>
    <xf numFmtId="0" fontId="77" fillId="0" borderId="85" xfId="70" applyFont="1" applyBorder="1" applyAlignment="1">
      <alignment horizontal="left" vertical="center" wrapText="1"/>
    </xf>
    <xf numFmtId="0" fontId="76" fillId="0" borderId="0" xfId="149" applyFont="1" applyAlignment="1">
      <alignment horizontal="center"/>
    </xf>
    <xf numFmtId="0" fontId="78" fillId="0" borderId="0" xfId="149" applyFont="1" applyAlignment="1">
      <alignment horizontal="justify"/>
    </xf>
    <xf numFmtId="0" fontId="66" fillId="0" borderId="0" xfId="0" applyFont="1" applyAlignment="1">
      <alignment horizontal="justify"/>
    </xf>
    <xf numFmtId="0" fontId="79" fillId="46" borderId="27" xfId="149" applyFont="1" applyFill="1" applyBorder="1" applyAlignment="1">
      <alignment horizontal="center" vertical="center" wrapText="1"/>
    </xf>
    <xf numFmtId="0" fontId="77" fillId="0" borderId="108" xfId="70" applyFont="1" applyBorder="1" applyAlignment="1">
      <alignment horizontal="justify" vertical="center" shrinkToFit="1"/>
    </xf>
    <xf numFmtId="0" fontId="77" fillId="0" borderId="109" xfId="70" applyFont="1" applyBorder="1" applyAlignment="1">
      <alignment horizontal="justify" vertical="center" shrinkToFit="1"/>
    </xf>
    <xf numFmtId="0" fontId="72" fillId="0" borderId="111" xfId="70" applyFont="1" applyBorder="1" applyAlignment="1">
      <alignment horizontal="justify" vertical="center" shrinkToFit="1"/>
    </xf>
    <xf numFmtId="0" fontId="28" fillId="0" borderId="74" xfId="0" applyFont="1" applyBorder="1" applyAlignment="1">
      <alignment horizontal="center"/>
    </xf>
    <xf numFmtId="0" fontId="28" fillId="0" borderId="75" xfId="0" applyFont="1" applyBorder="1" applyAlignment="1">
      <alignment horizontal="center"/>
    </xf>
    <xf numFmtId="0" fontId="28" fillId="0" borderId="76" xfId="0" applyFont="1" applyBorder="1" applyAlignment="1">
      <alignment horizontal="center"/>
    </xf>
    <xf numFmtId="0" fontId="38" fillId="0" borderId="23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28" fillId="0" borderId="35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28" fillId="0" borderId="68" xfId="0" applyFont="1" applyBorder="1" applyAlignment="1">
      <alignment horizontal="center"/>
    </xf>
    <xf numFmtId="0" fontId="28" fillId="0" borderId="69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top" wrapText="1"/>
    </xf>
    <xf numFmtId="170" fontId="38" fillId="0" borderId="23" xfId="0" applyNumberFormat="1" applyFont="1" applyBorder="1" applyAlignment="1">
      <alignment horizontal="center" vertical="center" wrapText="1"/>
    </xf>
    <xf numFmtId="170" fontId="46" fillId="0" borderId="23" xfId="0" applyNumberFormat="1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0" fontId="38" fillId="0" borderId="84" xfId="0" applyFont="1" applyBorder="1" applyAlignment="1">
      <alignment horizontal="left"/>
    </xf>
    <xf numFmtId="0" fontId="38" fillId="0" borderId="87" xfId="0" applyFont="1" applyBorder="1" applyAlignment="1">
      <alignment horizontal="left"/>
    </xf>
    <xf numFmtId="0" fontId="38" fillId="36" borderId="24" xfId="0" applyFont="1" applyFill="1" applyBorder="1" applyAlignment="1">
      <alignment horizontal="center" vertical="center" wrapText="1"/>
    </xf>
    <xf numFmtId="0" fontId="38" fillId="36" borderId="48" xfId="0" applyFont="1" applyFill="1" applyBorder="1" applyAlignment="1">
      <alignment horizontal="center" vertical="center" wrapText="1"/>
    </xf>
    <xf numFmtId="0" fontId="38" fillId="36" borderId="28" xfId="0" applyFont="1" applyFill="1" applyBorder="1" applyAlignment="1">
      <alignment horizontal="center" vertical="center" wrapText="1"/>
    </xf>
    <xf numFmtId="0" fontId="38" fillId="0" borderId="25" xfId="0" applyFont="1" applyBorder="1"/>
    <xf numFmtId="0" fontId="38" fillId="0" borderId="31" xfId="0" applyFont="1" applyBorder="1"/>
    <xf numFmtId="0" fontId="38" fillId="0" borderId="29" xfId="0" applyFont="1" applyBorder="1"/>
    <xf numFmtId="0" fontId="38" fillId="36" borderId="27" xfId="0" applyFont="1" applyFill="1" applyBorder="1" applyAlignment="1">
      <alignment horizontal="center" vertical="center" wrapText="1"/>
    </xf>
    <xf numFmtId="0" fontId="38" fillId="36" borderId="26" xfId="0" applyFont="1" applyFill="1" applyBorder="1" applyAlignment="1">
      <alignment horizontal="center" vertical="center" wrapText="1"/>
    </xf>
    <xf numFmtId="0" fontId="38" fillId="36" borderId="32" xfId="0" applyFont="1" applyFill="1" applyBorder="1" applyAlignment="1">
      <alignment horizontal="center" vertical="center" wrapText="1"/>
    </xf>
  </cellXfs>
  <cellStyles count="161">
    <cellStyle name="20% - Ênfase1 2" xfId="1" xr:uid="{00000000-0005-0000-0000-000000000000}"/>
    <cellStyle name="20% - Ênfase1 3" xfId="2" xr:uid="{00000000-0005-0000-0000-000001000000}"/>
    <cellStyle name="20% - Ênfase2 2" xfId="3" xr:uid="{00000000-0005-0000-0000-000002000000}"/>
    <cellStyle name="20% - Ênfase2 3" xfId="4" xr:uid="{00000000-0005-0000-0000-000003000000}"/>
    <cellStyle name="20% - Ênfase3 2" xfId="5" xr:uid="{00000000-0005-0000-0000-000004000000}"/>
    <cellStyle name="20% - Ênfase3 3" xfId="6" xr:uid="{00000000-0005-0000-0000-000005000000}"/>
    <cellStyle name="20% - Ênfase4 2" xfId="7" xr:uid="{00000000-0005-0000-0000-000006000000}"/>
    <cellStyle name="20% - Ênfase4 3" xfId="8" xr:uid="{00000000-0005-0000-0000-000007000000}"/>
    <cellStyle name="20% - Ênfase5 2" xfId="9" xr:uid="{00000000-0005-0000-0000-000008000000}"/>
    <cellStyle name="20% - Ênfase5 3" xfId="10" xr:uid="{00000000-0005-0000-0000-000009000000}"/>
    <cellStyle name="20% - Ênfase6 2" xfId="11" xr:uid="{00000000-0005-0000-0000-00000A000000}"/>
    <cellStyle name="20% - Ênfase6 3" xfId="12" xr:uid="{00000000-0005-0000-0000-00000B000000}"/>
    <cellStyle name="40% - Ênfase1 2" xfId="13" xr:uid="{00000000-0005-0000-0000-00000C000000}"/>
    <cellStyle name="40% - Ênfase1 3" xfId="14" xr:uid="{00000000-0005-0000-0000-00000D000000}"/>
    <cellStyle name="40% - Ênfase2 2" xfId="15" xr:uid="{00000000-0005-0000-0000-00000E000000}"/>
    <cellStyle name="40% - Ênfase2 3" xfId="16" xr:uid="{00000000-0005-0000-0000-00000F000000}"/>
    <cellStyle name="40% - Ênfase3 2" xfId="17" xr:uid="{00000000-0005-0000-0000-000010000000}"/>
    <cellStyle name="40% - Ênfase3 3" xfId="18" xr:uid="{00000000-0005-0000-0000-000011000000}"/>
    <cellStyle name="40% - Ênfase4 2" xfId="19" xr:uid="{00000000-0005-0000-0000-000012000000}"/>
    <cellStyle name="40% - Ênfase4 3" xfId="20" xr:uid="{00000000-0005-0000-0000-000013000000}"/>
    <cellStyle name="40% - Ênfase5 2" xfId="21" xr:uid="{00000000-0005-0000-0000-000014000000}"/>
    <cellStyle name="40% - Ênfase5 3" xfId="22" xr:uid="{00000000-0005-0000-0000-000015000000}"/>
    <cellStyle name="40% - Ênfase6 2" xfId="23" xr:uid="{00000000-0005-0000-0000-000016000000}"/>
    <cellStyle name="40% - Ênfase6 3" xfId="24" xr:uid="{00000000-0005-0000-0000-000017000000}"/>
    <cellStyle name="60% - Ênfase1 2" xfId="25" xr:uid="{00000000-0005-0000-0000-000018000000}"/>
    <cellStyle name="60% - Ênfase1 3" xfId="26" xr:uid="{00000000-0005-0000-0000-000019000000}"/>
    <cellStyle name="60% - Ênfase2 2" xfId="27" xr:uid="{00000000-0005-0000-0000-00001A000000}"/>
    <cellStyle name="60% - Ênfase2 3" xfId="28" xr:uid="{00000000-0005-0000-0000-00001B000000}"/>
    <cellStyle name="60% - Ênfase3 2" xfId="29" xr:uid="{00000000-0005-0000-0000-00001C000000}"/>
    <cellStyle name="60% - Ênfase3 3" xfId="30" xr:uid="{00000000-0005-0000-0000-00001D000000}"/>
    <cellStyle name="60% - Ênfase4 2" xfId="31" xr:uid="{00000000-0005-0000-0000-00001E000000}"/>
    <cellStyle name="60% - Ênfase4 3" xfId="32" xr:uid="{00000000-0005-0000-0000-00001F000000}"/>
    <cellStyle name="60% - Ênfase5 2" xfId="33" xr:uid="{00000000-0005-0000-0000-000020000000}"/>
    <cellStyle name="60% - Ênfase5 3" xfId="34" xr:uid="{00000000-0005-0000-0000-000021000000}"/>
    <cellStyle name="60% - Ênfase6 2" xfId="35" xr:uid="{00000000-0005-0000-0000-000022000000}"/>
    <cellStyle name="60% - Ênfase6 3" xfId="36" xr:uid="{00000000-0005-0000-0000-000023000000}"/>
    <cellStyle name="Bom 2" xfId="37" xr:uid="{00000000-0005-0000-0000-000024000000}"/>
    <cellStyle name="Bom 3" xfId="38" xr:uid="{00000000-0005-0000-0000-000025000000}"/>
    <cellStyle name="Cálculo 2" xfId="39" xr:uid="{00000000-0005-0000-0000-000026000000}"/>
    <cellStyle name="Cálculo 3" xfId="40" xr:uid="{00000000-0005-0000-0000-000027000000}"/>
    <cellStyle name="Cancel" xfId="41" xr:uid="{00000000-0005-0000-0000-000028000000}"/>
    <cellStyle name="Célula de Verificação 2" xfId="42" xr:uid="{00000000-0005-0000-0000-000029000000}"/>
    <cellStyle name="Célula de Verificação 3" xfId="43" xr:uid="{00000000-0005-0000-0000-00002A000000}"/>
    <cellStyle name="Célula Vinculada 2" xfId="44" xr:uid="{00000000-0005-0000-0000-00002B000000}"/>
    <cellStyle name="Célula Vinculada 3" xfId="45" xr:uid="{00000000-0005-0000-0000-00002C000000}"/>
    <cellStyle name="Ênfase1 2" xfId="46" xr:uid="{00000000-0005-0000-0000-00002D000000}"/>
    <cellStyle name="Ênfase1 3" xfId="47" xr:uid="{00000000-0005-0000-0000-00002E000000}"/>
    <cellStyle name="Ênfase2 2" xfId="48" xr:uid="{00000000-0005-0000-0000-00002F000000}"/>
    <cellStyle name="Ênfase2 3" xfId="49" xr:uid="{00000000-0005-0000-0000-000030000000}"/>
    <cellStyle name="Ênfase3 2" xfId="50" xr:uid="{00000000-0005-0000-0000-000031000000}"/>
    <cellStyle name="Ênfase3 3" xfId="51" xr:uid="{00000000-0005-0000-0000-000032000000}"/>
    <cellStyle name="Ênfase4 2" xfId="52" xr:uid="{00000000-0005-0000-0000-000033000000}"/>
    <cellStyle name="Ênfase4 3" xfId="53" xr:uid="{00000000-0005-0000-0000-000034000000}"/>
    <cellStyle name="Ênfase5 2" xfId="54" xr:uid="{00000000-0005-0000-0000-000035000000}"/>
    <cellStyle name="Ênfase5 3" xfId="55" xr:uid="{00000000-0005-0000-0000-000036000000}"/>
    <cellStyle name="Ênfase6 2" xfId="56" xr:uid="{00000000-0005-0000-0000-000037000000}"/>
    <cellStyle name="Ênfase6 3" xfId="57" xr:uid="{00000000-0005-0000-0000-000038000000}"/>
    <cellStyle name="Entrada 2" xfId="58" xr:uid="{00000000-0005-0000-0000-000039000000}"/>
    <cellStyle name="Entrada 3" xfId="59" xr:uid="{00000000-0005-0000-0000-00003A000000}"/>
    <cellStyle name="Hiperlink" xfId="140" builtinId="8"/>
    <cellStyle name="Hyperlink 2" xfId="60" xr:uid="{00000000-0005-0000-0000-00003C000000}"/>
    <cellStyle name="Hyperlink 3" xfId="61" xr:uid="{00000000-0005-0000-0000-00003D000000}"/>
    <cellStyle name="Incorreto 2" xfId="62" xr:uid="{00000000-0005-0000-0000-00003E000000}"/>
    <cellStyle name="Incorreto 3" xfId="63" xr:uid="{00000000-0005-0000-0000-00003F000000}"/>
    <cellStyle name="Moeda" xfId="64" builtinId="4"/>
    <cellStyle name="Moeda 2" xfId="65" xr:uid="{00000000-0005-0000-0000-000041000000}"/>
    <cellStyle name="Moeda 2 2" xfId="125" xr:uid="{00000000-0005-0000-0000-000042000000}"/>
    <cellStyle name="Moeda 3" xfId="66" xr:uid="{00000000-0005-0000-0000-000043000000}"/>
    <cellStyle name="Moeda 3 2" xfId="139" xr:uid="{00000000-0005-0000-0000-000044000000}"/>
    <cellStyle name="Moeda 3 3 2" xfId="147" xr:uid="{00000000-0005-0000-0000-000045000000}"/>
    <cellStyle name="Moeda 4" xfId="67" xr:uid="{00000000-0005-0000-0000-000046000000}"/>
    <cellStyle name="Moeda 5" xfId="157" xr:uid="{4DCBC17C-D028-4605-AD63-FF290D375347}"/>
    <cellStyle name="Moeda 6" xfId="158" xr:uid="{B16C1681-4966-46BB-85D3-98BF4A6294FF}"/>
    <cellStyle name="Neutra 2" xfId="68" xr:uid="{00000000-0005-0000-0000-000047000000}"/>
    <cellStyle name="Neutra 3" xfId="69" xr:uid="{00000000-0005-0000-0000-000048000000}"/>
    <cellStyle name="Normal" xfId="0" builtinId="0"/>
    <cellStyle name="Normal 10" xfId="70" xr:uid="{00000000-0005-0000-0000-00004A000000}"/>
    <cellStyle name="Normal 10 2" xfId="149" xr:uid="{00000000-0005-0000-0000-00004B000000}"/>
    <cellStyle name="Normal 11" xfId="71" xr:uid="{00000000-0005-0000-0000-00004C000000}"/>
    <cellStyle name="Normal 12" xfId="159" xr:uid="{0414172A-E4A1-46DC-8A2F-496E133CA54E}"/>
    <cellStyle name="Normal 17 2" xfId="156" xr:uid="{00000000-0005-0000-0000-00004D000000}"/>
    <cellStyle name="Normal 2" xfId="72" xr:uid="{00000000-0005-0000-0000-00004E000000}"/>
    <cellStyle name="Normal 2 2 2" xfId="126" xr:uid="{00000000-0005-0000-0000-00004F000000}"/>
    <cellStyle name="Normal 2 2 2 2" xfId="148" xr:uid="{00000000-0005-0000-0000-000050000000}"/>
    <cellStyle name="Normal 2 2 2 3" xfId="145" xr:uid="{00000000-0005-0000-0000-000051000000}"/>
    <cellStyle name="Normal 2 3" xfId="127" xr:uid="{00000000-0005-0000-0000-000052000000}"/>
    <cellStyle name="Normal 2 3 2 2" xfId="143" xr:uid="{00000000-0005-0000-0000-000053000000}"/>
    <cellStyle name="Normal 2 3 2 2 2" xfId="153" xr:uid="{00000000-0005-0000-0000-000054000000}"/>
    <cellStyle name="Normal 2 3 4" xfId="142" xr:uid="{00000000-0005-0000-0000-000055000000}"/>
    <cellStyle name="Normal 3" xfId="73" xr:uid="{00000000-0005-0000-0000-000056000000}"/>
    <cellStyle name="Normal 3 2" xfId="128" xr:uid="{00000000-0005-0000-0000-000057000000}"/>
    <cellStyle name="Normal 3 3" xfId="129" xr:uid="{00000000-0005-0000-0000-000058000000}"/>
    <cellStyle name="Normal 4" xfId="74" xr:uid="{00000000-0005-0000-0000-000059000000}"/>
    <cellStyle name="Normal 4 2" xfId="150" xr:uid="{00000000-0005-0000-0000-00005A000000}"/>
    <cellStyle name="Normal 4 2 2 2" xfId="146" xr:uid="{00000000-0005-0000-0000-00005B000000}"/>
    <cellStyle name="Normal 5" xfId="75" xr:uid="{00000000-0005-0000-0000-00005C000000}"/>
    <cellStyle name="Normal 5 2" xfId="122" xr:uid="{00000000-0005-0000-0000-00005D000000}"/>
    <cellStyle name="Normal 6" xfId="76" xr:uid="{00000000-0005-0000-0000-00005E000000}"/>
    <cellStyle name="Normal 6 2 2" xfId="141" xr:uid="{00000000-0005-0000-0000-00005F000000}"/>
    <cellStyle name="Normal 7" xfId="77" xr:uid="{00000000-0005-0000-0000-000060000000}"/>
    <cellStyle name="Normal 8" xfId="78" xr:uid="{00000000-0005-0000-0000-000061000000}"/>
    <cellStyle name="Normal 9" xfId="79" xr:uid="{00000000-0005-0000-0000-000062000000}"/>
    <cellStyle name="Nota 2" xfId="80" xr:uid="{00000000-0005-0000-0000-000065000000}"/>
    <cellStyle name="Nota 3" xfId="81" xr:uid="{00000000-0005-0000-0000-000066000000}"/>
    <cellStyle name="Porcentagem" xfId="82" builtinId="5"/>
    <cellStyle name="Porcentagem 10 2" xfId="155" xr:uid="{00000000-0005-0000-0000-000068000000}"/>
    <cellStyle name="Porcentagem 13" xfId="154" xr:uid="{00000000-0005-0000-0000-000069000000}"/>
    <cellStyle name="Porcentagem 2" xfId="83" xr:uid="{00000000-0005-0000-0000-00006A000000}"/>
    <cellStyle name="Porcentagem 2 2" xfId="130" xr:uid="{00000000-0005-0000-0000-00006B000000}"/>
    <cellStyle name="Porcentagem 2 3" xfId="160" xr:uid="{8BF5F5E7-1475-4C3B-B1A4-7C97F914E17C}"/>
    <cellStyle name="Porcentagem 2 5" xfId="152" xr:uid="{00000000-0005-0000-0000-00006C000000}"/>
    <cellStyle name="Porcentagem 3" xfId="84" xr:uid="{00000000-0005-0000-0000-00006D000000}"/>
    <cellStyle name="Porcentagem 4" xfId="85" xr:uid="{00000000-0005-0000-0000-00006E000000}"/>
    <cellStyle name="Porcentagem 5" xfId="86" xr:uid="{00000000-0005-0000-0000-00006F000000}"/>
    <cellStyle name="Porcentagem 6" xfId="87" xr:uid="{00000000-0005-0000-0000-000070000000}"/>
    <cellStyle name="Porcentagem 7" xfId="88" xr:uid="{00000000-0005-0000-0000-000071000000}"/>
    <cellStyle name="Porcentagem 8" xfId="89" xr:uid="{00000000-0005-0000-0000-000072000000}"/>
    <cellStyle name="Saída 2" xfId="90" xr:uid="{00000000-0005-0000-0000-000073000000}"/>
    <cellStyle name="Saída 3" xfId="91" xr:uid="{00000000-0005-0000-0000-000074000000}"/>
    <cellStyle name="Separador de milhares 10" xfId="92" xr:uid="{00000000-0005-0000-0000-000075000000}"/>
    <cellStyle name="Separador de milhares 11" xfId="93" xr:uid="{00000000-0005-0000-0000-000076000000}"/>
    <cellStyle name="Separador de milhares 12" xfId="94" xr:uid="{00000000-0005-0000-0000-000077000000}"/>
    <cellStyle name="Separador de milhares 13" xfId="95" xr:uid="{00000000-0005-0000-0000-000078000000}"/>
    <cellStyle name="Separador de milhares 14" xfId="96" xr:uid="{00000000-0005-0000-0000-000079000000}"/>
    <cellStyle name="Separador de milhares 2" xfId="97" xr:uid="{00000000-0005-0000-0000-00007A000000}"/>
    <cellStyle name="Separador de milhares 2 2" xfId="131" xr:uid="{00000000-0005-0000-0000-00007B000000}"/>
    <cellStyle name="Separador de milhares 2 2 2" xfId="132" xr:uid="{00000000-0005-0000-0000-00007C000000}"/>
    <cellStyle name="Separador de milhares 3" xfId="98" xr:uid="{00000000-0005-0000-0000-00007D000000}"/>
    <cellStyle name="Separador de milhares 3 2" xfId="133" xr:uid="{00000000-0005-0000-0000-00007E000000}"/>
    <cellStyle name="Separador de milhares 4" xfId="99" xr:uid="{00000000-0005-0000-0000-00007F000000}"/>
    <cellStyle name="Separador de milhares 4 2" xfId="124" xr:uid="{00000000-0005-0000-0000-000080000000}"/>
    <cellStyle name="Separador de milhares 5" xfId="100" xr:uid="{00000000-0005-0000-0000-000081000000}"/>
    <cellStyle name="Separador de milhares 5 2" xfId="138" xr:uid="{00000000-0005-0000-0000-000082000000}"/>
    <cellStyle name="Separador de milhares 6" xfId="101" xr:uid="{00000000-0005-0000-0000-000083000000}"/>
    <cellStyle name="Separador de milhares 7" xfId="102" xr:uid="{00000000-0005-0000-0000-000084000000}"/>
    <cellStyle name="Separador de milhares 8" xfId="103" xr:uid="{00000000-0005-0000-0000-000085000000}"/>
    <cellStyle name="Separador de milhares 9" xfId="104" xr:uid="{00000000-0005-0000-0000-000086000000}"/>
    <cellStyle name="Texto de Aviso 2" xfId="105" xr:uid="{00000000-0005-0000-0000-000087000000}"/>
    <cellStyle name="Texto de Aviso 3" xfId="106" xr:uid="{00000000-0005-0000-0000-000088000000}"/>
    <cellStyle name="Texto Explicativo 2" xfId="107" xr:uid="{00000000-0005-0000-0000-000089000000}"/>
    <cellStyle name="Texto Explicativo 3" xfId="108" xr:uid="{00000000-0005-0000-0000-00008A000000}"/>
    <cellStyle name="Título 1 2" xfId="109" xr:uid="{00000000-0005-0000-0000-00008B000000}"/>
    <cellStyle name="Título 1 3" xfId="110" xr:uid="{00000000-0005-0000-0000-00008C000000}"/>
    <cellStyle name="Título 2 2" xfId="111" xr:uid="{00000000-0005-0000-0000-00008D000000}"/>
    <cellStyle name="Título 2 3" xfId="112" xr:uid="{00000000-0005-0000-0000-00008E000000}"/>
    <cellStyle name="Título 3 2" xfId="113" xr:uid="{00000000-0005-0000-0000-00008F000000}"/>
    <cellStyle name="Título 3 3" xfId="114" xr:uid="{00000000-0005-0000-0000-000090000000}"/>
    <cellStyle name="Título 4 2" xfId="115" xr:uid="{00000000-0005-0000-0000-000091000000}"/>
    <cellStyle name="Título 4 3" xfId="116" xr:uid="{00000000-0005-0000-0000-000092000000}"/>
    <cellStyle name="Título 5" xfId="117" xr:uid="{00000000-0005-0000-0000-000093000000}"/>
    <cellStyle name="Título 6" xfId="118" xr:uid="{00000000-0005-0000-0000-000094000000}"/>
    <cellStyle name="Total 2" xfId="119" xr:uid="{00000000-0005-0000-0000-000095000000}"/>
    <cellStyle name="Total 3" xfId="120" xr:uid="{00000000-0005-0000-0000-000096000000}"/>
    <cellStyle name="Vírgula" xfId="121" builtinId="3"/>
    <cellStyle name="Vírgula 10" xfId="151" xr:uid="{00000000-0005-0000-0000-000098000000}"/>
    <cellStyle name="Vírgula 2" xfId="134" xr:uid="{00000000-0005-0000-0000-000099000000}"/>
    <cellStyle name="Vírgula 2 2" xfId="135" xr:uid="{00000000-0005-0000-0000-00009A000000}"/>
    <cellStyle name="Vírgula 2 2 2" xfId="144" xr:uid="{00000000-0005-0000-0000-00009B000000}"/>
    <cellStyle name="Vírgula 2 3" xfId="123" xr:uid="{00000000-0005-0000-0000-00009C000000}"/>
    <cellStyle name="Vírgula 2 4" xfId="136" xr:uid="{00000000-0005-0000-0000-00009D000000}"/>
    <cellStyle name="Vírgula 3" xfId="137" xr:uid="{00000000-0005-0000-0000-00009E000000}"/>
  </cellStyles>
  <dxfs count="4"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</dxfs>
  <tableStyles count="0" defaultTableStyle="TableStyleMedium9" defaultPivotStyle="PivotStyleLight16"/>
  <colors>
    <mruColors>
      <color rgb="FFCCFFCC"/>
      <color rgb="FFFFFFCC"/>
      <color rgb="FF99FFCC"/>
      <color rgb="FF99CCFF"/>
      <color rgb="FFCCECFF"/>
      <color rgb="FF008000"/>
      <color rgb="FFE559C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customXml" Target="../customXml/item2.xml"/><Relationship Id="rId21" Type="http://schemas.openxmlformats.org/officeDocument/2006/relationships/externalLink" Target="externalLinks/externalLink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\DICONT\Contrato%20n&#176;%2010_2024%20-%20ENGEMIL\2025\Planilha%20de%20Repactua&#231;&#227;o%20SINDUSCON%202025%20-%20MCID.xlsx" TargetMode="External"/><Relationship Id="rId1" Type="http://schemas.openxmlformats.org/officeDocument/2006/relationships/externalLinkPath" Target="/2025/DICONT/Contrato%20n&#176;%2010_2024%20-%20ENGEMIL/2025/Planilha%20de%20Repactua&#231;&#227;o%20SINDUSCON%202025%20-%20MCI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services.ctis.com.br/_Pablo/Work%20CTIS/Ger&#234;ncia%20de%20Portf&#243;lio/2.0/PFP/Planilhas%20de%20Pre&#231;o/CC/v2/PFP%20-%20MODELO%20-%20Venda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oio%20administrativo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nilce\Desktop\PR.115.19%20-%20DF%20-%20TCU%20-%20PE%2052.2019%20-%20Apoio%20Adm\3%20-%20Propostas%20-%20lance\PR.114.19%20-%20DF%20-%20TCU%20-%20PE%2052.20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MERCIAL\CONTRATOS%20ATIVOS\TST%20PE%2084%202015\TST%2084%202015\PLANILHA%20DEFINITIVA%20Ajuste%2024%2011%202015\Planilha%20de%20Custos%20e%20Forma&#231;&#227;o%20de%20Pre&#231;os%20TST%20PE%20842015%20%20G&amp;E%2024%201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una.Silva\Downloads\Proposta%20Cap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tservices.ctis.com.br/Users/PABLO~1.TEI/AppData/Local/Temp/FWS-PlanilhaPre&#231;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\Publico\Comercial\Comercial%202018\Propostas\PR.095.18%20-%20DF%20-%20STJ%20-%20PE%2096.2018%20-%20T&#233;cnico%20Secretariado\3%20-%20Propostas%20-%20lance\b.PR.095.18%20-%20DF%20-%20STJ%20-%20PE%2096.2018%20-%20Ajuste%20SAT%20Tax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services.ctis.com.br/_Pablo/Work%20CTIS/Ger&#234;ncia%20de%20Portf&#243;lio/2.0/PFP/Planilhas%20de%20Pre&#231;o/Infra/PFP%20-%20MODELO%20-%20Revis&#227;o%2010.0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akeline.donega\AppData\Local\Microsoft\Windows\Temporary%20Internet%20Files\Content.Outlook\Z0WBN25Q\3414_PregElet_Planilha_de_Custos%20-%20Destravad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services.ctis.com.br/Users/talyta.ribeiro/AppData/Local/Microsoft/Windows/Temporary%20Internet%20Files/Content.IE5/UJX2NGDC/ICD-PlanilhaPre&#231;o_v1.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LANILHAS\0.Modelo\Planilha%20para%20Posto%20de%20Trabalho%20-%20Mo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A DE PREÇOS"/>
      <sheetName val="NÍVEL SUPERIOR"/>
      <sheetName val="LANCES"/>
      <sheetName val="Planilha1"/>
      <sheetName val="RESUMO"/>
      <sheetName val="SALÁRIOS"/>
      <sheetName val="ADM 1"/>
      <sheetName val="ADM 2"/>
      <sheetName val="RECEPCIONISTA"/>
      <sheetName val="SUPERVISOR"/>
      <sheetName val="SECRET. EXECUTIVO"/>
      <sheetName val="SECRET. BILINGUE"/>
      <sheetName val="TECNICO  EM SECRET. "/>
      <sheetName val="UNIFOME_1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">
          <cell r="B1" t="str">
            <v>POSTO</v>
          </cell>
          <cell r="C1" t="str">
            <v>QUANT.</v>
          </cell>
          <cell r="D1" t="str">
            <v>CCT INICIAL</v>
          </cell>
          <cell r="E1" t="str">
            <v>DATABASE INICIAL</v>
          </cell>
          <cell r="F1" t="str">
            <v>PISO/FORA DO PISO</v>
          </cell>
          <cell r="G1" t="str">
            <v>VALOR CONTRATO INICIAL</v>
          </cell>
          <cell r="H1" t="str">
            <v>VALOR
2025</v>
          </cell>
          <cell r="L1">
            <v>45.18</v>
          </cell>
        </row>
        <row r="2">
          <cell r="B2" t="str">
            <v>ASSISTENTE ADMINISTRATIVO I - MÉDIO</v>
          </cell>
          <cell r="C2">
            <v>60</v>
          </cell>
          <cell r="D2" t="str">
            <v>VALOR INICIAL: 
SINDISERVIÇOS X SEAC 2024 
(DF00012/2024)
CCT OFICIAL 2025:  
STICMB X SINDUSCON( DF000327/2025)</v>
          </cell>
          <cell r="E2">
            <v>45413</v>
          </cell>
          <cell r="F2" t="str">
            <v>FORA DO PISO</v>
          </cell>
          <cell r="G2">
            <v>2405.96</v>
          </cell>
          <cell r="H2">
            <v>2538.29</v>
          </cell>
          <cell r="L2">
            <v>5.5</v>
          </cell>
        </row>
        <row r="3">
          <cell r="B3" t="str">
            <v>ASSISTENTE ADMINISTRATIVO II - SUPERIOR</v>
          </cell>
          <cell r="C3">
            <v>75</v>
          </cell>
          <cell r="D3" t="str">
            <v>VALOR INICIAL: 
SINDISERVIÇOS X SEAC 2024 
(DF00012/2024)
CCT OFICIAL 2025:  
STICMB X SINDUSCON( DF000327/2025)</v>
          </cell>
          <cell r="E3">
            <v>45413</v>
          </cell>
          <cell r="F3" t="str">
            <v>FORA DO PISO</v>
          </cell>
          <cell r="G3">
            <v>3500</v>
          </cell>
          <cell r="H3">
            <v>3692.5</v>
          </cell>
          <cell r="L3">
            <v>3.3</v>
          </cell>
        </row>
        <row r="4">
          <cell r="B4" t="str">
            <v>RECEPCIONISTA</v>
          </cell>
          <cell r="C4">
            <v>40</v>
          </cell>
          <cell r="D4" t="str">
            <v>VALOR INICIAL: 
SINDISERVIÇOS X SEAC 2024 
(DF00012/2024)
CCT OFICIAL 2025:  
STICMB X SINDUSCON( DF000327/2025)</v>
          </cell>
          <cell r="E4">
            <v>45413</v>
          </cell>
          <cell r="F4" t="str">
            <v>FORA DO PISO</v>
          </cell>
          <cell r="G4">
            <v>2405.96</v>
          </cell>
          <cell r="H4">
            <v>2538.29</v>
          </cell>
          <cell r="L4">
            <v>12.81</v>
          </cell>
        </row>
        <row r="5">
          <cell r="B5" t="str">
            <v>SUPERVISOR</v>
          </cell>
          <cell r="C5">
            <v>2</v>
          </cell>
          <cell r="D5" t="str">
            <v>VALOR INICIAL: 
SINDISERVIÇOS X SEAC 2024 
(DF00012/2024)
CCT OFICIAL 2025:  
STICMB X SINDUSCON( DF000327/2025)</v>
          </cell>
          <cell r="E5">
            <v>45413</v>
          </cell>
          <cell r="F5" t="str">
            <v>FORA DO PISO</v>
          </cell>
          <cell r="G5">
            <v>3222.4</v>
          </cell>
          <cell r="H5">
            <v>3399.63</v>
          </cell>
          <cell r="L5">
            <v>44.7</v>
          </cell>
        </row>
        <row r="6">
          <cell r="B6" t="str">
            <v>SECRETARIADO EXECUTIVO</v>
          </cell>
          <cell r="C6">
            <v>80</v>
          </cell>
          <cell r="D6" t="str">
            <v>SISDF X SEAC 2024
DF000005/2024</v>
          </cell>
          <cell r="E6">
            <v>45292</v>
          </cell>
          <cell r="F6" t="str">
            <v>PISO</v>
          </cell>
          <cell r="G6">
            <v>5648.08</v>
          </cell>
          <cell r="H6">
            <v>5930.48</v>
          </cell>
          <cell r="L6">
            <v>5.5</v>
          </cell>
        </row>
        <row r="7">
          <cell r="B7" t="str">
            <v>SECRETARIADO EXECUTIVO BILÍNGUE</v>
          </cell>
          <cell r="C7">
            <v>10</v>
          </cell>
          <cell r="D7" t="str">
            <v>SISDF X SEAC 2024
DF000005/2024</v>
          </cell>
          <cell r="E7">
            <v>45292</v>
          </cell>
          <cell r="F7" t="str">
            <v>PISO</v>
          </cell>
          <cell r="G7">
            <v>6398.62</v>
          </cell>
          <cell r="H7">
            <v>6718.55</v>
          </cell>
          <cell r="L7">
            <v>3.61</v>
          </cell>
        </row>
        <row r="8">
          <cell r="B8" t="str">
            <v>TÉCNICO EM SECRETARIADO</v>
          </cell>
          <cell r="C8">
            <v>3</v>
          </cell>
          <cell r="D8" t="str">
            <v>SISDF X SEAC 2024
DF000005/2024</v>
          </cell>
          <cell r="E8">
            <v>45292</v>
          </cell>
          <cell r="F8" t="str">
            <v>PISO</v>
          </cell>
          <cell r="G8">
            <v>2891.28</v>
          </cell>
          <cell r="H8">
            <v>3095</v>
          </cell>
          <cell r="L8">
            <v>13.64</v>
          </cell>
        </row>
        <row r="13">
          <cell r="K13">
            <v>3.5999999999999997E-2</v>
          </cell>
          <cell r="L13">
            <v>2.7E-2</v>
          </cell>
          <cell r="M13">
            <v>1.7999999999999999E-2</v>
          </cell>
          <cell r="N13">
            <v>0</v>
          </cell>
        </row>
        <row r="14">
          <cell r="K14">
            <v>0.05</v>
          </cell>
          <cell r="L14">
            <v>0.1</v>
          </cell>
          <cell r="M14">
            <v>0.15</v>
          </cell>
          <cell r="N14">
            <v>0.2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Parâmetros"/>
      <sheetName val="Menu"/>
      <sheetName val="FAP"/>
      <sheetName val="Escopo"/>
      <sheetName val="Detalhamento do escopo"/>
      <sheetName val="Rateio"/>
      <sheetName val="Encargos Sociais"/>
      <sheetName val="Pessoas"/>
      <sheetName val="Pregão"/>
      <sheetName val="Conven. - Sindic."/>
      <sheetName val="Parecer tributário"/>
      <sheetName val="Documentos"/>
      <sheetName val="Cotações"/>
      <sheetName val="Implantação"/>
      <sheetName val="Desmobilização"/>
      <sheetName val="2. Param Gerais"/>
      <sheetName val="Detalhamento_do_escopo"/>
      <sheetName val="Encargos_Sociais"/>
      <sheetName val="Conven__-_Sindic_"/>
      <sheetName val="Parecer_tributário"/>
      <sheetName val="2__Param_Gerais"/>
      <sheetName val="GSH"/>
      <sheetName val="Detalhamento_do_escopo1"/>
      <sheetName val="Encargos_Sociais1"/>
      <sheetName val="Conven__-_Sindic_1"/>
      <sheetName val="Parecer_tributário1"/>
      <sheetName val="2__Param_Gerais1"/>
      <sheetName val="anexo i"/>
    </sheetNames>
    <sheetDataSet>
      <sheetData sheetId="0" refreshError="1"/>
      <sheetData sheetId="1" refreshError="1"/>
      <sheetData sheetId="2" refreshError="1"/>
      <sheetData sheetId="3">
        <row r="8">
          <cell r="AJ8" t="str">
            <v>PREGÃO ELETRÔNICO</v>
          </cell>
          <cell r="AK8" t="str">
            <v>RJ</v>
          </cell>
          <cell r="AM8" t="str">
            <v>VENDA</v>
          </cell>
        </row>
        <row r="9">
          <cell r="AJ9" t="str">
            <v>PREGÃO PRESENCIAL</v>
          </cell>
          <cell r="AK9" t="str">
            <v>DF</v>
          </cell>
          <cell r="AM9">
            <v>12</v>
          </cell>
        </row>
        <row r="10">
          <cell r="AJ10" t="str">
            <v>REGISTRO DE PREÇOS</v>
          </cell>
          <cell r="AK10" t="str">
            <v>NE</v>
          </cell>
          <cell r="AM10">
            <v>24</v>
          </cell>
        </row>
        <row r="11">
          <cell r="AJ11" t="str">
            <v>TOMADA DE PREÇOS</v>
          </cell>
          <cell r="AK11" t="str">
            <v>SP</v>
          </cell>
          <cell r="AM11">
            <v>36</v>
          </cell>
        </row>
        <row r="12">
          <cell r="AM12">
            <v>48</v>
          </cell>
        </row>
        <row r="13">
          <cell r="AM13">
            <v>60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io administrativo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Resumo de Custos"/>
      <sheetName val="1.Encarregado"/>
      <sheetName val="2.Supervisor"/>
      <sheetName val="3.Recepção I"/>
      <sheetName val="4.Recepção II"/>
      <sheetName val="5.Recepção12x36 Diurno"/>
      <sheetName val="6.Recepção 12x36 Noturno"/>
      <sheetName val="7.Recepção Insal."/>
      <sheetName val="8.Garçom"/>
      <sheetName val="9.Telefonista"/>
      <sheetName val="10.Ascensorista"/>
      <sheetName val="11.Motorista"/>
      <sheetName val="12.Recepçao(Diária)"/>
      <sheetName val="13.Garçom (Diária) "/>
      <sheetName val="Uniformes "/>
      <sheetName val="Insumos Garçom"/>
      <sheetName val="Mat. Garçom"/>
      <sheetName val="Utensílios Garçom"/>
      <sheetName val="Materiais Recep."/>
      <sheetName val="Outros Órgãos"/>
      <sheetName val="Dados - Não mexer"/>
      <sheetName val="Resumo_de_Custos2"/>
      <sheetName val="1_Encarregado2"/>
      <sheetName val="2_Supervisor2"/>
      <sheetName val="3_Recepção_I2"/>
      <sheetName val="4_Recepção_II2"/>
      <sheetName val="5_Recepção12x36_Diurno2"/>
      <sheetName val="6_Recepção_12x36_Noturno2"/>
      <sheetName val="7_Recepção_Insal_2"/>
      <sheetName val="8_Garçom2"/>
      <sheetName val="9_Telefonista2"/>
      <sheetName val="10_Ascensorista2"/>
      <sheetName val="11_Motorista2"/>
      <sheetName val="12_Recepçao(Diária)2"/>
      <sheetName val="13_Garçom_(Diária)_2"/>
      <sheetName val="Uniformes_2"/>
      <sheetName val="Insumos_Garçom2"/>
      <sheetName val="Mat__Garçom2"/>
      <sheetName val="Utensílios_Garçom2"/>
      <sheetName val="Materiais_Recep_2"/>
      <sheetName val="Outros_Órgãos2"/>
      <sheetName val="Dados_-_Não_mexer2"/>
      <sheetName val="Resumo_de_Custos"/>
      <sheetName val="1_Encarregado"/>
      <sheetName val="2_Supervisor"/>
      <sheetName val="3_Recepção_I"/>
      <sheetName val="4_Recepção_II"/>
      <sheetName val="5_Recepção12x36_Diurno"/>
      <sheetName val="6_Recepção_12x36_Noturno"/>
      <sheetName val="7_Recepção_Insal_"/>
      <sheetName val="8_Garçom"/>
      <sheetName val="9_Telefonista"/>
      <sheetName val="10_Ascensorista"/>
      <sheetName val="11_Motorista"/>
      <sheetName val="12_Recepçao(Diária)"/>
      <sheetName val="13_Garçom_(Diária)_"/>
      <sheetName val="Uniformes_"/>
      <sheetName val="Insumos_Garçom"/>
      <sheetName val="Mat__Garçom"/>
      <sheetName val="Utensílios_Garçom"/>
      <sheetName val="Materiais_Recep_"/>
      <sheetName val="Outros_Órgãos"/>
      <sheetName val="Dados_-_Não_mexer"/>
      <sheetName val="Resumo_de_Custos1"/>
      <sheetName val="1_Encarregado1"/>
      <sheetName val="2_Supervisor1"/>
      <sheetName val="3_Recepção_I1"/>
      <sheetName val="4_Recepção_II1"/>
      <sheetName val="5_Recepção12x36_Diurno1"/>
      <sheetName val="6_Recepção_12x36_Noturno1"/>
      <sheetName val="7_Recepção_Insal_1"/>
      <sheetName val="8_Garçom1"/>
      <sheetName val="9_Telefonista1"/>
      <sheetName val="10_Ascensorista1"/>
      <sheetName val="11_Motorista1"/>
      <sheetName val="12_Recepçao(Diária)1"/>
      <sheetName val="13_Garçom_(Diária)_1"/>
      <sheetName val="Uniformes_1"/>
      <sheetName val="Insumos_Garçom1"/>
      <sheetName val="Mat__Garçom1"/>
      <sheetName val="Utensílios_Garçom1"/>
      <sheetName val="Materiais_Recep_1"/>
      <sheetName val="Outros_Órgãos1"/>
      <sheetName val="Dados_-_Não_mexer1"/>
      <sheetName val="Resumo_de_Custos3"/>
      <sheetName val="1_Encarregado3"/>
      <sheetName val="2_Supervisor3"/>
      <sheetName val="3_Recepção_I3"/>
      <sheetName val="4_Recepção_II3"/>
      <sheetName val="5_Recepção12x36_Diurno3"/>
      <sheetName val="6_Recepção_12x36_Noturno3"/>
      <sheetName val="7_Recepção_Insal_3"/>
      <sheetName val="8_Garçom3"/>
      <sheetName val="9_Telefonista3"/>
      <sheetName val="10_Ascensorista3"/>
      <sheetName val="11_Motorista3"/>
      <sheetName val="12_Recepçao(Diária)3"/>
      <sheetName val="13_Garçom_(Diária)_3"/>
      <sheetName val="Uniformes_3"/>
      <sheetName val="Insumos_Garçom3"/>
      <sheetName val="Mat__Garçom3"/>
      <sheetName val="Utensílios_Garçom3"/>
      <sheetName val="Materiais_Recep_3"/>
      <sheetName val="Outros_Órgãos3"/>
      <sheetName val="Dados_-_Não_mexer3"/>
      <sheetName val="2. Param Gerais"/>
      <sheetName val="Resumo_de_Custos4"/>
      <sheetName val="1_Encarregado4"/>
      <sheetName val="2_Supervisor4"/>
      <sheetName val="3_Recepção_I4"/>
      <sheetName val="4_Recepção_II4"/>
      <sheetName val="5_Recepção12x36_Diurno4"/>
      <sheetName val="6_Recepção_12x36_Noturno4"/>
      <sheetName val="7_Recepção_Insal_4"/>
      <sheetName val="8_Garçom4"/>
      <sheetName val="9_Telefonista4"/>
      <sheetName val="10_Ascensorista4"/>
      <sheetName val="11_Motorista4"/>
      <sheetName val="12_Recepçao(Diária)4"/>
      <sheetName val="13_Garçom_(Diária)_4"/>
      <sheetName val="Uniformes_4"/>
      <sheetName val="Insumos_Garçom4"/>
      <sheetName val="Mat__Garçom4"/>
      <sheetName val="Utensílios_Garçom4"/>
      <sheetName val="Materiais_Recep_4"/>
      <sheetName val="Outros_Órgãos4"/>
      <sheetName val="Dados_-_Não_mexer4"/>
      <sheetName val="Resumo_de_Custos5"/>
      <sheetName val="1_Encarregado5"/>
      <sheetName val="2_Supervisor5"/>
      <sheetName val="3_Recepção_I5"/>
      <sheetName val="4_Recepção_II5"/>
      <sheetName val="5_Recepção12x36_Diurno5"/>
      <sheetName val="6_Recepção_12x36_Noturno5"/>
      <sheetName val="7_Recepção_Insal_5"/>
      <sheetName val="8_Garçom5"/>
      <sheetName val="9_Telefonista5"/>
      <sheetName val="10_Ascensorista5"/>
      <sheetName val="11_Motorista5"/>
      <sheetName val="12_Recepçao(Diária)5"/>
      <sheetName val="13_Garçom_(Diária)_5"/>
      <sheetName val="Uniformes_5"/>
      <sheetName val="Insumos_Garçom5"/>
      <sheetName val="Mat__Garçom5"/>
      <sheetName val="Utensílios_Garçom5"/>
      <sheetName val="Materiais_Recep_5"/>
      <sheetName val="Outros_Órgãos5"/>
      <sheetName val="Dados_-_Não_mexer5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Serviços</v>
          </cell>
        </row>
        <row r="2">
          <cell r="A2" t="str">
            <v>Encarregado Geral</v>
          </cell>
        </row>
        <row r="3">
          <cell r="A3" t="str">
            <v>Técnico em Secretariado</v>
          </cell>
        </row>
        <row r="4">
          <cell r="A4" t="str">
            <v>Copeiragem</v>
          </cell>
        </row>
        <row r="5">
          <cell r="A5" t="str">
            <v>Recepção</v>
          </cell>
        </row>
        <row r="6">
          <cell r="A6" t="str">
            <v>Garçom</v>
          </cell>
        </row>
        <row r="7">
          <cell r="A7" t="str">
            <v>Atendente de Ouvidoria</v>
          </cell>
        </row>
        <row r="8">
          <cell r="A8" t="str">
            <v>Telefonista</v>
          </cell>
        </row>
        <row r="9">
          <cell r="A9" t="str">
            <v>Ascensorista</v>
          </cell>
        </row>
        <row r="10">
          <cell r="A10" t="str">
            <v>Supervisor</v>
          </cell>
        </row>
        <row r="11">
          <cell r="A11" t="str">
            <v>Motorista</v>
          </cell>
        </row>
        <row r="12">
          <cell r="A12" t="str">
            <v>Agente de Portaria - Diarista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A1" t="str">
            <v>Serviços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A1" t="str">
            <v>Serviços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">
          <cell r="A1" t="str">
            <v>Serviços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1">
          <cell r="A1" t="str">
            <v>Serviços</v>
          </cell>
        </row>
      </sheetData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">
          <cell r="A1" t="str">
            <v>Serviços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1">
          <cell r="A1" t="str">
            <v>Serviços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io"/>
      <sheetName val="RESUMO TJDFT"/>
      <sheetName val="Dados Contratação"/>
      <sheetName val="Dados Proponente"/>
      <sheetName val="Insumos"/>
      <sheetName val="Copeiro"/>
      <sheetName val="Garçom"/>
      <sheetName val="Chefe de cozinha"/>
      <sheetName val="Ajudante de Cozinha"/>
      <sheetName val="Almoxarife"/>
      <sheetName val="Nutricionista"/>
      <sheetName val="Supervisor"/>
      <sheetName val="Encarregado Geral"/>
      <sheetName val="Hrs excedentes"/>
      <sheetName val="Valor Global"/>
      <sheetName val="Plan1"/>
      <sheetName val="Proposta"/>
      <sheetName val="RESUMO_TJDFT"/>
      <sheetName val="Dados_Contratação"/>
      <sheetName val="Dados_Proponente"/>
      <sheetName val="Chefe_de_cozinha"/>
      <sheetName val="Ajudante_de_Cozinha"/>
      <sheetName val="Encarregado_Geral"/>
      <sheetName val="Hrs_excedentes"/>
      <sheetName val="Valor_Global"/>
      <sheetName val="RESUMO_TJDFT1"/>
      <sheetName val="Dados_Contratação1"/>
      <sheetName val="Dados_Proponente1"/>
      <sheetName val="Chefe_de_cozinha1"/>
      <sheetName val="Ajudante_de_Cozinha1"/>
      <sheetName val="Encarregado_Geral1"/>
      <sheetName val="Hrs_excedentes1"/>
      <sheetName val="Valor_Global1"/>
      <sheetName val="RESUMO_TJDFT2"/>
      <sheetName val="Dados_Contratação2"/>
      <sheetName val="Dados_Proponente2"/>
      <sheetName val="Chefe_de_cozinha2"/>
      <sheetName val="Ajudante_de_Cozinha2"/>
      <sheetName val="Encarregado_Geral2"/>
      <sheetName val="Hrs_excedentes2"/>
      <sheetName val="Valor_Global2"/>
      <sheetName val="RESUMO_TJDFT4"/>
      <sheetName val="Dados_Contratação4"/>
      <sheetName val="Dados_Proponente4"/>
      <sheetName val="Chefe_de_cozinha4"/>
      <sheetName val="Ajudante_de_Cozinha4"/>
      <sheetName val="Encarregado_Geral4"/>
      <sheetName val="Hrs_excedentes4"/>
      <sheetName val="Valor_Global4"/>
      <sheetName val="RESUMO_TJDFT3"/>
      <sheetName val="Dados_Contratação3"/>
      <sheetName val="Dados_Proponente3"/>
      <sheetName val="Chefe_de_cozinha3"/>
      <sheetName val="Ajudante_de_Cozinha3"/>
      <sheetName val="Encarregado_Geral3"/>
      <sheetName val="Hrs_excedentes3"/>
      <sheetName val="Valor_Global3"/>
      <sheetName val="RESUMO_TJDFT7"/>
      <sheetName val="Dados_Contratação7"/>
      <sheetName val="Dados_Proponente7"/>
      <sheetName val="Chefe_de_cozinha7"/>
      <sheetName val="Ajudante_de_Cozinha7"/>
      <sheetName val="Encarregado_Geral7"/>
      <sheetName val="Hrs_excedentes7"/>
      <sheetName val="Valor_Global7"/>
      <sheetName val="RESUMO_TJDFT5"/>
      <sheetName val="Dados_Contratação5"/>
      <sheetName val="Dados_Proponente5"/>
      <sheetName val="Chefe_de_cozinha5"/>
      <sheetName val="Ajudante_de_Cozinha5"/>
      <sheetName val="Encarregado_Geral5"/>
      <sheetName val="Hrs_excedentes5"/>
      <sheetName val="Valor_Global5"/>
      <sheetName val="RESUMO_TJDFT6"/>
      <sheetName val="Dados_Contratação6"/>
      <sheetName val="Dados_Proponente6"/>
      <sheetName val="Chefe_de_cozinha6"/>
      <sheetName val="Ajudante_de_Cozinha6"/>
      <sheetName val="Encarregado_Geral6"/>
      <sheetName val="Hrs_excedentes6"/>
      <sheetName val="Valor_Global6"/>
      <sheetName val="RESUMO_TJDFT8"/>
      <sheetName val="Dados_Contratação8"/>
      <sheetName val="Dados_Proponente8"/>
      <sheetName val="Chefe_de_cozinha8"/>
      <sheetName val="Ajudante_de_Cozinha8"/>
      <sheetName val="Encarregado_Geral8"/>
      <sheetName val="Hrs_excedentes8"/>
      <sheetName val="Valor_Global8"/>
      <sheetName val="FAP"/>
      <sheetName val="RESUMO_TJDFT9"/>
      <sheetName val="Dados_Contratação9"/>
      <sheetName val="Dados_Proponente9"/>
      <sheetName val="Chefe_de_cozinha9"/>
      <sheetName val="Ajudante_de_Cozinha9"/>
      <sheetName val="Encarregado_Geral9"/>
      <sheetName val="Hrs_excedentes9"/>
      <sheetName val="Valor_Global9"/>
      <sheetName val="RESUMO_TJDFT10"/>
      <sheetName val="Dados_Contratação10"/>
      <sheetName val="Dados_Proponente10"/>
      <sheetName val="Chefe_de_cozinha10"/>
      <sheetName val="Ajudante_de_Cozinha10"/>
      <sheetName val="Encarregado_Geral10"/>
      <sheetName val="Hrs_excedentes10"/>
      <sheetName val="Valor_Global10"/>
    </sheetNames>
    <sheetDataSet>
      <sheetData sheetId="0">
        <row r="1">
          <cell r="A1" t="str">
            <v>Tipo de Joranda de Trabalho</v>
          </cell>
        </row>
        <row r="2">
          <cell r="A2" t="str">
            <v>Escala 12x36 horas</v>
          </cell>
        </row>
        <row r="3">
          <cell r="A3" t="str">
            <v>44 horas semanais</v>
          </cell>
        </row>
        <row r="4">
          <cell r="A4" t="str">
            <v>40 horas semanais</v>
          </cell>
        </row>
        <row r="5">
          <cell r="A5" t="str">
            <v>36 horas semanais</v>
          </cell>
        </row>
        <row r="6">
          <cell r="A6" t="str">
            <v>30 horas semanais</v>
          </cell>
        </row>
        <row r="7">
          <cell r="A7" t="str">
            <v>15 horas semanais (TQQ)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RESUMO"/>
      <sheetName val="INSERÇÃO-DE-DADOS (ISS 5%)"/>
      <sheetName val="DADOS-ESTATISTICOS"/>
      <sheetName val="ENCARGOS-SOCIAIS-E-TRABALHISTAS"/>
      <sheetName val="ASG"/>
      <sheetName val="MENSAGEIRO (5%)"/>
      <sheetName val="MENSAGEIRO (3%)"/>
      <sheetName val="MENSAGEIRO (2%)"/>
      <sheetName val="AUX. ALMOX."/>
      <sheetName val="FATURISTA"/>
      <sheetName val="AUX. ADM."/>
      <sheetName val="LÍDER"/>
      <sheetName val="UNIFORME"/>
      <sheetName val="EQUIPAMENTO"/>
      <sheetName val="INSERÇÃO-DE-DADOS_(ISS_5%)"/>
      <sheetName val="MENSAGEIRO_(5%)"/>
      <sheetName val="MENSAGEIRO_(3%)"/>
      <sheetName val="MENSAGEIRO_(2%)"/>
      <sheetName val="AUX__ALMOX_"/>
      <sheetName val="AUX__ADM_"/>
      <sheetName val="INSERÇÃO-DE-DADOS_(ISS_5%)3"/>
      <sheetName val="MENSAGEIRO_(5%)3"/>
      <sheetName val="MENSAGEIRO_(3%)3"/>
      <sheetName val="MENSAGEIRO_(2%)3"/>
      <sheetName val="AUX__ALMOX_3"/>
      <sheetName val="AUX__ADM_3"/>
      <sheetName val="INSERÇÃO-DE-DADOS_(ISS_5%)1"/>
      <sheetName val="MENSAGEIRO_(5%)1"/>
      <sheetName val="MENSAGEIRO_(3%)1"/>
      <sheetName val="MENSAGEIRO_(2%)1"/>
      <sheetName val="AUX__ALMOX_1"/>
      <sheetName val="AUX__ADM_1"/>
      <sheetName val="INSERÇÃO-DE-DADOS_(ISS_5%)2"/>
      <sheetName val="MENSAGEIRO_(5%)2"/>
      <sheetName val="MENSAGEIRO_(3%)2"/>
      <sheetName val="MENSAGEIRO_(2%)2"/>
      <sheetName val="AUX__ALMOX_2"/>
      <sheetName val="AUX__ADM_2"/>
      <sheetName val="INSERÇÃO-DE-DADOS_(ISS_5%)4"/>
      <sheetName val="MENSAGEIRO_(5%)4"/>
      <sheetName val="MENSAGEIRO_(3%)4"/>
      <sheetName val="MENSAGEIRO_(2%)4"/>
      <sheetName val="AUX__ALMOX_4"/>
      <sheetName val="AUX__ADM_4"/>
      <sheetName val="horas,vt,va"/>
      <sheetName val="INSERÇÃO-DE-DADOS_(ISS_5%)5"/>
      <sheetName val="MENSAGEIRO_(5%)5"/>
      <sheetName val="MENSAGEIRO_(3%)5"/>
      <sheetName val="MENSAGEIRO_(2%)5"/>
      <sheetName val="AUX__ALMOX_5"/>
      <sheetName val="AUX__ADM_5"/>
      <sheetName val="INSERÇÃO-DE-DADOS_(ISS_5%)6"/>
      <sheetName val="MENSAGEIRO_(5%)6"/>
      <sheetName val="MENSAGEIRO_(3%)6"/>
      <sheetName val="MENSAGEIRO_(2%)6"/>
      <sheetName val="AUX__ALMOX_6"/>
      <sheetName val="AUX__ADM_6"/>
    </sheetNames>
    <sheetDataSet>
      <sheetData sheetId="0"/>
      <sheetData sheetId="1">
        <row r="6">
          <cell r="E6">
            <v>18562.926840548294</v>
          </cell>
        </row>
      </sheetData>
      <sheetData sheetId="2">
        <row r="1">
          <cell r="B1" t="str">
            <v>RAMO:</v>
          </cell>
        </row>
        <row r="19">
          <cell r="E19">
            <v>1</v>
          </cell>
        </row>
        <row r="23">
          <cell r="D23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</sheetData>
      <sheetData sheetId="3">
        <row r="4">
          <cell r="F4">
            <v>220</v>
          </cell>
        </row>
        <row r="5">
          <cell r="F5">
            <v>7</v>
          </cell>
        </row>
        <row r="7">
          <cell r="F7">
            <v>15.2</v>
          </cell>
        </row>
        <row r="8">
          <cell r="F8">
            <v>12</v>
          </cell>
        </row>
        <row r="9">
          <cell r="F9">
            <v>60</v>
          </cell>
        </row>
        <row r="10">
          <cell r="F10">
            <v>52.5</v>
          </cell>
        </row>
        <row r="14">
          <cell r="F14">
            <v>6</v>
          </cell>
        </row>
        <row r="18">
          <cell r="F18">
            <v>62.93</v>
          </cell>
        </row>
        <row r="19">
          <cell r="F19">
            <v>5.55</v>
          </cell>
        </row>
        <row r="20">
          <cell r="F20">
            <v>40</v>
          </cell>
        </row>
        <row r="21">
          <cell r="F21">
            <v>94.45</v>
          </cell>
        </row>
        <row r="22">
          <cell r="F22">
            <v>30</v>
          </cell>
        </row>
        <row r="27">
          <cell r="F27">
            <v>1</v>
          </cell>
        </row>
        <row r="28">
          <cell r="F28">
            <v>5</v>
          </cell>
        </row>
        <row r="29">
          <cell r="F29">
            <v>1.42</v>
          </cell>
        </row>
        <row r="30">
          <cell r="F30">
            <v>45.22</v>
          </cell>
        </row>
        <row r="31">
          <cell r="F31">
            <v>0.44472535049413925</v>
          </cell>
        </row>
        <row r="32">
          <cell r="F32">
            <v>15</v>
          </cell>
        </row>
        <row r="33">
          <cell r="F33">
            <v>180</v>
          </cell>
        </row>
        <row r="34">
          <cell r="F34">
            <v>54.78</v>
          </cell>
        </row>
      </sheetData>
      <sheetData sheetId="4">
        <row r="5">
          <cell r="E5">
            <v>8.3333333333333321</v>
          </cell>
        </row>
        <row r="6">
          <cell r="E6">
            <v>2.7777777777777777</v>
          </cell>
        </row>
        <row r="9">
          <cell r="E9">
            <v>20</v>
          </cell>
        </row>
        <row r="10">
          <cell r="E10">
            <v>2.5</v>
          </cell>
        </row>
        <row r="11">
          <cell r="E11">
            <v>2.02</v>
          </cell>
        </row>
        <row r="12">
          <cell r="E12">
            <v>1.5</v>
          </cell>
        </row>
        <row r="13">
          <cell r="E13">
            <v>1</v>
          </cell>
        </row>
        <row r="14">
          <cell r="E14">
            <v>0.6</v>
          </cell>
        </row>
        <row r="15">
          <cell r="E15">
            <v>0.2</v>
          </cell>
        </row>
        <row r="16">
          <cell r="E16">
            <v>8</v>
          </cell>
        </row>
        <row r="17">
          <cell r="E17">
            <v>35.82</v>
          </cell>
        </row>
        <row r="20">
          <cell r="E20">
            <v>0.29105124999999998</v>
          </cell>
        </row>
        <row r="21">
          <cell r="E21">
            <v>1.1557269305555555</v>
          </cell>
        </row>
        <row r="22">
          <cell r="E22">
            <v>4</v>
          </cell>
        </row>
        <row r="26">
          <cell r="E26">
            <v>8.3333333333333321</v>
          </cell>
        </row>
        <row r="27">
          <cell r="E27">
            <v>0.27777777777777779</v>
          </cell>
        </row>
        <row r="28">
          <cell r="E28">
            <v>8.9183888888888872E-3</v>
          </cell>
        </row>
        <row r="29">
          <cell r="E29">
            <v>1.85302229372558E-2</v>
          </cell>
        </row>
        <row r="30">
          <cell r="E30">
            <v>0.13931759160000001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RAMO: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B1" t="str">
            <v>RAMO:</v>
          </cell>
        </row>
      </sheetData>
      <sheetData sheetId="22"/>
      <sheetData sheetId="23"/>
      <sheetData sheetId="24"/>
      <sheetData sheetId="25"/>
      <sheetData sheetId="26"/>
      <sheetData sheetId="27">
        <row r="1">
          <cell r="B1" t="str">
            <v>RAMO:</v>
          </cell>
        </row>
      </sheetData>
      <sheetData sheetId="28"/>
      <sheetData sheetId="29"/>
      <sheetData sheetId="30"/>
      <sheetData sheetId="31"/>
      <sheetData sheetId="32"/>
      <sheetData sheetId="33">
        <row r="1">
          <cell r="B1" t="str">
            <v>RAMO:</v>
          </cell>
        </row>
      </sheetData>
      <sheetData sheetId="34"/>
      <sheetData sheetId="35"/>
      <sheetData sheetId="36"/>
      <sheetData sheetId="37"/>
      <sheetData sheetId="38"/>
      <sheetData sheetId="39">
        <row r="1">
          <cell r="B1" t="str">
            <v>RAMO:</v>
          </cell>
        </row>
      </sheetData>
      <sheetData sheetId="40"/>
      <sheetData sheetId="41"/>
      <sheetData sheetId="42"/>
      <sheetData sheetId="43"/>
      <sheetData sheetId="44"/>
      <sheetData sheetId="45" refreshError="1"/>
      <sheetData sheetId="46">
        <row r="1">
          <cell r="B1" t="str">
            <v>RAMO:</v>
          </cell>
        </row>
      </sheetData>
      <sheetData sheetId="47"/>
      <sheetData sheetId="48"/>
      <sheetData sheetId="49"/>
      <sheetData sheetId="50"/>
      <sheetData sheetId="51"/>
      <sheetData sheetId="52">
        <row r="1">
          <cell r="B1" t="str">
            <v>RAMO:</v>
          </cell>
        </row>
      </sheetData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s"/>
      <sheetName val="0. Instruções"/>
      <sheetName val="1. Identificação"/>
      <sheetName val="2. Param Gerais"/>
      <sheetName val="3. RH-Escala"/>
      <sheetName val="3.1 RH-Pessoal"/>
      <sheetName val="4. Negócio-Parâmetros"/>
      <sheetName val="4.1 Negócio-RH"/>
      <sheetName val="4.2 Negócio-Insumos"/>
      <sheetName val="4.3 Cronus Fisic Juros"/>
      <sheetName val="5. Resumo"/>
      <sheetName val="0__Instruções"/>
      <sheetName val="1__Identificação"/>
      <sheetName val="2__Param_Gerais"/>
      <sheetName val="3__RH-Escala"/>
      <sheetName val="3_1_RH-Pessoal"/>
      <sheetName val="4__Negócio-Parâmetros"/>
      <sheetName val="4_1_Negócio-RH"/>
      <sheetName val="4_2_Negócio-Insumos"/>
      <sheetName val="4_3_Cronus_Fisic_Juros"/>
      <sheetName val="5__Resumo"/>
      <sheetName val="0__Instruções1"/>
      <sheetName val="1__Identificação1"/>
      <sheetName val="2__Param_Gerais1"/>
      <sheetName val="3__RH-Escala1"/>
      <sheetName val="3_1_RH-Pessoal1"/>
      <sheetName val="4__Negócio-Parâmetros1"/>
      <sheetName val="4_1_Negócio-RH1"/>
      <sheetName val="4_2_Negócio-Insumos1"/>
      <sheetName val="4_3_Cronus_Fisic_Juros1"/>
      <sheetName val="5__Resumo1"/>
      <sheetName val="0__Instruções2"/>
      <sheetName val="1__Identificação2"/>
      <sheetName val="2__Param_Gerais2"/>
      <sheetName val="3__RH-Escala2"/>
      <sheetName val="3_1_RH-Pessoal2"/>
      <sheetName val="4__Negócio-Parâmetros2"/>
      <sheetName val="4_1_Negócio-RH2"/>
      <sheetName val="4_2_Negócio-Insumos2"/>
      <sheetName val="4_3_Cronus_Fisic_Juros2"/>
      <sheetName val="5__Resumo2"/>
      <sheetName val="0__Instruções4"/>
      <sheetName val="1__Identificação4"/>
      <sheetName val="2__Param_Gerais4"/>
      <sheetName val="3__RH-Escala4"/>
      <sheetName val="3_1_RH-Pessoal4"/>
      <sheetName val="4__Negócio-Parâmetros4"/>
      <sheetName val="4_1_Negócio-RH4"/>
      <sheetName val="4_2_Negócio-Insumos4"/>
      <sheetName val="4_3_Cronus_Fisic_Juros4"/>
      <sheetName val="5__Resumo4"/>
      <sheetName val="0__Instruções3"/>
      <sheetName val="1__Identificação3"/>
      <sheetName val="2__Param_Gerais3"/>
      <sheetName val="3__RH-Escala3"/>
      <sheetName val="3_1_RH-Pessoal3"/>
      <sheetName val="4__Negócio-Parâmetros3"/>
      <sheetName val="4_1_Negócio-RH3"/>
      <sheetName val="4_2_Negócio-Insumos3"/>
      <sheetName val="4_3_Cronus_Fisic_Juros3"/>
      <sheetName val="5__Resumo3"/>
      <sheetName val="0__Instruções5"/>
      <sheetName val="1__Identificação5"/>
      <sheetName val="2__Param_Gerais5"/>
      <sheetName val="3__RH-Escala5"/>
      <sheetName val="3_1_RH-Pessoal5"/>
      <sheetName val="4__Negócio-Parâmetros5"/>
      <sheetName val="4_1_Negócio-RH5"/>
      <sheetName val="4_2_Negócio-Insumos5"/>
      <sheetName val="4_3_Cronus_Fisic_Juros5"/>
      <sheetName val="5__Resumo5"/>
      <sheetName val="0__Instruções8"/>
      <sheetName val="1__Identificação8"/>
      <sheetName val="2__Param_Gerais8"/>
      <sheetName val="3__RH-Escala8"/>
      <sheetName val="3_1_RH-Pessoal8"/>
      <sheetName val="4__Negócio-Parâmetros8"/>
      <sheetName val="4_1_Negócio-RH8"/>
      <sheetName val="4_2_Negócio-Insumos8"/>
      <sheetName val="4_3_Cronus_Fisic_Juros8"/>
      <sheetName val="5__Resumo8"/>
      <sheetName val="0__Instruções6"/>
      <sheetName val="1__Identificação6"/>
      <sheetName val="2__Param_Gerais6"/>
      <sheetName val="3__RH-Escala6"/>
      <sheetName val="3_1_RH-Pessoal6"/>
      <sheetName val="4__Negócio-Parâmetros6"/>
      <sheetName val="4_1_Negócio-RH6"/>
      <sheetName val="4_2_Negócio-Insumos6"/>
      <sheetName val="4_3_Cronus_Fisic_Juros6"/>
      <sheetName val="5__Resumo6"/>
      <sheetName val="0__Instruções7"/>
      <sheetName val="1__Identificação7"/>
      <sheetName val="2__Param_Gerais7"/>
      <sheetName val="3__RH-Escala7"/>
      <sheetName val="3_1_RH-Pessoal7"/>
      <sheetName val="4__Negócio-Parâmetros7"/>
      <sheetName val="4_1_Negócio-RH7"/>
      <sheetName val="4_2_Negócio-Insumos7"/>
      <sheetName val="4_3_Cronus_Fisic_Juros7"/>
      <sheetName val="5__Resumo7"/>
      <sheetName val="0__Instruções9"/>
      <sheetName val="1__Identificação9"/>
      <sheetName val="2__Param_Gerais9"/>
      <sheetName val="3__RH-Escala9"/>
      <sheetName val="3_1_RH-Pessoal9"/>
      <sheetName val="4__Negócio-Parâmetros9"/>
      <sheetName val="4_1_Negócio-RH9"/>
      <sheetName val="4_2_Negócio-Insumos9"/>
      <sheetName val="4_3_Cronus_Fisic_Juros9"/>
      <sheetName val="5__Resumo9"/>
      <sheetName val="0__Instruções10"/>
      <sheetName val="1__Identificação10"/>
      <sheetName val="2__Param_Gerais10"/>
      <sheetName val="3__RH-Escala10"/>
      <sheetName val="3_1_RH-Pessoal10"/>
      <sheetName val="4__Negócio-Parâmetros10"/>
      <sheetName val="4_1_Negócio-RH10"/>
      <sheetName val="4_2_Negócio-Insumos10"/>
      <sheetName val="4_3_Cronus_Fisic_Juros10"/>
      <sheetName val="5__Resumo10"/>
      <sheetName val="0__Instruções11"/>
      <sheetName val="1__Identificação11"/>
      <sheetName val="2__Param_Gerais11"/>
      <sheetName val="3__RH-Escala11"/>
      <sheetName val="3_1_RH-Pessoal11"/>
      <sheetName val="4__Negócio-Parâmetros11"/>
      <sheetName val="4_1_Negócio-RH11"/>
      <sheetName val="4_2_Negócio-Insumos11"/>
      <sheetName val="4_3_Cronus_Fisic_Juros11"/>
      <sheetName val="5__Resumo11"/>
      <sheetName val="dados-estatisticos"/>
      <sheetName val="encargos-sociais-e-trabalhistas"/>
    </sheetNames>
    <sheetDataSet>
      <sheetData sheetId="0"/>
      <sheetData sheetId="1">
        <row r="15">
          <cell r="D15">
            <v>0</v>
          </cell>
        </row>
      </sheetData>
      <sheetData sheetId="2">
        <row r="15">
          <cell r="D15">
            <v>0</v>
          </cell>
        </row>
      </sheetData>
      <sheetData sheetId="3">
        <row r="15">
          <cell r="D15">
            <v>0</v>
          </cell>
          <cell r="I15">
            <v>0</v>
          </cell>
          <cell r="N15">
            <v>0</v>
          </cell>
        </row>
        <row r="21">
          <cell r="I21">
            <v>0</v>
          </cell>
        </row>
        <row r="30">
          <cell r="C30">
            <v>0</v>
          </cell>
        </row>
        <row r="32">
          <cell r="C32">
            <v>0</v>
          </cell>
        </row>
        <row r="34">
          <cell r="C34">
            <v>0</v>
          </cell>
        </row>
        <row r="38">
          <cell r="C38">
            <v>0</v>
          </cell>
        </row>
      </sheetData>
      <sheetData sheetId="4"/>
      <sheetData sheetId="5"/>
      <sheetData sheetId="6"/>
      <sheetData sheetId="7"/>
      <sheetData sheetId="8"/>
      <sheetData sheetId="9">
        <row r="19">
          <cell r="G19">
            <v>0</v>
          </cell>
        </row>
      </sheetData>
      <sheetData sheetId="10"/>
      <sheetData sheetId="11">
        <row r="15">
          <cell r="D15">
            <v>0</v>
          </cell>
        </row>
      </sheetData>
      <sheetData sheetId="12">
        <row r="15">
          <cell r="D15">
            <v>0</v>
          </cell>
        </row>
      </sheetData>
      <sheetData sheetId="13">
        <row r="15">
          <cell r="D15">
            <v>0</v>
          </cell>
        </row>
      </sheetData>
      <sheetData sheetId="14"/>
      <sheetData sheetId="15"/>
      <sheetData sheetId="16"/>
      <sheetData sheetId="17"/>
      <sheetData sheetId="18"/>
      <sheetData sheetId="19">
        <row r="19">
          <cell r="G19">
            <v>0</v>
          </cell>
        </row>
      </sheetData>
      <sheetData sheetId="20"/>
      <sheetData sheetId="21">
        <row r="15">
          <cell r="D15">
            <v>0</v>
          </cell>
        </row>
      </sheetData>
      <sheetData sheetId="22">
        <row r="15">
          <cell r="D15">
            <v>0</v>
          </cell>
        </row>
      </sheetData>
      <sheetData sheetId="23">
        <row r="15">
          <cell r="D15">
            <v>0</v>
          </cell>
        </row>
      </sheetData>
      <sheetData sheetId="24"/>
      <sheetData sheetId="25"/>
      <sheetData sheetId="26"/>
      <sheetData sheetId="27"/>
      <sheetData sheetId="28"/>
      <sheetData sheetId="29">
        <row r="19">
          <cell r="G19">
            <v>0</v>
          </cell>
        </row>
      </sheetData>
      <sheetData sheetId="30"/>
      <sheetData sheetId="31">
        <row r="15">
          <cell r="D15">
            <v>0</v>
          </cell>
        </row>
      </sheetData>
      <sheetData sheetId="32">
        <row r="15">
          <cell r="D15">
            <v>0</v>
          </cell>
        </row>
      </sheetData>
      <sheetData sheetId="33">
        <row r="15">
          <cell r="D15">
            <v>0</v>
          </cell>
        </row>
      </sheetData>
      <sheetData sheetId="34"/>
      <sheetData sheetId="35"/>
      <sheetData sheetId="36"/>
      <sheetData sheetId="37"/>
      <sheetData sheetId="38"/>
      <sheetData sheetId="39">
        <row r="19">
          <cell r="G19">
            <v>0</v>
          </cell>
        </row>
      </sheetData>
      <sheetData sheetId="40"/>
      <sheetData sheetId="41">
        <row r="15">
          <cell r="D15">
            <v>0</v>
          </cell>
        </row>
      </sheetData>
      <sheetData sheetId="42">
        <row r="15">
          <cell r="D15">
            <v>0</v>
          </cell>
        </row>
      </sheetData>
      <sheetData sheetId="43">
        <row r="15">
          <cell r="D15">
            <v>0</v>
          </cell>
        </row>
      </sheetData>
      <sheetData sheetId="44"/>
      <sheetData sheetId="45"/>
      <sheetData sheetId="46"/>
      <sheetData sheetId="47"/>
      <sheetData sheetId="48"/>
      <sheetData sheetId="49">
        <row r="19">
          <cell r="G19">
            <v>0</v>
          </cell>
        </row>
      </sheetData>
      <sheetData sheetId="50"/>
      <sheetData sheetId="51">
        <row r="15">
          <cell r="D15">
            <v>0</v>
          </cell>
        </row>
      </sheetData>
      <sheetData sheetId="52">
        <row r="15">
          <cell r="D15">
            <v>0</v>
          </cell>
        </row>
      </sheetData>
      <sheetData sheetId="53">
        <row r="15">
          <cell r="D15">
            <v>0</v>
          </cell>
        </row>
      </sheetData>
      <sheetData sheetId="54"/>
      <sheetData sheetId="55"/>
      <sheetData sheetId="56"/>
      <sheetData sheetId="57"/>
      <sheetData sheetId="58"/>
      <sheetData sheetId="59">
        <row r="19">
          <cell r="G19">
            <v>0</v>
          </cell>
        </row>
      </sheetData>
      <sheetData sheetId="60"/>
      <sheetData sheetId="61">
        <row r="15">
          <cell r="D15">
            <v>0</v>
          </cell>
        </row>
      </sheetData>
      <sheetData sheetId="62">
        <row r="15">
          <cell r="D15">
            <v>0</v>
          </cell>
        </row>
      </sheetData>
      <sheetData sheetId="63">
        <row r="15">
          <cell r="D15">
            <v>0</v>
          </cell>
        </row>
      </sheetData>
      <sheetData sheetId="64"/>
      <sheetData sheetId="65"/>
      <sheetData sheetId="66"/>
      <sheetData sheetId="67"/>
      <sheetData sheetId="68"/>
      <sheetData sheetId="69">
        <row r="19">
          <cell r="G19">
            <v>0</v>
          </cell>
        </row>
      </sheetData>
      <sheetData sheetId="70"/>
      <sheetData sheetId="71">
        <row r="15">
          <cell r="D15">
            <v>0</v>
          </cell>
        </row>
      </sheetData>
      <sheetData sheetId="72">
        <row r="15">
          <cell r="D15">
            <v>0</v>
          </cell>
        </row>
      </sheetData>
      <sheetData sheetId="73">
        <row r="15">
          <cell r="D15">
            <v>0</v>
          </cell>
        </row>
      </sheetData>
      <sheetData sheetId="74"/>
      <sheetData sheetId="75"/>
      <sheetData sheetId="76"/>
      <sheetData sheetId="77"/>
      <sheetData sheetId="78"/>
      <sheetData sheetId="79">
        <row r="19">
          <cell r="G19">
            <v>0</v>
          </cell>
        </row>
      </sheetData>
      <sheetData sheetId="80"/>
      <sheetData sheetId="81">
        <row r="15">
          <cell r="D15">
            <v>0</v>
          </cell>
        </row>
      </sheetData>
      <sheetData sheetId="82">
        <row r="15">
          <cell r="D15">
            <v>0</v>
          </cell>
        </row>
      </sheetData>
      <sheetData sheetId="83">
        <row r="15">
          <cell r="D15">
            <v>0</v>
          </cell>
        </row>
      </sheetData>
      <sheetData sheetId="84"/>
      <sheetData sheetId="85"/>
      <sheetData sheetId="86"/>
      <sheetData sheetId="87"/>
      <sheetData sheetId="88"/>
      <sheetData sheetId="89">
        <row r="19">
          <cell r="G19">
            <v>0</v>
          </cell>
        </row>
      </sheetData>
      <sheetData sheetId="90"/>
      <sheetData sheetId="91">
        <row r="15">
          <cell r="D15">
            <v>0</v>
          </cell>
        </row>
      </sheetData>
      <sheetData sheetId="92">
        <row r="15">
          <cell r="D15">
            <v>0</v>
          </cell>
        </row>
      </sheetData>
      <sheetData sheetId="93">
        <row r="15">
          <cell r="D15">
            <v>0</v>
          </cell>
        </row>
      </sheetData>
      <sheetData sheetId="94"/>
      <sheetData sheetId="95"/>
      <sheetData sheetId="96"/>
      <sheetData sheetId="97"/>
      <sheetData sheetId="98"/>
      <sheetData sheetId="99">
        <row r="19">
          <cell r="G19">
            <v>0</v>
          </cell>
        </row>
      </sheetData>
      <sheetData sheetId="100"/>
      <sheetData sheetId="101">
        <row r="15">
          <cell r="D15">
            <v>0</v>
          </cell>
        </row>
      </sheetData>
      <sheetData sheetId="102">
        <row r="15">
          <cell r="D15">
            <v>0</v>
          </cell>
        </row>
      </sheetData>
      <sheetData sheetId="103">
        <row r="15">
          <cell r="D15">
            <v>0</v>
          </cell>
        </row>
      </sheetData>
      <sheetData sheetId="104"/>
      <sheetData sheetId="105"/>
      <sheetData sheetId="106"/>
      <sheetData sheetId="107"/>
      <sheetData sheetId="108"/>
      <sheetData sheetId="109">
        <row r="19">
          <cell r="G19">
            <v>0</v>
          </cell>
        </row>
      </sheetData>
      <sheetData sheetId="110"/>
      <sheetData sheetId="111">
        <row r="15">
          <cell r="D15">
            <v>0</v>
          </cell>
        </row>
      </sheetData>
      <sheetData sheetId="112">
        <row r="15">
          <cell r="D15">
            <v>0</v>
          </cell>
        </row>
      </sheetData>
      <sheetData sheetId="113">
        <row r="15">
          <cell r="D15">
            <v>0</v>
          </cell>
        </row>
      </sheetData>
      <sheetData sheetId="114"/>
      <sheetData sheetId="115"/>
      <sheetData sheetId="116"/>
      <sheetData sheetId="117"/>
      <sheetData sheetId="118"/>
      <sheetData sheetId="119">
        <row r="19">
          <cell r="G19">
            <v>0</v>
          </cell>
        </row>
      </sheetData>
      <sheetData sheetId="120"/>
      <sheetData sheetId="121">
        <row r="15">
          <cell r="D15">
            <v>0</v>
          </cell>
        </row>
      </sheetData>
      <sheetData sheetId="122">
        <row r="15">
          <cell r="D15">
            <v>0</v>
          </cell>
        </row>
      </sheetData>
      <sheetData sheetId="123">
        <row r="15">
          <cell r="D15">
            <v>0</v>
          </cell>
        </row>
      </sheetData>
      <sheetData sheetId="124"/>
      <sheetData sheetId="125"/>
      <sheetData sheetId="126"/>
      <sheetData sheetId="127"/>
      <sheetData sheetId="128"/>
      <sheetData sheetId="129">
        <row r="19">
          <cell r="G19">
            <v>0</v>
          </cell>
        </row>
      </sheetData>
      <sheetData sheetId="130"/>
      <sheetData sheetId="131"/>
      <sheetData sheetId="1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âmetros (não excluir)"/>
      <sheetName val="Proposta"/>
      <sheetName val="Quadro Resumo"/>
      <sheetName val="P1"/>
      <sheetName val="Detalhamento - Mod. 2 e 3"/>
      <sheetName val="Notas Explicativas"/>
      <sheetName val="PIS-COFINS Não cumulativos"/>
      <sheetName val="Subst. Férias"/>
      <sheetName val="Conta Vinculada"/>
      <sheetName val="Equimentos e Utensílios"/>
      <sheetName val="Materiais"/>
      <sheetName val="INSERÇÃO-DE-DADOS (ISS 5%)"/>
      <sheetName val="DADOS-ESTATISTICOS"/>
      <sheetName val="ENCARGOS-SOCIAIS-E-TRABALHISTAS"/>
    </sheetNames>
    <sheetDataSet>
      <sheetData sheetId="0">
        <row r="1">
          <cell r="A1" t="str">
            <v>Pis/Cofins: Regime Cumulativo</v>
          </cell>
          <cell r="F1">
            <v>0.2</v>
          </cell>
          <cell r="H1" t="str">
            <v>P1</v>
          </cell>
        </row>
        <row r="2">
          <cell r="A2" t="str">
            <v>Pis/Cofins: Regime Não-Cumulativo</v>
          </cell>
          <cell r="F2">
            <v>0</v>
          </cell>
          <cell r="H2" t="str">
            <v>P2</v>
          </cell>
        </row>
        <row r="3">
          <cell r="H3" t="str">
            <v>P3</v>
          </cell>
        </row>
        <row r="4">
          <cell r="H4" t="str">
            <v>P4</v>
          </cell>
        </row>
        <row r="5">
          <cell r="H5" t="str">
            <v>P5</v>
          </cell>
        </row>
        <row r="6">
          <cell r="H6" t="str">
            <v>P6</v>
          </cell>
        </row>
        <row r="7">
          <cell r="H7" t="str">
            <v>P7</v>
          </cell>
        </row>
        <row r="8">
          <cell r="H8" t="str">
            <v>P8</v>
          </cell>
        </row>
        <row r="9">
          <cell r="H9" t="str">
            <v>P9</v>
          </cell>
        </row>
        <row r="10">
          <cell r="H10" t="str">
            <v>P10</v>
          </cell>
        </row>
        <row r="11">
          <cell r="H11" t="str">
            <v>P11</v>
          </cell>
        </row>
        <row r="12">
          <cell r="H12" t="str">
            <v>P12</v>
          </cell>
        </row>
        <row r="13">
          <cell r="H13" t="str">
            <v>P13</v>
          </cell>
        </row>
        <row r="14">
          <cell r="H14" t="str">
            <v>P14</v>
          </cell>
        </row>
        <row r="15">
          <cell r="H15" t="str">
            <v>P15</v>
          </cell>
        </row>
        <row r="16">
          <cell r="H16" t="str">
            <v>P16</v>
          </cell>
        </row>
        <row r="17">
          <cell r="H17" t="str">
            <v>P17</v>
          </cell>
        </row>
        <row r="18">
          <cell r="H18" t="str">
            <v>P18</v>
          </cell>
        </row>
        <row r="19">
          <cell r="H19" t="str">
            <v>P19</v>
          </cell>
        </row>
        <row r="20">
          <cell r="H20" t="str">
            <v>P20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Encargos Sociais"/>
      <sheetName val="Parâmetros"/>
      <sheetName val="FAP"/>
      <sheetName val="Escopo"/>
      <sheetName val="Detalhamento do Escopo"/>
      <sheetName val="Insumos"/>
      <sheetName val="Pessoas"/>
      <sheetName val="Pregão_VENDA"/>
      <sheetName val="Pregão_LOCAÇÃO"/>
      <sheetName val="Parecer tributário"/>
      <sheetName val="Documentos"/>
      <sheetName val="Implantação"/>
      <sheetName val="Encargos_Sociais"/>
      <sheetName val="Detalhamento_do_Escopo"/>
      <sheetName val="Parecer_tributário"/>
      <sheetName val="2. Param Gerais"/>
      <sheetName val="Encargos_Sociais1"/>
      <sheetName val="Detalhamento_do_Escopo1"/>
      <sheetName val="Parecer_tributário1"/>
    </sheetNames>
    <sheetDataSet>
      <sheetData sheetId="0">
        <row r="14">
          <cell r="H14" t="str">
            <v>VENDA</v>
          </cell>
        </row>
      </sheetData>
      <sheetData sheetId="1">
        <row r="7">
          <cell r="D7">
            <v>12</v>
          </cell>
        </row>
      </sheetData>
      <sheetData sheetId="2">
        <row r="7">
          <cell r="D7">
            <v>12</v>
          </cell>
          <cell r="E7">
            <v>24</v>
          </cell>
          <cell r="F7">
            <v>36</v>
          </cell>
          <cell r="G7">
            <v>48</v>
          </cell>
          <cell r="H7">
            <v>60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D9">
            <v>9.1089000000000003E-2</v>
          </cell>
          <cell r="E9">
            <v>4.9110000000000001E-2</v>
          </cell>
          <cell r="F9">
            <v>3.5639499999999998E-2</v>
          </cell>
          <cell r="G9">
            <v>2.9239999999999999E-2</v>
          </cell>
          <cell r="H9">
            <v>2.4721E-2</v>
          </cell>
        </row>
        <row r="10">
          <cell r="D10">
            <v>9.3068000000000151E-2</v>
          </cell>
          <cell r="E10">
            <v>0.17864000000000013</v>
          </cell>
          <cell r="F10">
            <v>0.28302199999999988</v>
          </cell>
          <cell r="G10">
            <v>0.40351999999999988</v>
          </cell>
          <cell r="H10">
            <v>0.48326000000000002</v>
          </cell>
        </row>
        <row r="11">
          <cell r="D11">
            <v>0.08</v>
          </cell>
          <cell r="E11">
            <v>0.16639999999999999</v>
          </cell>
          <cell r="F11">
            <v>0.259712</v>
          </cell>
          <cell r="G11">
            <v>0.36048895999999997</v>
          </cell>
          <cell r="H11">
            <v>0.46932807679999999</v>
          </cell>
        </row>
        <row r="12">
          <cell r="D12">
            <v>0.12</v>
          </cell>
          <cell r="E12">
            <v>0.25440000000000002</v>
          </cell>
          <cell r="F12">
            <v>0.40492800000000001</v>
          </cell>
          <cell r="G12">
            <v>0.57351936000000003</v>
          </cell>
          <cell r="H12">
            <v>0.76234168320000006</v>
          </cell>
        </row>
      </sheetData>
      <sheetData sheetId="3">
        <row r="14">
          <cell r="H14" t="str">
            <v>VENDA</v>
          </cell>
          <cell r="U14">
            <v>36</v>
          </cell>
        </row>
        <row r="18">
          <cell r="BJ18">
            <v>0</v>
          </cell>
        </row>
      </sheetData>
      <sheetData sheetId="4"/>
      <sheetData sheetId="5"/>
      <sheetData sheetId="6">
        <row r="139">
          <cell r="I139">
            <v>0</v>
          </cell>
        </row>
      </sheetData>
      <sheetData sheetId="7">
        <row r="59">
          <cell r="BQ59">
            <v>0</v>
          </cell>
        </row>
      </sheetData>
      <sheetData sheetId="8">
        <row r="10">
          <cell r="J10">
            <v>5.0000000000000001E-3</v>
          </cell>
        </row>
      </sheetData>
      <sheetData sheetId="9"/>
      <sheetData sheetId="10"/>
      <sheetData sheetId="11"/>
      <sheetData sheetId="12"/>
      <sheetData sheetId="13">
        <row r="7">
          <cell r="D7">
            <v>12</v>
          </cell>
        </row>
      </sheetData>
      <sheetData sheetId="14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NIVEL 1 Receptivo"/>
      <sheetName val="NIVEL 1 Ativo"/>
      <sheetName val="NIVEL 1 Aprovação "/>
      <sheetName val="NIVEL 1 Supervisão"/>
      <sheetName val="NIVEL 2 Atendimento "/>
      <sheetName val="NIVEL 2 Gerenciam Problemas"/>
      <sheetName val="NIVEL 2 Demanda Gestores"/>
      <sheetName val="NIVEL 2 Supervisão"/>
      <sheetName val="CAMPO Edserj+Ventura"/>
      <sheetName val="CAMPO Controle de Ativos"/>
      <sheetName val="CAMPO Apoio"/>
      <sheetName val="CAMPO Supervisão"/>
      <sheetName val="CAMPO Supervisão Geral"/>
      <sheetName val="REGIONAL Brasilia"/>
      <sheetName val="REGIONAL Recife"/>
      <sheetName val="REGIONAL São Paulo"/>
      <sheetName val="QUALIDADE Auditoria"/>
      <sheetName val="QUALIDADE Base de conhecimento"/>
      <sheetName val="QUALIDADE Supervisão"/>
      <sheetName val="GERENTE "/>
      <sheetName val="INFRAESTRUTURA DE TIC"/>
      <sheetName val="Valor_Global"/>
      <sheetName val="PROPOSTA DE PREÇOS"/>
      <sheetName val="Dados"/>
      <sheetName val="GSH"/>
      <sheetName val="NIVEL_1_Receptivo"/>
      <sheetName val="NIVEL_1_Ativo"/>
      <sheetName val="NIVEL_1_Aprovação_"/>
      <sheetName val="NIVEL_1_Supervisão"/>
      <sheetName val="NIVEL_2_Atendimento_"/>
      <sheetName val="NIVEL_2_Gerenciam_Problemas"/>
      <sheetName val="NIVEL_2_Demanda_Gestores"/>
      <sheetName val="NIVEL_2_Supervisão"/>
      <sheetName val="CAMPO_Edserj+Ventura"/>
      <sheetName val="CAMPO_Controle_de_Ativos"/>
      <sheetName val="CAMPO_Apoio"/>
      <sheetName val="CAMPO_Supervisão"/>
      <sheetName val="CAMPO_Supervisão_Geral"/>
      <sheetName val="REGIONAL_Brasilia"/>
      <sheetName val="REGIONAL_Recife"/>
      <sheetName val="REGIONAL_São_Paulo"/>
      <sheetName val="QUALIDADE_Auditoria"/>
      <sheetName val="QUALIDADE_Base_de_conhecimento"/>
      <sheetName val="QUALIDADE_Supervisão"/>
      <sheetName val="GERENTE_"/>
      <sheetName val="INFRAESTRUTURA_DE_TIC"/>
      <sheetName val="PROPOSTA_DE_PREÇOS"/>
      <sheetName val="NIVEL_1_Receptivo1"/>
      <sheetName val="NIVEL_1_Ativo1"/>
      <sheetName val="NIVEL_1_Aprovação_1"/>
      <sheetName val="NIVEL_1_Supervisão1"/>
      <sheetName val="NIVEL_2_Atendimento_1"/>
      <sheetName val="NIVEL_2_Gerenciam_Problemas1"/>
      <sheetName val="NIVEL_2_Demanda_Gestores1"/>
      <sheetName val="NIVEL_2_Supervisão1"/>
      <sheetName val="CAMPO_Edserj+Ventura1"/>
      <sheetName val="CAMPO_Controle_de_Ativos1"/>
      <sheetName val="CAMPO_Apoio1"/>
      <sheetName val="CAMPO_Supervisão1"/>
      <sheetName val="CAMPO_Supervisão_Geral1"/>
      <sheetName val="REGIONAL_Brasilia1"/>
      <sheetName val="REGIONAL_Recife1"/>
      <sheetName val="REGIONAL_São_Paulo1"/>
      <sheetName val="QUALIDADE_Auditoria1"/>
      <sheetName val="QUALIDADE_Base_de_conhecimento1"/>
      <sheetName val="QUALIDADE_Supervisão1"/>
      <sheetName val="GERENTE_1"/>
      <sheetName val="INFRAESTRUTURA_DE_TIC1"/>
      <sheetName val="PROPOSTA_DE_PREÇOS1"/>
      <sheetName val="NIVEL_1_Receptivo2"/>
      <sheetName val="NIVEL_1_Ativo2"/>
      <sheetName val="NIVEL_1_Aprovação_2"/>
      <sheetName val="NIVEL_1_Supervisão2"/>
      <sheetName val="NIVEL_2_Atendimento_2"/>
      <sheetName val="NIVEL_2_Gerenciam_Problemas2"/>
      <sheetName val="NIVEL_2_Demanda_Gestores2"/>
      <sheetName val="NIVEL_2_Supervisão2"/>
      <sheetName val="CAMPO_Edserj+Ventura2"/>
      <sheetName val="CAMPO_Controle_de_Ativos2"/>
      <sheetName val="CAMPO_Apoio2"/>
      <sheetName val="CAMPO_Supervisão2"/>
      <sheetName val="CAMPO_Supervisão_Geral2"/>
      <sheetName val="REGIONAL_Brasilia2"/>
      <sheetName val="REGIONAL_Recife2"/>
      <sheetName val="REGIONAL_São_Paulo2"/>
      <sheetName val="QUALIDADE_Auditoria2"/>
      <sheetName val="QUALIDADE_Base_de_conhecimento2"/>
      <sheetName val="QUALIDADE_Supervisão2"/>
      <sheetName val="GERENTE_2"/>
      <sheetName val="INFRAESTRUTURA_DE_TIC2"/>
      <sheetName val="PROPOSTA_DE_PREÇOS2"/>
      <sheetName val="NIVEL_1_Receptivo4"/>
      <sheetName val="NIVEL_1_Ativo4"/>
      <sheetName val="NIVEL_1_Aprovação_4"/>
      <sheetName val="NIVEL_1_Supervisão4"/>
      <sheetName val="NIVEL_2_Atendimento_4"/>
      <sheetName val="NIVEL_2_Gerenciam_Problemas4"/>
      <sheetName val="NIVEL_2_Demanda_Gestores4"/>
      <sheetName val="NIVEL_2_Supervisão4"/>
      <sheetName val="CAMPO_Edserj+Ventura4"/>
      <sheetName val="CAMPO_Controle_de_Ativos4"/>
      <sheetName val="CAMPO_Apoio4"/>
      <sheetName val="CAMPO_Supervisão4"/>
      <sheetName val="CAMPO_Supervisão_Geral4"/>
      <sheetName val="REGIONAL_Brasilia4"/>
      <sheetName val="REGIONAL_Recife4"/>
      <sheetName val="REGIONAL_São_Paulo4"/>
      <sheetName val="QUALIDADE_Auditoria4"/>
      <sheetName val="QUALIDADE_Base_de_conhecimento4"/>
      <sheetName val="QUALIDADE_Supervisão4"/>
      <sheetName val="GERENTE_4"/>
      <sheetName val="INFRAESTRUTURA_DE_TIC4"/>
      <sheetName val="PROPOSTA_DE_PREÇOS4"/>
      <sheetName val="NIVEL_1_Receptivo3"/>
      <sheetName val="NIVEL_1_Ativo3"/>
      <sheetName val="NIVEL_1_Aprovação_3"/>
      <sheetName val="NIVEL_1_Supervisão3"/>
      <sheetName val="NIVEL_2_Atendimento_3"/>
      <sheetName val="NIVEL_2_Gerenciam_Problemas3"/>
      <sheetName val="NIVEL_2_Demanda_Gestores3"/>
      <sheetName val="NIVEL_2_Supervisão3"/>
      <sheetName val="CAMPO_Edserj+Ventura3"/>
      <sheetName val="CAMPO_Controle_de_Ativos3"/>
      <sheetName val="CAMPO_Apoio3"/>
      <sheetName val="CAMPO_Supervisão3"/>
      <sheetName val="CAMPO_Supervisão_Geral3"/>
      <sheetName val="REGIONAL_Brasilia3"/>
      <sheetName val="REGIONAL_Recife3"/>
      <sheetName val="REGIONAL_São_Paulo3"/>
      <sheetName val="QUALIDADE_Auditoria3"/>
      <sheetName val="QUALIDADE_Base_de_conhecimento3"/>
      <sheetName val="QUALIDADE_Supervisão3"/>
      <sheetName val="GERENTE_3"/>
      <sheetName val="INFRAESTRUTURA_DE_TIC3"/>
      <sheetName val="PROPOSTA_DE_PREÇOS3"/>
      <sheetName val="NIVEL_1_Receptivo5"/>
      <sheetName val="NIVEL_1_Ativo5"/>
      <sheetName val="NIVEL_1_Aprovação_5"/>
      <sheetName val="NIVEL_1_Supervisão5"/>
      <sheetName val="NIVEL_2_Atendimento_5"/>
      <sheetName val="NIVEL_2_Gerenciam_Problemas5"/>
      <sheetName val="NIVEL_2_Demanda_Gestores5"/>
      <sheetName val="NIVEL_2_Supervisão5"/>
      <sheetName val="CAMPO_Edserj+Ventura5"/>
      <sheetName val="CAMPO_Controle_de_Ativos5"/>
      <sheetName val="CAMPO_Apoio5"/>
      <sheetName val="CAMPO_Supervisão5"/>
      <sheetName val="CAMPO_Supervisão_Geral5"/>
      <sheetName val="REGIONAL_Brasilia5"/>
      <sheetName val="REGIONAL_Recife5"/>
      <sheetName val="REGIONAL_São_Paulo5"/>
      <sheetName val="QUALIDADE_Auditoria5"/>
      <sheetName val="QUALIDADE_Base_de_conhecimento5"/>
      <sheetName val="QUALIDADE_Supervisão5"/>
      <sheetName val="GERENTE_5"/>
      <sheetName val="INFRAESTRUTURA_DE_TIC5"/>
      <sheetName val="PROPOSTA_DE_PREÇOS5"/>
      <sheetName val="NIVEL_1_Receptivo8"/>
      <sheetName val="NIVEL_1_Ativo8"/>
      <sheetName val="NIVEL_1_Aprovação_8"/>
      <sheetName val="NIVEL_1_Supervisão8"/>
      <sheetName val="NIVEL_2_Atendimento_8"/>
      <sheetName val="NIVEL_2_Gerenciam_Problemas8"/>
      <sheetName val="NIVEL_2_Demanda_Gestores8"/>
      <sheetName val="NIVEL_2_Supervisão8"/>
      <sheetName val="CAMPO_Edserj+Ventura8"/>
      <sheetName val="CAMPO_Controle_de_Ativos8"/>
      <sheetName val="CAMPO_Apoio8"/>
      <sheetName val="CAMPO_Supervisão8"/>
      <sheetName val="CAMPO_Supervisão_Geral8"/>
      <sheetName val="REGIONAL_Brasilia8"/>
      <sheetName val="REGIONAL_Recife8"/>
      <sheetName val="REGIONAL_São_Paulo8"/>
      <sheetName val="QUALIDADE_Auditoria8"/>
      <sheetName val="QUALIDADE_Base_de_conhecimento8"/>
      <sheetName val="QUALIDADE_Supervisão8"/>
      <sheetName val="GERENTE_8"/>
      <sheetName val="INFRAESTRUTURA_DE_TIC8"/>
      <sheetName val="PROPOSTA_DE_PREÇOS8"/>
      <sheetName val="NIVEL_1_Receptivo6"/>
      <sheetName val="NIVEL_1_Ativo6"/>
      <sheetName val="NIVEL_1_Aprovação_6"/>
      <sheetName val="NIVEL_1_Supervisão6"/>
      <sheetName val="NIVEL_2_Atendimento_6"/>
      <sheetName val="NIVEL_2_Gerenciam_Problemas6"/>
      <sheetName val="NIVEL_2_Demanda_Gestores6"/>
      <sheetName val="NIVEL_2_Supervisão6"/>
      <sheetName val="CAMPO_Edserj+Ventura6"/>
      <sheetName val="CAMPO_Controle_de_Ativos6"/>
      <sheetName val="CAMPO_Apoio6"/>
      <sheetName val="CAMPO_Supervisão6"/>
      <sheetName val="CAMPO_Supervisão_Geral6"/>
      <sheetName val="REGIONAL_Brasilia6"/>
      <sheetName val="REGIONAL_Recife6"/>
      <sheetName val="REGIONAL_São_Paulo6"/>
      <sheetName val="QUALIDADE_Auditoria6"/>
      <sheetName val="QUALIDADE_Base_de_conhecimento6"/>
      <sheetName val="QUALIDADE_Supervisão6"/>
      <sheetName val="GERENTE_6"/>
      <sheetName val="INFRAESTRUTURA_DE_TIC6"/>
      <sheetName val="PROPOSTA_DE_PREÇOS6"/>
      <sheetName val="NIVEL_1_Receptivo7"/>
      <sheetName val="NIVEL_1_Ativo7"/>
      <sheetName val="NIVEL_1_Aprovação_7"/>
      <sheetName val="NIVEL_1_Supervisão7"/>
      <sheetName val="NIVEL_2_Atendimento_7"/>
      <sheetName val="NIVEL_2_Gerenciam_Problemas7"/>
      <sheetName val="NIVEL_2_Demanda_Gestores7"/>
      <sheetName val="NIVEL_2_Supervisão7"/>
      <sheetName val="CAMPO_Edserj+Ventura7"/>
      <sheetName val="CAMPO_Controle_de_Ativos7"/>
      <sheetName val="CAMPO_Apoio7"/>
      <sheetName val="CAMPO_Supervisão7"/>
      <sheetName val="CAMPO_Supervisão_Geral7"/>
      <sheetName val="REGIONAL_Brasilia7"/>
      <sheetName val="REGIONAL_Recife7"/>
      <sheetName val="REGIONAL_São_Paulo7"/>
      <sheetName val="QUALIDADE_Auditoria7"/>
      <sheetName val="QUALIDADE_Base_de_conhecimento7"/>
      <sheetName val="QUALIDADE_Supervisão7"/>
      <sheetName val="GERENTE_7"/>
      <sheetName val="INFRAESTRUTURA_DE_TIC7"/>
      <sheetName val="PROPOSTA_DE_PREÇOS7"/>
      <sheetName val="NIVEL_1_Receptivo9"/>
      <sheetName val="NIVEL_1_Ativo9"/>
      <sheetName val="NIVEL_1_Aprovação_9"/>
      <sheetName val="NIVEL_1_Supervisão9"/>
      <sheetName val="NIVEL_2_Atendimento_9"/>
      <sheetName val="NIVEL_2_Gerenciam_Problemas9"/>
      <sheetName val="NIVEL_2_Demanda_Gestores9"/>
      <sheetName val="NIVEL_2_Supervisão9"/>
      <sheetName val="CAMPO_Edserj+Ventura9"/>
      <sheetName val="CAMPO_Controle_de_Ativos9"/>
      <sheetName val="CAMPO_Apoio9"/>
      <sheetName val="CAMPO_Supervisão9"/>
      <sheetName val="CAMPO_Supervisão_Geral9"/>
      <sheetName val="REGIONAL_Brasilia9"/>
      <sheetName val="REGIONAL_Recife9"/>
      <sheetName val="REGIONAL_São_Paulo9"/>
      <sheetName val="QUALIDADE_Auditoria9"/>
      <sheetName val="QUALIDADE_Base_de_conhecimento9"/>
      <sheetName val="QUALIDADE_Supervisão9"/>
      <sheetName val="GERENTE_9"/>
      <sheetName val="INFRAESTRUTURA_DE_TIC9"/>
      <sheetName val="PROPOSTA_DE_PREÇOS9"/>
      <sheetName val="Parâmetros (não excluir)"/>
      <sheetName val="NIVEL_1_Receptivo10"/>
      <sheetName val="NIVEL_1_Ativo10"/>
      <sheetName val="NIVEL_1_Aprovação_10"/>
      <sheetName val="NIVEL_1_Supervisão10"/>
      <sheetName val="NIVEL_2_Atendimento_10"/>
      <sheetName val="NIVEL_2_Gerenciam_Problemas10"/>
      <sheetName val="NIVEL_2_Demanda_Gestores10"/>
      <sheetName val="NIVEL_2_Supervisão10"/>
      <sheetName val="CAMPO_Edserj+Ventura10"/>
      <sheetName val="CAMPO_Controle_de_Ativos10"/>
      <sheetName val="CAMPO_Apoio10"/>
      <sheetName val="CAMPO_Supervisão10"/>
      <sheetName val="CAMPO_Supervisão_Geral10"/>
      <sheetName val="REGIONAL_Brasilia10"/>
      <sheetName val="REGIONAL_Recife10"/>
      <sheetName val="REGIONAL_São_Paulo10"/>
      <sheetName val="QUALIDADE_Auditoria10"/>
      <sheetName val="QUALIDADE_Base_de_conheciment10"/>
      <sheetName val="QUALIDADE_Supervisão10"/>
      <sheetName val="GERENTE_10"/>
      <sheetName val="INFRAESTRUTURA_DE_TIC10"/>
      <sheetName val="PROPOSTA_DE_PREÇOS10"/>
      <sheetName val="NIVEL_1_Receptivo11"/>
      <sheetName val="NIVEL_1_Ativo11"/>
      <sheetName val="NIVEL_1_Aprovação_11"/>
      <sheetName val="NIVEL_1_Supervisão11"/>
      <sheetName val="NIVEL_2_Atendimento_11"/>
      <sheetName val="NIVEL_2_Gerenciam_Problemas11"/>
      <sheetName val="NIVEL_2_Demanda_Gestores11"/>
      <sheetName val="NIVEL_2_Supervisão11"/>
      <sheetName val="CAMPO_Edserj+Ventura11"/>
      <sheetName val="CAMPO_Controle_de_Ativos11"/>
      <sheetName val="CAMPO_Apoio11"/>
      <sheetName val="CAMPO_Supervisão11"/>
      <sheetName val="CAMPO_Supervisão_Geral11"/>
      <sheetName val="REGIONAL_Brasilia11"/>
      <sheetName val="REGIONAL_Recife11"/>
      <sheetName val="REGIONAL_São_Paulo11"/>
      <sheetName val="QUALIDADE_Auditoria11"/>
      <sheetName val="QUALIDADE_Base_de_conheciment11"/>
      <sheetName val="QUALIDADE_Supervisão11"/>
      <sheetName val="GERENTE_11"/>
      <sheetName val="INFRAESTRUTURA_DE_TIC11"/>
      <sheetName val="PROPOSTA_DE_PREÇOS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D6">
            <v>0.80035072950319996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s"/>
      <sheetName val="0.Instruções"/>
      <sheetName val="1.Identificação"/>
      <sheetName val="2. Param Gerais"/>
      <sheetName val="2.1 Parametros Negócio"/>
      <sheetName val="3.RH-Escala"/>
      <sheetName val="3.RH-Pessoal"/>
      <sheetName val="4. Negócio-Escopo"/>
      <sheetName val="4.1.Escopo"/>
      <sheetName val="4.2.Negocio-PSI"/>
      <sheetName val="4.3.Negocio-MI"/>
      <sheetName val="4.4.Insumos"/>
      <sheetName val="4.5.Análise"/>
      <sheetName val="5.Resumo"/>
      <sheetName val="BID"/>
      <sheetName val="FAP"/>
      <sheetName val="Parâmetros"/>
      <sheetName val="0_Instruções"/>
      <sheetName val="1_Identificação"/>
      <sheetName val="2__Param_Gerais"/>
      <sheetName val="2_1_Parametros_Negócio"/>
      <sheetName val="3_RH-Escala"/>
      <sheetName val="3_RH-Pessoal"/>
      <sheetName val="4__Negócio-Escopo"/>
      <sheetName val="4_1_Escopo"/>
      <sheetName val="4_2_Negocio-PSI"/>
      <sheetName val="4_3_Negocio-MI"/>
      <sheetName val="4_4_Insumos"/>
      <sheetName val="4_5_Análise"/>
      <sheetName val="5_Resumo"/>
      <sheetName val="0_Instruções1"/>
      <sheetName val="1_Identificação1"/>
      <sheetName val="2__Param_Gerais1"/>
      <sheetName val="2_1_Parametros_Negócio1"/>
      <sheetName val="3_RH-Escala1"/>
      <sheetName val="3_RH-Pessoal1"/>
      <sheetName val="4__Negócio-Escopo1"/>
      <sheetName val="4_1_Escopo1"/>
      <sheetName val="4_2_Negocio-PSI1"/>
      <sheetName val="4_3_Negocio-MI1"/>
      <sheetName val="4_4_Insumos1"/>
      <sheetName val="4_5_Análise1"/>
      <sheetName val="5_Resumo1"/>
      <sheetName val="0_Instruções2"/>
      <sheetName val="1_Identificação2"/>
      <sheetName val="2__Param_Gerais2"/>
      <sheetName val="2_1_Parametros_Negócio2"/>
      <sheetName val="3_RH-Escala2"/>
      <sheetName val="3_RH-Pessoal2"/>
      <sheetName val="4__Negócio-Escopo2"/>
      <sheetName val="4_1_Escopo2"/>
      <sheetName val="4_2_Negocio-PSI2"/>
      <sheetName val="4_3_Negocio-MI2"/>
      <sheetName val="4_4_Insumos2"/>
      <sheetName val="4_5_Análise2"/>
      <sheetName val="5_Resumo2"/>
      <sheetName val="0_Instruções4"/>
      <sheetName val="1_Identificação4"/>
      <sheetName val="2__Param_Gerais4"/>
      <sheetName val="2_1_Parametros_Negócio4"/>
      <sheetName val="3_RH-Escala4"/>
      <sheetName val="3_RH-Pessoal4"/>
      <sheetName val="4__Negócio-Escopo4"/>
      <sheetName val="4_1_Escopo4"/>
      <sheetName val="4_2_Negocio-PSI4"/>
      <sheetName val="4_3_Negocio-MI4"/>
      <sheetName val="4_4_Insumos4"/>
      <sheetName val="4_5_Análise4"/>
      <sheetName val="5_Resumo4"/>
      <sheetName val="0_Instruções3"/>
      <sheetName val="1_Identificação3"/>
      <sheetName val="2__Param_Gerais3"/>
      <sheetName val="2_1_Parametros_Negócio3"/>
      <sheetName val="3_RH-Escala3"/>
      <sheetName val="3_RH-Pessoal3"/>
      <sheetName val="4__Negócio-Escopo3"/>
      <sheetName val="4_1_Escopo3"/>
      <sheetName val="4_2_Negocio-PSI3"/>
      <sheetName val="4_3_Negocio-MI3"/>
      <sheetName val="4_4_Insumos3"/>
      <sheetName val="4_5_Análise3"/>
      <sheetName val="5_Resumo3"/>
      <sheetName val="0_Instruções5"/>
      <sheetName val="1_Identificação5"/>
      <sheetName val="2__Param_Gerais5"/>
      <sheetName val="2_1_Parametros_Negócio5"/>
      <sheetName val="3_RH-Escala5"/>
      <sheetName val="3_RH-Pessoal5"/>
      <sheetName val="4__Negócio-Escopo5"/>
      <sheetName val="4_1_Escopo5"/>
      <sheetName val="4_2_Negocio-PSI5"/>
      <sheetName val="4_3_Negocio-MI5"/>
      <sheetName val="4_4_Insumos5"/>
      <sheetName val="4_5_Análise5"/>
      <sheetName val="5_Resumo5"/>
      <sheetName val="0_Instruções8"/>
      <sheetName val="1_Identificação8"/>
      <sheetName val="2__Param_Gerais8"/>
      <sheetName val="2_1_Parametros_Negócio8"/>
      <sheetName val="3_RH-Escala8"/>
      <sheetName val="3_RH-Pessoal8"/>
      <sheetName val="4__Negócio-Escopo8"/>
      <sheetName val="4_1_Escopo8"/>
      <sheetName val="4_2_Negocio-PSI8"/>
      <sheetName val="4_3_Negocio-MI8"/>
      <sheetName val="4_4_Insumos8"/>
      <sheetName val="4_5_Análise8"/>
      <sheetName val="5_Resumo8"/>
      <sheetName val="0_Instruções6"/>
      <sheetName val="1_Identificação6"/>
      <sheetName val="2__Param_Gerais6"/>
      <sheetName val="2_1_Parametros_Negócio6"/>
      <sheetName val="3_RH-Escala6"/>
      <sheetName val="3_RH-Pessoal6"/>
      <sheetName val="4__Negócio-Escopo6"/>
      <sheetName val="4_1_Escopo6"/>
      <sheetName val="4_2_Negocio-PSI6"/>
      <sheetName val="4_3_Negocio-MI6"/>
      <sheetName val="4_4_Insumos6"/>
      <sheetName val="4_5_Análise6"/>
      <sheetName val="5_Resumo6"/>
      <sheetName val="0_Instruções7"/>
      <sheetName val="1_Identificação7"/>
      <sheetName val="2__Param_Gerais7"/>
      <sheetName val="2_1_Parametros_Negócio7"/>
      <sheetName val="3_RH-Escala7"/>
      <sheetName val="3_RH-Pessoal7"/>
      <sheetName val="4__Negócio-Escopo7"/>
      <sheetName val="4_1_Escopo7"/>
      <sheetName val="4_2_Negocio-PSI7"/>
      <sheetName val="4_3_Negocio-MI7"/>
      <sheetName val="4_4_Insumos7"/>
      <sheetName val="4_5_Análise7"/>
      <sheetName val="5_Resumo7"/>
      <sheetName val="0_Instruções9"/>
      <sheetName val="1_Identificação9"/>
      <sheetName val="2__Param_Gerais9"/>
      <sheetName val="2_1_Parametros_Negócio9"/>
      <sheetName val="3_RH-Escala9"/>
      <sheetName val="3_RH-Pessoal9"/>
      <sheetName val="4__Negócio-Escopo9"/>
      <sheetName val="4_1_Escopo9"/>
      <sheetName val="4_2_Negocio-PSI9"/>
      <sheetName val="4_3_Negocio-MI9"/>
      <sheetName val="4_4_Insumos9"/>
      <sheetName val="4_5_Análise9"/>
      <sheetName val="5_Resumo9"/>
      <sheetName val="0_Instruções10"/>
      <sheetName val="1_Identificação10"/>
      <sheetName val="2__Param_Gerais10"/>
      <sheetName val="2_1_Parametros_Negócio10"/>
      <sheetName val="3_RH-Escala10"/>
      <sheetName val="3_RH-Pessoal10"/>
      <sheetName val="4__Negócio-Escopo10"/>
      <sheetName val="4_1_Escopo10"/>
      <sheetName val="4_2_Negocio-PSI10"/>
      <sheetName val="4_3_Negocio-MI10"/>
      <sheetName val="4_4_Insumos10"/>
      <sheetName val="4_5_Análise10"/>
      <sheetName val="5_Resumo10"/>
      <sheetName val="0_Instruções11"/>
      <sheetName val="1_Identificação11"/>
      <sheetName val="2__Param_Gerais11"/>
      <sheetName val="2_1_Parametros_Negócio11"/>
      <sheetName val="3_RH-Escala11"/>
      <sheetName val="3_RH-Pessoal11"/>
      <sheetName val="4__Negócio-Escopo11"/>
      <sheetName val="4_1_Escopo11"/>
      <sheetName val="4_2_Negocio-PSI11"/>
      <sheetName val="4_3_Negocio-MI11"/>
      <sheetName val="4_4_Insumos11"/>
      <sheetName val="4_5_Análise11"/>
      <sheetName val="5_Resumo11"/>
      <sheetName val="ENCARGOS-SOCIAIS-E-TRABALHISTAS"/>
    </sheetNames>
    <sheetDataSet>
      <sheetData sheetId="0"/>
      <sheetData sheetId="1"/>
      <sheetData sheetId="2"/>
      <sheetData sheetId="3">
        <row r="17">
          <cell r="E17">
            <v>48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E17">
            <v>48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E17">
            <v>48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7">
          <cell r="E17">
            <v>48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7">
          <cell r="E17">
            <v>48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7">
          <cell r="E17">
            <v>48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7">
          <cell r="E17">
            <v>48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7">
          <cell r="E17">
            <v>48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17">
          <cell r="E17">
            <v>48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>
        <row r="17">
          <cell r="E17">
            <v>48</v>
          </cell>
        </row>
      </sheetData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>
        <row r="17">
          <cell r="E17">
            <v>48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17">
          <cell r="E17">
            <v>48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17">
          <cell r="E17">
            <v>48</v>
          </cell>
        </row>
      </sheetData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estimativa de custos"/>
      <sheetName val="HORAS,VT,VA"/>
      <sheetName val="Encargos Sociais e CITL"/>
      <sheetName val="Planilha_estimativa_de_custos1"/>
      <sheetName val="Encargos_Sociais_e_CITL1"/>
      <sheetName val="Planilha_estimativa_de_custos"/>
      <sheetName val="Encargos_Sociais_e_CITL"/>
      <sheetName val="Planilha_estimativa_de_custos3"/>
      <sheetName val="Encargos_Sociais_e_CITL3"/>
      <sheetName val="Planilha_estimativa_de_custos2"/>
      <sheetName val="Encargos_Sociais_e_CITL2"/>
      <sheetName val="Planilha_estimativa_de_custos6"/>
      <sheetName val="Encargos_Sociais_e_CITL6"/>
      <sheetName val="Planilha_estimativa_de_custos4"/>
      <sheetName val="Encargos_Sociais_e_CITL4"/>
      <sheetName val="Planilha_estimativa_de_custos5"/>
      <sheetName val="Encargos_Sociais_e_CITL5"/>
      <sheetName val="Planilha_estimativa_de_custos7"/>
      <sheetName val="Encargos_Sociais_e_CITL7"/>
      <sheetName val="Planilha_estimativa_de_custos8"/>
      <sheetName val="Encargos_Sociais_e_CITL8"/>
      <sheetName val="Planilha_estimativa_de_custos9"/>
      <sheetName val="Encargos_Sociais_e_CITL9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C137-387B-4C53-BD73-A46D5EE2A175}">
  <sheetPr>
    <tabColor theme="7" tint="0.79998168889431442"/>
  </sheetPr>
  <dimension ref="A1:V65"/>
  <sheetViews>
    <sheetView zoomScale="110" zoomScaleNormal="110" workbookViewId="0">
      <pane xSplit="3" ySplit="4" topLeftCell="D40" activePane="bottomRight" state="frozen"/>
      <selection pane="topRight" activeCell="B1" sqref="B1"/>
      <selection pane="bottomLeft" activeCell="A5" sqref="A5"/>
      <selection pane="bottomRight" activeCell="K26" sqref="K26"/>
    </sheetView>
  </sheetViews>
  <sheetFormatPr defaultColWidth="8.85546875" defaultRowHeight="15"/>
  <cols>
    <col min="1" max="1" width="5.7109375" style="431" bestFit="1" customWidth="1"/>
    <col min="2" max="2" width="5.7109375" style="106" bestFit="1" customWidth="1"/>
    <col min="3" max="3" width="32.7109375" style="431" customWidth="1"/>
    <col min="4" max="4" width="13.85546875" style="106" bestFit="1" customWidth="1"/>
    <col min="5" max="5" width="14.28515625" style="106" bestFit="1" customWidth="1"/>
    <col min="6" max="6" width="13.85546875" style="106" bestFit="1" customWidth="1"/>
    <col min="7" max="7" width="16.85546875" style="106" bestFit="1" customWidth="1"/>
    <col min="8" max="8" width="13.85546875" style="431" bestFit="1" customWidth="1"/>
    <col min="9" max="9" width="14.28515625" style="431" bestFit="1" customWidth="1"/>
    <col min="10" max="10" width="12.28515625" style="431" bestFit="1" customWidth="1"/>
    <col min="11" max="11" width="14.28515625" style="431" bestFit="1" customWidth="1"/>
    <col min="12" max="12" width="13.42578125" style="431" bestFit="1" customWidth="1"/>
    <col min="13" max="13" width="13.28515625" style="431" bestFit="1" customWidth="1"/>
    <col min="14" max="14" width="11.5703125" style="431" customWidth="1"/>
    <col min="15" max="15" width="14.28515625" style="431" bestFit="1" customWidth="1"/>
    <col min="16" max="16" width="12.42578125" style="431" hidden="1" customWidth="1"/>
    <col min="17" max="17" width="12.28515625" style="431" hidden="1" customWidth="1"/>
    <col min="18" max="18" width="12.140625" style="431" bestFit="1" customWidth="1"/>
    <col min="19" max="19" width="12.28515625" style="431" bestFit="1" customWidth="1"/>
    <col min="20" max="20" width="18.28515625" style="431" bestFit="1" customWidth="1"/>
    <col min="21" max="21" width="14.28515625" style="431" bestFit="1" customWidth="1"/>
    <col min="22" max="16384" width="8.85546875" style="431"/>
  </cols>
  <sheetData>
    <row r="1" spans="1:19" s="384" customFormat="1" ht="14.25">
      <c r="B1" s="383"/>
      <c r="D1" s="385">
        <f t="shared" ref="D1:S1" si="0">COUNT(D5:D39)</f>
        <v>21</v>
      </c>
      <c r="E1" s="385">
        <f t="shared" si="0"/>
        <v>20</v>
      </c>
      <c r="F1" s="386">
        <f t="shared" si="0"/>
        <v>20</v>
      </c>
      <c r="G1" s="387">
        <f t="shared" si="0"/>
        <v>19</v>
      </c>
      <c r="H1" s="385">
        <f t="shared" si="0"/>
        <v>11</v>
      </c>
      <c r="I1" s="385">
        <f t="shared" si="0"/>
        <v>10</v>
      </c>
      <c r="J1" s="386">
        <f t="shared" si="0"/>
        <v>12</v>
      </c>
      <c r="K1" s="385">
        <f t="shared" si="0"/>
        <v>12</v>
      </c>
      <c r="L1" s="386">
        <f t="shared" si="0"/>
        <v>10</v>
      </c>
      <c r="M1" s="385">
        <f t="shared" si="0"/>
        <v>10</v>
      </c>
      <c r="N1" s="386">
        <f t="shared" si="0"/>
        <v>10</v>
      </c>
      <c r="O1" s="385">
        <f t="shared" si="0"/>
        <v>10</v>
      </c>
      <c r="P1" s="388">
        <f t="shared" si="0"/>
        <v>8</v>
      </c>
      <c r="Q1" s="383">
        <f t="shared" si="0"/>
        <v>8</v>
      </c>
      <c r="R1" s="386">
        <f t="shared" si="0"/>
        <v>11</v>
      </c>
      <c r="S1" s="387">
        <f t="shared" si="0"/>
        <v>11</v>
      </c>
    </row>
    <row r="2" spans="1:19" s="389" customFormat="1" ht="45.75" customHeight="1">
      <c r="C2" s="390" t="s">
        <v>0</v>
      </c>
      <c r="D2" s="693" t="s">
        <v>1</v>
      </c>
      <c r="E2" s="693"/>
      <c r="F2" s="693" t="s">
        <v>2</v>
      </c>
      <c r="G2" s="693"/>
      <c r="H2" s="699" t="s">
        <v>3</v>
      </c>
      <c r="I2" s="700"/>
      <c r="J2" s="692" t="s">
        <v>4</v>
      </c>
      <c r="K2" s="693"/>
      <c r="L2" s="692" t="s">
        <v>5</v>
      </c>
      <c r="M2" s="693"/>
      <c r="N2" s="692" t="s">
        <v>6</v>
      </c>
      <c r="O2" s="693"/>
      <c r="P2" s="692" t="s">
        <v>7</v>
      </c>
      <c r="Q2" s="693"/>
      <c r="R2" s="692" t="s">
        <v>8</v>
      </c>
      <c r="S2" s="694"/>
    </row>
    <row r="3" spans="1:19" s="391" customFormat="1" ht="26.25" customHeight="1">
      <c r="A3" s="520" t="s">
        <v>9</v>
      </c>
      <c r="B3" s="520" t="s">
        <v>10</v>
      </c>
      <c r="C3" s="392" t="s">
        <v>11</v>
      </c>
      <c r="D3" s="695" t="s">
        <v>12</v>
      </c>
      <c r="E3" s="696"/>
      <c r="F3" s="697" t="s">
        <v>13</v>
      </c>
      <c r="G3" s="696"/>
      <c r="H3" s="697" t="s">
        <v>14</v>
      </c>
      <c r="I3" s="696"/>
      <c r="J3" s="698" t="s">
        <v>15</v>
      </c>
      <c r="K3" s="696"/>
      <c r="L3" s="698" t="s">
        <v>16</v>
      </c>
      <c r="M3" s="696"/>
      <c r="N3" s="698" t="s">
        <v>16</v>
      </c>
      <c r="O3" s="696"/>
      <c r="P3" s="698" t="s">
        <v>16</v>
      </c>
      <c r="Q3" s="696"/>
      <c r="R3" s="698" t="s">
        <v>16</v>
      </c>
      <c r="S3" s="698"/>
    </row>
    <row r="4" spans="1:19" s="391" customFormat="1" ht="12.75">
      <c r="C4" s="393"/>
      <c r="D4" s="393" t="s">
        <v>17</v>
      </c>
      <c r="E4" s="393" t="s">
        <v>18</v>
      </c>
      <c r="F4" s="394" t="s">
        <v>17</v>
      </c>
      <c r="G4" s="395" t="s">
        <v>18</v>
      </c>
      <c r="H4" s="393" t="s">
        <v>17</v>
      </c>
      <c r="I4" s="393" t="s">
        <v>18</v>
      </c>
      <c r="J4" s="394" t="s">
        <v>17</v>
      </c>
      <c r="K4" s="393" t="s">
        <v>18</v>
      </c>
      <c r="L4" s="394" t="s">
        <v>17</v>
      </c>
      <c r="M4" s="393" t="s">
        <v>18</v>
      </c>
      <c r="N4" s="394" t="s">
        <v>17</v>
      </c>
      <c r="O4" s="393" t="s">
        <v>18</v>
      </c>
      <c r="P4" s="394" t="s">
        <v>17</v>
      </c>
      <c r="Q4" s="393" t="s">
        <v>18</v>
      </c>
      <c r="R4" s="394" t="s">
        <v>17</v>
      </c>
      <c r="S4" s="395" t="s">
        <v>18</v>
      </c>
    </row>
    <row r="5" spans="1:19" s="398" customFormat="1" ht="30" customHeight="1">
      <c r="B5" s="396">
        <v>1</v>
      </c>
      <c r="C5" s="516" t="s">
        <v>19</v>
      </c>
      <c r="D5" s="502">
        <v>2974.93</v>
      </c>
      <c r="E5" s="502">
        <v>6491.08</v>
      </c>
      <c r="F5" s="503">
        <v>5252.53</v>
      </c>
      <c r="G5" s="504">
        <v>11516.81</v>
      </c>
      <c r="H5" s="502">
        <v>7868.08</v>
      </c>
      <c r="I5" s="502">
        <v>15387.25</v>
      </c>
      <c r="J5" s="397"/>
      <c r="K5" s="397"/>
      <c r="L5" s="397"/>
      <c r="M5" s="397"/>
      <c r="N5" s="397"/>
      <c r="O5" s="397"/>
      <c r="P5" s="397"/>
      <c r="Q5" s="397"/>
      <c r="R5" s="397"/>
      <c r="S5" s="397"/>
    </row>
    <row r="6" spans="1:19" s="398" customFormat="1" ht="30" customHeight="1">
      <c r="B6" s="396">
        <v>2</v>
      </c>
      <c r="C6" s="517" t="s">
        <v>585</v>
      </c>
      <c r="D6" s="399"/>
      <c r="E6" s="399"/>
      <c r="F6" s="667"/>
      <c r="G6" s="668"/>
      <c r="H6" s="400"/>
      <c r="I6" s="400"/>
      <c r="J6" s="401">
        <v>2891.28</v>
      </c>
      <c r="K6" s="402">
        <v>6394.86</v>
      </c>
      <c r="L6" s="401">
        <v>6398.62</v>
      </c>
      <c r="M6" s="402">
        <v>12841.57</v>
      </c>
      <c r="N6" s="401">
        <v>5648.08</v>
      </c>
      <c r="O6" s="402">
        <v>11458.33</v>
      </c>
      <c r="P6" s="401"/>
      <c r="Q6" s="402"/>
      <c r="R6" s="401">
        <v>4019.36</v>
      </c>
      <c r="S6" s="403">
        <v>8422.67</v>
      </c>
    </row>
    <row r="7" spans="1:19" s="398" customFormat="1" ht="30" customHeight="1">
      <c r="B7" s="396">
        <v>3</v>
      </c>
      <c r="C7" s="517" t="s">
        <v>586</v>
      </c>
      <c r="D7" s="399"/>
      <c r="E7" s="399"/>
      <c r="F7" s="404">
        <v>5291.83</v>
      </c>
      <c r="G7" s="405">
        <v>10901.64</v>
      </c>
      <c r="H7" s="402"/>
      <c r="I7" s="402"/>
      <c r="J7" s="406"/>
      <c r="K7" s="400"/>
      <c r="L7" s="401"/>
      <c r="M7" s="402"/>
      <c r="N7" s="401"/>
      <c r="O7" s="402"/>
      <c r="P7" s="406"/>
      <c r="Q7" s="400"/>
      <c r="R7" s="401">
        <v>4019.36</v>
      </c>
      <c r="S7" s="403">
        <v>9111.94</v>
      </c>
    </row>
    <row r="8" spans="1:19" s="398" customFormat="1" ht="30" customHeight="1">
      <c r="B8" s="396">
        <v>4</v>
      </c>
      <c r="C8" s="517" t="s">
        <v>454</v>
      </c>
      <c r="D8" s="402">
        <v>2574.38</v>
      </c>
      <c r="E8" s="402">
        <v>5520.93</v>
      </c>
      <c r="F8" s="401">
        <v>4819.16</v>
      </c>
      <c r="G8" s="403">
        <v>9870.9599999999991</v>
      </c>
      <c r="H8" s="402"/>
      <c r="I8" s="402"/>
      <c r="J8" s="401"/>
      <c r="K8" s="402"/>
      <c r="L8" s="401"/>
      <c r="M8" s="402"/>
      <c r="N8" s="401"/>
      <c r="O8" s="402"/>
      <c r="P8" s="406"/>
      <c r="Q8" s="400"/>
      <c r="R8" s="401"/>
      <c r="S8" s="403"/>
    </row>
    <row r="9" spans="1:19" s="398" customFormat="1" ht="30" customHeight="1">
      <c r="B9" s="396">
        <v>5</v>
      </c>
      <c r="C9" s="517" t="s">
        <v>20</v>
      </c>
      <c r="D9" s="515">
        <v>2574.38</v>
      </c>
      <c r="E9" s="514">
        <v>5656.97</v>
      </c>
      <c r="F9" s="404"/>
      <c r="G9" s="405"/>
      <c r="H9" s="402"/>
      <c r="I9" s="402"/>
      <c r="J9" s="401">
        <v>2891.28</v>
      </c>
      <c r="K9" s="402">
        <v>6441.97</v>
      </c>
      <c r="L9" s="401">
        <v>6398.62</v>
      </c>
      <c r="M9" s="402">
        <v>12941.35</v>
      </c>
      <c r="N9" s="401">
        <v>5648.08</v>
      </c>
      <c r="O9" s="402">
        <v>11537.16</v>
      </c>
      <c r="P9" s="401"/>
      <c r="Q9" s="400"/>
      <c r="R9" s="406"/>
      <c r="S9" s="408"/>
    </row>
    <row r="10" spans="1:19" s="398" customFormat="1" ht="30" customHeight="1">
      <c r="B10" s="396">
        <v>6</v>
      </c>
      <c r="C10" s="517" t="s">
        <v>21</v>
      </c>
      <c r="D10" s="502">
        <v>3204.6</v>
      </c>
      <c r="E10" s="502">
        <v>7188.3</v>
      </c>
      <c r="F10" s="502">
        <v>5964.53</v>
      </c>
      <c r="G10" s="502">
        <v>12332.76</v>
      </c>
      <c r="H10" s="502">
        <v>8156.38</v>
      </c>
      <c r="I10" s="502">
        <v>16457.89</v>
      </c>
      <c r="J10" s="502">
        <v>3095</v>
      </c>
      <c r="K10" s="502">
        <v>7029.45</v>
      </c>
      <c r="L10" s="502">
        <v>6718.55</v>
      </c>
      <c r="M10" s="502">
        <v>13797.21</v>
      </c>
      <c r="N10" s="502">
        <v>5930.48</v>
      </c>
      <c r="O10" s="502">
        <v>12313.06</v>
      </c>
      <c r="P10" s="502"/>
      <c r="Q10" s="502"/>
      <c r="R10" s="408"/>
      <c r="S10" s="408"/>
    </row>
    <row r="11" spans="1:19" s="398" customFormat="1" ht="30" customHeight="1">
      <c r="B11" s="396">
        <v>7</v>
      </c>
      <c r="C11" s="517" t="s">
        <v>587</v>
      </c>
      <c r="D11" s="399"/>
      <c r="E11" s="399"/>
      <c r="F11" s="667"/>
      <c r="G11" s="668"/>
      <c r="H11" s="400"/>
      <c r="I11" s="400"/>
      <c r="J11" s="401">
        <v>2891.28</v>
      </c>
      <c r="K11" s="402">
        <v>6818.47</v>
      </c>
      <c r="L11" s="406"/>
      <c r="M11" s="400"/>
      <c r="N11" s="406"/>
      <c r="O11" s="400"/>
      <c r="P11" s="406"/>
      <c r="Q11" s="400"/>
      <c r="R11" s="406"/>
      <c r="S11" s="408"/>
    </row>
    <row r="12" spans="1:19" s="398" customFormat="1" ht="30" customHeight="1">
      <c r="B12" s="396">
        <v>8</v>
      </c>
      <c r="C12" s="517" t="s">
        <v>588</v>
      </c>
      <c r="D12" s="399"/>
      <c r="E12" s="399"/>
      <c r="F12" s="667"/>
      <c r="G12" s="668"/>
      <c r="H12" s="400"/>
      <c r="I12" s="400"/>
      <c r="J12" s="401">
        <v>2891.28</v>
      </c>
      <c r="K12" s="402">
        <v>7584.65</v>
      </c>
      <c r="L12" s="401">
        <v>6398.62</v>
      </c>
      <c r="M12" s="402">
        <v>18290.22</v>
      </c>
      <c r="N12" s="401">
        <v>5648.08</v>
      </c>
      <c r="O12" s="402">
        <v>15123.28</v>
      </c>
      <c r="P12" s="406"/>
      <c r="Q12" s="400"/>
      <c r="R12" s="401">
        <v>4019.36</v>
      </c>
      <c r="S12" s="403">
        <v>9755.82</v>
      </c>
    </row>
    <row r="13" spans="1:19" s="398" customFormat="1" ht="30" customHeight="1">
      <c r="B13" s="396">
        <v>9</v>
      </c>
      <c r="C13" s="517" t="s">
        <v>589</v>
      </c>
      <c r="D13" s="407"/>
      <c r="E13" s="399"/>
      <c r="F13" s="667"/>
      <c r="G13" s="668" t="s">
        <v>590</v>
      </c>
      <c r="H13" s="400"/>
      <c r="I13" s="400"/>
      <c r="J13" s="406"/>
      <c r="K13" s="400"/>
      <c r="L13" s="406"/>
      <c r="M13" s="400"/>
      <c r="N13" s="406"/>
      <c r="O13" s="400"/>
      <c r="P13" s="401">
        <v>3222.4</v>
      </c>
      <c r="Q13" s="402">
        <v>7054.25</v>
      </c>
      <c r="R13" s="401">
        <v>4019.36</v>
      </c>
      <c r="S13" s="403">
        <v>8524.57</v>
      </c>
    </row>
    <row r="14" spans="1:19" s="398" customFormat="1" ht="30" customHeight="1">
      <c r="B14" s="396">
        <v>10</v>
      </c>
      <c r="C14" s="517" t="s">
        <v>22</v>
      </c>
      <c r="D14" s="502">
        <v>2574.38</v>
      </c>
      <c r="E14" s="502">
        <v>5834.13</v>
      </c>
      <c r="F14" s="400"/>
      <c r="G14" s="400"/>
      <c r="H14" s="400"/>
      <c r="I14" s="400"/>
      <c r="J14" s="406"/>
      <c r="K14" s="400"/>
      <c r="L14" s="406"/>
      <c r="M14" s="400"/>
      <c r="N14" s="406"/>
      <c r="O14" s="400"/>
      <c r="P14" s="406"/>
      <c r="Q14" s="400"/>
      <c r="R14" s="406"/>
      <c r="S14" s="408"/>
    </row>
    <row r="15" spans="1:19" s="398" customFormat="1" ht="30" customHeight="1">
      <c r="B15" s="396">
        <v>11</v>
      </c>
      <c r="C15" s="517" t="s">
        <v>23</v>
      </c>
      <c r="D15" s="502">
        <v>2574.38</v>
      </c>
      <c r="E15" s="502">
        <v>5470.02</v>
      </c>
      <c r="F15" s="404"/>
      <c r="G15" s="405"/>
      <c r="H15" s="402"/>
      <c r="I15" s="402"/>
      <c r="J15" s="401"/>
      <c r="K15" s="402"/>
      <c r="L15" s="401"/>
      <c r="M15" s="402"/>
      <c r="N15" s="401"/>
      <c r="O15" s="402"/>
      <c r="P15" s="401">
        <v>3222.4</v>
      </c>
      <c r="Q15" s="402">
        <v>6857.91</v>
      </c>
      <c r="R15" s="406"/>
      <c r="S15" s="408"/>
    </row>
    <row r="16" spans="1:19" s="398" customFormat="1" ht="30" customHeight="1">
      <c r="B16" s="396">
        <v>12</v>
      </c>
      <c r="C16" s="517" t="s">
        <v>33</v>
      </c>
      <c r="D16" s="547">
        <v>4550</v>
      </c>
      <c r="E16" s="548">
        <v>6584</v>
      </c>
      <c r="F16" s="549">
        <v>6270.48</v>
      </c>
      <c r="G16" s="549">
        <v>12897.37</v>
      </c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</row>
    <row r="17" spans="1:19" s="398" customFormat="1" ht="30" customHeight="1">
      <c r="B17" s="396">
        <v>13</v>
      </c>
      <c r="C17" s="517" t="s">
        <v>30</v>
      </c>
      <c r="D17" s="530">
        <f>1802.16*1.4</f>
        <v>2523.0239999999999</v>
      </c>
      <c r="E17" s="407">
        <v>5307.17</v>
      </c>
      <c r="F17" s="534">
        <f>1802.16*2.1</f>
        <v>3784.5360000000005</v>
      </c>
      <c r="G17" s="403">
        <v>9097.0400000000009</v>
      </c>
      <c r="H17" s="400"/>
      <c r="I17" s="400"/>
      <c r="J17" s="401"/>
      <c r="K17" s="402"/>
      <c r="L17" s="401"/>
      <c r="M17" s="402"/>
      <c r="N17" s="401"/>
      <c r="O17" s="402"/>
      <c r="P17" s="401"/>
      <c r="Q17" s="400"/>
      <c r="R17" s="406"/>
      <c r="S17" s="408"/>
    </row>
    <row r="18" spans="1:19" s="398" customFormat="1" ht="30" customHeight="1">
      <c r="B18" s="396">
        <v>14</v>
      </c>
      <c r="C18" s="517" t="s">
        <v>25</v>
      </c>
      <c r="D18" s="400"/>
      <c r="E18" s="399"/>
      <c r="F18" s="532">
        <v>5500</v>
      </c>
      <c r="G18" s="532">
        <v>9930.19</v>
      </c>
      <c r="H18" s="534">
        <v>7500</v>
      </c>
      <c r="I18" s="532">
        <v>13046.1</v>
      </c>
      <c r="J18" s="406"/>
      <c r="K18" s="400"/>
      <c r="L18" s="406"/>
      <c r="M18" s="400"/>
      <c r="N18" s="406"/>
      <c r="O18" s="400"/>
      <c r="P18" s="406"/>
      <c r="Q18" s="400"/>
      <c r="R18" s="406"/>
      <c r="S18" s="408"/>
    </row>
    <row r="19" spans="1:19" s="398" customFormat="1" ht="30" customHeight="1">
      <c r="B19" s="396">
        <v>15</v>
      </c>
      <c r="C19" s="517" t="s">
        <v>35</v>
      </c>
      <c r="D19" s="402">
        <v>3608.94</v>
      </c>
      <c r="E19" s="407">
        <v>7969.31</v>
      </c>
      <c r="F19" s="402"/>
      <c r="G19" s="402"/>
      <c r="H19" s="409"/>
      <c r="I19" s="409"/>
      <c r="J19" s="406"/>
      <c r="K19" s="400"/>
      <c r="L19" s="406"/>
      <c r="M19" s="400"/>
      <c r="N19" s="406"/>
      <c r="O19" s="400"/>
      <c r="P19" s="406"/>
      <c r="Q19" s="400"/>
      <c r="R19" s="406"/>
      <c r="S19" s="408"/>
    </row>
    <row r="20" spans="1:19" s="398" customFormat="1" ht="30" customHeight="1">
      <c r="B20" s="396">
        <v>16</v>
      </c>
      <c r="C20" s="517" t="s">
        <v>29</v>
      </c>
      <c r="D20" s="409">
        <v>3548.47</v>
      </c>
      <c r="E20" s="410">
        <v>7500</v>
      </c>
      <c r="F20" s="406"/>
      <c r="G20" s="408"/>
      <c r="H20" s="409"/>
      <c r="I20" s="409"/>
      <c r="J20" s="401">
        <v>2891.28</v>
      </c>
      <c r="K20" s="402">
        <v>6865.55</v>
      </c>
      <c r="L20" s="406"/>
      <c r="M20" s="400"/>
      <c r="N20" s="406"/>
      <c r="O20" s="400"/>
      <c r="P20" s="406"/>
      <c r="Q20" s="400"/>
      <c r="R20" s="401">
        <v>3209</v>
      </c>
      <c r="S20" s="403">
        <v>6973.8705489181466</v>
      </c>
    </row>
    <row r="21" spans="1:19" s="398" customFormat="1" ht="30" customHeight="1">
      <c r="B21" s="396">
        <v>17</v>
      </c>
      <c r="C21" s="517" t="s">
        <v>27</v>
      </c>
      <c r="D21" s="411"/>
      <c r="E21" s="410"/>
      <c r="F21" s="402">
        <v>4893.4799999999996</v>
      </c>
      <c r="G21" s="402">
        <v>9029.07</v>
      </c>
      <c r="H21" s="411"/>
      <c r="I21" s="409"/>
      <c r="J21" s="401"/>
      <c r="K21" s="402"/>
      <c r="L21" s="406"/>
      <c r="M21" s="400"/>
      <c r="N21" s="406"/>
      <c r="O21" s="400"/>
      <c r="P21" s="406"/>
      <c r="Q21" s="400"/>
      <c r="R21" s="401"/>
      <c r="S21" s="403"/>
    </row>
    <row r="22" spans="1:19" s="398" customFormat="1" ht="30" customHeight="1">
      <c r="B22" s="396">
        <v>18</v>
      </c>
      <c r="C22" s="517" t="s">
        <v>28</v>
      </c>
      <c r="D22" s="531">
        <f>3953.49*1.0369</f>
        <v>4099.3737809999993</v>
      </c>
      <c r="E22" s="535">
        <v>7015.02</v>
      </c>
      <c r="F22" s="532">
        <f>4698.53*1.0369</f>
        <v>4871.9057569999995</v>
      </c>
      <c r="G22" s="532">
        <v>10156.200000000001</v>
      </c>
      <c r="H22" s="412"/>
      <c r="I22" s="409"/>
      <c r="J22" s="401"/>
      <c r="K22" s="402"/>
      <c r="L22" s="406"/>
      <c r="M22" s="400"/>
      <c r="N22" s="406"/>
      <c r="O22" s="400"/>
      <c r="P22" s="406"/>
      <c r="Q22" s="400"/>
      <c r="R22" s="401"/>
      <c r="S22" s="403"/>
    </row>
    <row r="23" spans="1:19" s="398" customFormat="1" ht="30" customHeight="1">
      <c r="B23" s="396">
        <v>19</v>
      </c>
      <c r="C23" s="517" t="s">
        <v>591</v>
      </c>
      <c r="D23" s="412"/>
      <c r="E23" s="410"/>
      <c r="F23" s="404">
        <v>5291.83</v>
      </c>
      <c r="G23" s="405">
        <v>10901.64</v>
      </c>
      <c r="H23" s="412"/>
      <c r="I23" s="409"/>
      <c r="J23" s="401"/>
      <c r="K23" s="402"/>
      <c r="L23" s="406"/>
      <c r="M23" s="400"/>
      <c r="N23" s="406"/>
      <c r="O23" s="400"/>
      <c r="P23" s="406"/>
      <c r="Q23" s="400"/>
      <c r="R23" s="401"/>
      <c r="S23" s="403"/>
    </row>
    <row r="24" spans="1:19" s="398" customFormat="1" ht="30" customHeight="1">
      <c r="B24" s="396">
        <v>20</v>
      </c>
      <c r="C24" s="517" t="s">
        <v>592</v>
      </c>
      <c r="D24" s="412"/>
      <c r="E24" s="410"/>
      <c r="F24" s="407"/>
      <c r="G24" s="407"/>
      <c r="H24" s="412"/>
      <c r="I24" s="409"/>
      <c r="J24" s="401"/>
      <c r="K24" s="402"/>
      <c r="L24" s="406"/>
      <c r="M24" s="400"/>
      <c r="N24" s="406"/>
      <c r="O24" s="400"/>
      <c r="P24" s="406"/>
      <c r="Q24" s="400"/>
      <c r="R24" s="401"/>
      <c r="S24" s="403"/>
    </row>
    <row r="25" spans="1:19" s="398" customFormat="1" ht="30" customHeight="1">
      <c r="B25" s="396">
        <v>21</v>
      </c>
      <c r="C25" s="517" t="s">
        <v>26</v>
      </c>
      <c r="D25" s="412"/>
      <c r="F25" s="518">
        <v>5703.9716666666673</v>
      </c>
      <c r="G25" s="515">
        <v>13259.05</v>
      </c>
      <c r="H25" s="412"/>
      <c r="I25" s="409"/>
      <c r="J25" s="401"/>
      <c r="K25" s="402"/>
      <c r="L25" s="406"/>
      <c r="M25" s="400"/>
      <c r="N25" s="406"/>
      <c r="O25" s="400"/>
      <c r="P25" s="406"/>
      <c r="Q25" s="400"/>
      <c r="R25" s="401"/>
      <c r="S25" s="403"/>
    </row>
    <row r="26" spans="1:19" s="398" customFormat="1" ht="30" customHeight="1">
      <c r="B26" s="396">
        <v>22</v>
      </c>
      <c r="C26" s="517" t="s">
        <v>36</v>
      </c>
      <c r="D26" s="502">
        <v>2574.38</v>
      </c>
      <c r="E26" s="547">
        <v>5931.71</v>
      </c>
      <c r="F26" s="410"/>
      <c r="G26" s="519"/>
      <c r="H26" s="412"/>
      <c r="I26" s="409"/>
      <c r="J26" s="401"/>
      <c r="K26" s="402"/>
      <c r="L26" s="406"/>
      <c r="M26" s="400"/>
      <c r="N26" s="406"/>
      <c r="O26" s="400"/>
      <c r="P26" s="406"/>
      <c r="Q26" s="400"/>
      <c r="R26" s="401"/>
      <c r="S26" s="403"/>
    </row>
    <row r="27" spans="1:19" s="398" customFormat="1" ht="30" customHeight="1">
      <c r="A27" s="570">
        <v>3.8E-3</v>
      </c>
      <c r="B27" s="396">
        <v>23</v>
      </c>
      <c r="C27" s="517" t="s">
        <v>37</v>
      </c>
      <c r="D27" s="502">
        <v>2574.38</v>
      </c>
      <c r="E27" s="547">
        <v>5881.67</v>
      </c>
      <c r="F27" s="410"/>
      <c r="G27" s="519"/>
      <c r="H27" s="412"/>
      <c r="I27" s="409"/>
      <c r="J27" s="401"/>
      <c r="K27" s="402"/>
      <c r="L27" s="406"/>
      <c r="M27" s="400"/>
      <c r="N27" s="406"/>
      <c r="O27" s="400"/>
      <c r="P27" s="406"/>
      <c r="Q27" s="400"/>
      <c r="R27" s="401"/>
      <c r="S27" s="403"/>
    </row>
    <row r="28" spans="1:19" s="398" customFormat="1" ht="30" customHeight="1">
      <c r="A28" s="570"/>
      <c r="B28" s="396">
        <v>24</v>
      </c>
      <c r="C28" s="517" t="s">
        <v>31</v>
      </c>
      <c r="E28" s="522"/>
      <c r="F28" s="533">
        <f>5507.25*1.0369</f>
        <v>5710.467525</v>
      </c>
      <c r="G28" s="515">
        <v>11075.2</v>
      </c>
      <c r="H28" s="531">
        <f>7617.36*1.0369</f>
        <v>7898.440583999999</v>
      </c>
      <c r="I28" s="521">
        <v>14884.18</v>
      </c>
      <c r="J28" s="401"/>
      <c r="K28" s="402"/>
      <c r="L28" s="406"/>
      <c r="M28" s="400"/>
      <c r="N28" s="406"/>
      <c r="O28" s="400"/>
      <c r="P28" s="406"/>
      <c r="Q28" s="400"/>
      <c r="R28" s="401"/>
      <c r="S28" s="403"/>
    </row>
    <row r="29" spans="1:19" s="398" customFormat="1" ht="30" customHeight="1">
      <c r="A29" s="570"/>
      <c r="B29" s="396">
        <v>25</v>
      </c>
      <c r="C29" s="517" t="s">
        <v>32</v>
      </c>
      <c r="D29" s="529">
        <v>4396.63</v>
      </c>
      <c r="E29" s="530">
        <v>8371.58</v>
      </c>
      <c r="F29" s="531">
        <v>5613.59</v>
      </c>
      <c r="G29" s="532">
        <v>10515.4</v>
      </c>
      <c r="J29" s="401"/>
      <c r="K29" s="402"/>
      <c r="L29" s="406"/>
      <c r="M29" s="400"/>
      <c r="N29" s="406"/>
      <c r="O29" s="400"/>
      <c r="P29" s="406"/>
      <c r="Q29" s="400"/>
      <c r="R29" s="401"/>
      <c r="S29" s="403"/>
    </row>
    <row r="30" spans="1:19" s="398" customFormat="1" ht="12.75">
      <c r="B30" s="396"/>
      <c r="C30" s="413"/>
      <c r="D30" s="402"/>
      <c r="E30" s="407"/>
      <c r="F30" s="402"/>
      <c r="G30" s="402"/>
      <c r="H30" s="409"/>
      <c r="I30" s="409"/>
      <c r="J30" s="406"/>
      <c r="K30" s="400"/>
      <c r="L30" s="406"/>
      <c r="M30" s="400"/>
      <c r="N30" s="406"/>
      <c r="O30" s="400"/>
      <c r="P30" s="406"/>
      <c r="Q30" s="400"/>
      <c r="R30" s="406"/>
      <c r="S30" s="408"/>
    </row>
    <row r="31" spans="1:19" s="398" customFormat="1" ht="12.75">
      <c r="B31" s="396"/>
      <c r="C31" s="413"/>
      <c r="D31" s="669">
        <f>D32/2574.38</f>
        <v>1.2305944338609127</v>
      </c>
      <c r="E31" s="669"/>
      <c r="F31" s="669">
        <f t="shared" ref="F31:H31" si="1">F32/2574.38</f>
        <v>2.0607892728963764</v>
      </c>
      <c r="G31" s="669"/>
      <c r="H31" s="669">
        <f t="shared" si="1"/>
        <v>3.0515017775153628</v>
      </c>
      <c r="I31" s="409"/>
      <c r="J31" s="400"/>
      <c r="K31" s="400"/>
      <c r="L31" s="400"/>
      <c r="M31" s="400"/>
      <c r="N31" s="400"/>
      <c r="O31" s="400"/>
      <c r="P31" s="400"/>
      <c r="Q31" s="400"/>
      <c r="R31" s="400"/>
      <c r="S31" s="400"/>
    </row>
    <row r="32" spans="1:19" s="398" customFormat="1" ht="18" customHeight="1">
      <c r="B32" s="396"/>
      <c r="C32" s="414" t="s">
        <v>38</v>
      </c>
      <c r="D32" s="415">
        <f>AVERAGE(D5:D30)</f>
        <v>3168.0176986428564</v>
      </c>
      <c r="E32" s="670">
        <f t="shared" ref="E32:S32" si="2">AVERAGE(E5:E30)</f>
        <v>6480.1350000000002</v>
      </c>
      <c r="F32" s="415">
        <f t="shared" si="2"/>
        <v>5305.2546883589739</v>
      </c>
      <c r="G32" s="670">
        <f t="shared" si="2"/>
        <v>10883.333076923076</v>
      </c>
      <c r="H32" s="415">
        <f t="shared" si="2"/>
        <v>7855.7251459999998</v>
      </c>
      <c r="I32" s="670">
        <f t="shared" si="2"/>
        <v>14943.855</v>
      </c>
      <c r="J32" s="670">
        <f t="shared" si="2"/>
        <v>2925.2333333333336</v>
      </c>
      <c r="K32" s="670">
        <f t="shared" si="2"/>
        <v>6855.8250000000007</v>
      </c>
      <c r="L32" s="670">
        <f t="shared" si="2"/>
        <v>6478.6025</v>
      </c>
      <c r="M32" s="670">
        <f t="shared" si="2"/>
        <v>14467.5875</v>
      </c>
      <c r="N32" s="670">
        <f t="shared" si="2"/>
        <v>5718.68</v>
      </c>
      <c r="O32" s="670">
        <f t="shared" si="2"/>
        <v>12607.957499999999</v>
      </c>
      <c r="P32" s="670">
        <f t="shared" si="2"/>
        <v>3222.4</v>
      </c>
      <c r="Q32" s="670">
        <f t="shared" si="2"/>
        <v>6956.08</v>
      </c>
      <c r="R32" s="670">
        <f t="shared" si="2"/>
        <v>3857.2880000000005</v>
      </c>
      <c r="S32" s="670">
        <f t="shared" si="2"/>
        <v>8557.7741097836297</v>
      </c>
    </row>
    <row r="33" spans="2:22" s="398" customFormat="1" ht="12.75">
      <c r="B33" s="396"/>
      <c r="C33" s="416" t="s">
        <v>39</v>
      </c>
      <c r="D33" s="417">
        <f t="shared" ref="D33:S33" si="3">MEDIAN(D5:D30)</f>
        <v>2774.6549999999997</v>
      </c>
      <c r="E33" s="417">
        <f t="shared" si="3"/>
        <v>6211.3950000000004</v>
      </c>
      <c r="F33" s="417">
        <f t="shared" si="3"/>
        <v>5291.83</v>
      </c>
      <c r="G33" s="417">
        <f t="shared" si="3"/>
        <v>10901.64</v>
      </c>
      <c r="H33" s="417">
        <f t="shared" si="3"/>
        <v>7883.260291999999</v>
      </c>
      <c r="I33" s="417">
        <f t="shared" si="3"/>
        <v>15135.715</v>
      </c>
      <c r="J33" s="418">
        <f t="shared" si="3"/>
        <v>2891.28</v>
      </c>
      <c r="K33" s="418">
        <f t="shared" si="3"/>
        <v>6842.01</v>
      </c>
      <c r="L33" s="418">
        <f t="shared" si="3"/>
        <v>6398.62</v>
      </c>
      <c r="M33" s="418">
        <f t="shared" si="3"/>
        <v>13369.279999999999</v>
      </c>
      <c r="N33" s="418">
        <f t="shared" si="3"/>
        <v>5648.08</v>
      </c>
      <c r="O33" s="418">
        <f t="shared" si="3"/>
        <v>11925.11</v>
      </c>
      <c r="P33" s="418">
        <f t="shared" si="3"/>
        <v>3222.4</v>
      </c>
      <c r="Q33" s="418">
        <f t="shared" si="3"/>
        <v>6956.08</v>
      </c>
      <c r="R33" s="418">
        <f t="shared" si="3"/>
        <v>4019.36</v>
      </c>
      <c r="S33" s="418">
        <f t="shared" si="3"/>
        <v>8524.57</v>
      </c>
    </row>
    <row r="34" spans="2:22" s="398" customFormat="1" ht="12.75">
      <c r="B34" s="396"/>
      <c r="C34" s="419" t="s">
        <v>40</v>
      </c>
      <c r="D34" s="420">
        <f t="shared" ref="D34:S34" si="4">_xlfn.STDEV.S(D5:D30)</f>
        <v>743.95079183964742</v>
      </c>
      <c r="E34" s="420">
        <f t="shared" si="4"/>
        <v>988.54769929466522</v>
      </c>
      <c r="F34" s="420">
        <f t="shared" si="4"/>
        <v>627.9487979450837</v>
      </c>
      <c r="G34" s="420">
        <f t="shared" si="4"/>
        <v>1337.491526274629</v>
      </c>
      <c r="H34" s="420">
        <f t="shared" si="4"/>
        <v>270.13019810909441</v>
      </c>
      <c r="I34" s="420">
        <f t="shared" si="4"/>
        <v>1425.2410618207712</v>
      </c>
      <c r="J34" s="420">
        <f t="shared" si="4"/>
        <v>83.168341733298092</v>
      </c>
      <c r="K34" s="420">
        <f t="shared" si="4"/>
        <v>435.10600665814752</v>
      </c>
      <c r="L34" s="420">
        <f t="shared" si="4"/>
        <v>159.96500000000015</v>
      </c>
      <c r="M34" s="420">
        <f t="shared" si="4"/>
        <v>2584.2638564508752</v>
      </c>
      <c r="N34" s="420">
        <f t="shared" si="4"/>
        <v>141.19999999999982</v>
      </c>
      <c r="O34" s="420">
        <f t="shared" si="4"/>
        <v>1720.6648413985313</v>
      </c>
      <c r="P34" s="420">
        <f t="shared" si="4"/>
        <v>0</v>
      </c>
      <c r="Q34" s="420">
        <f t="shared" si="4"/>
        <v>138.83334541816683</v>
      </c>
      <c r="R34" s="420">
        <f t="shared" si="4"/>
        <v>362.40400924934602</v>
      </c>
      <c r="S34" s="420">
        <f t="shared" si="4"/>
        <v>1033.2618148916731</v>
      </c>
    </row>
    <row r="35" spans="2:22" s="398" customFormat="1" ht="12.75">
      <c r="B35" s="396"/>
      <c r="C35" s="419" t="s">
        <v>41</v>
      </c>
      <c r="D35" s="421">
        <f>D34/D32</f>
        <v>0.23483164003734816</v>
      </c>
      <c r="E35" s="421">
        <f t="shared" ref="E35:S35" si="5">E34/E32</f>
        <v>0.15255047916357686</v>
      </c>
      <c r="F35" s="421">
        <f t="shared" si="5"/>
        <v>0.11836355365237354</v>
      </c>
      <c r="G35" s="421">
        <f t="shared" si="5"/>
        <v>0.12289355814264605</v>
      </c>
      <c r="H35" s="421">
        <f t="shared" si="5"/>
        <v>3.4386411577375521E-2</v>
      </c>
      <c r="I35" s="421">
        <f t="shared" si="5"/>
        <v>9.53730521221446E-2</v>
      </c>
      <c r="J35" s="421">
        <f t="shared" si="5"/>
        <v>2.843135307723535E-2</v>
      </c>
      <c r="K35" s="421">
        <f t="shared" si="5"/>
        <v>6.3465156514080717E-2</v>
      </c>
      <c r="L35" s="421">
        <f t="shared" si="5"/>
        <v>2.4691281800357429E-2</v>
      </c>
      <c r="M35" s="421">
        <f t="shared" si="5"/>
        <v>0.17862438063366648</v>
      </c>
      <c r="N35" s="421">
        <f t="shared" si="5"/>
        <v>2.4691012611301875E-2</v>
      </c>
      <c r="O35" s="421">
        <f t="shared" si="5"/>
        <v>0.13647451154546891</v>
      </c>
      <c r="P35" s="421">
        <f t="shared" si="5"/>
        <v>0</v>
      </c>
      <c r="Q35" s="421">
        <f t="shared" si="5"/>
        <v>1.9958560772470532E-2</v>
      </c>
      <c r="R35" s="421">
        <f t="shared" si="5"/>
        <v>9.3953059571736927E-2</v>
      </c>
      <c r="S35" s="421">
        <f t="shared" si="5"/>
        <v>0.12073955232242016</v>
      </c>
    </row>
    <row r="36" spans="2:22" s="398" customFormat="1" ht="6" customHeight="1">
      <c r="B36" s="396"/>
      <c r="C36" s="419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</row>
    <row r="37" spans="2:22" s="398" customFormat="1" ht="12.75">
      <c r="B37" s="396"/>
      <c r="C37" s="523" t="s">
        <v>42</v>
      </c>
      <c r="D37" s="527">
        <f t="shared" ref="D37:S37" si="6">MAX(D5:D29)</f>
        <v>4550</v>
      </c>
      <c r="E37" s="524">
        <f t="shared" si="6"/>
        <v>8371.58</v>
      </c>
      <c r="F37" s="527">
        <f t="shared" si="6"/>
        <v>6270.48</v>
      </c>
      <c r="G37" s="524">
        <f t="shared" si="6"/>
        <v>13259.05</v>
      </c>
      <c r="H37" s="527">
        <f t="shared" si="6"/>
        <v>8156.38</v>
      </c>
      <c r="I37" s="524">
        <f t="shared" si="6"/>
        <v>16457.89</v>
      </c>
      <c r="J37" s="524">
        <f t="shared" si="6"/>
        <v>3095</v>
      </c>
      <c r="K37" s="524">
        <f t="shared" si="6"/>
        <v>7584.65</v>
      </c>
      <c r="L37" s="524">
        <f t="shared" si="6"/>
        <v>6718.55</v>
      </c>
      <c r="M37" s="524">
        <f t="shared" si="6"/>
        <v>18290.22</v>
      </c>
      <c r="N37" s="524">
        <f t="shared" si="6"/>
        <v>5930.48</v>
      </c>
      <c r="O37" s="524">
        <f t="shared" si="6"/>
        <v>15123.28</v>
      </c>
      <c r="P37" s="524">
        <f t="shared" si="6"/>
        <v>3222.4</v>
      </c>
      <c r="Q37" s="524">
        <f t="shared" si="6"/>
        <v>7054.25</v>
      </c>
      <c r="R37" s="524">
        <f t="shared" si="6"/>
        <v>4019.36</v>
      </c>
      <c r="S37" s="524">
        <f t="shared" si="6"/>
        <v>9755.82</v>
      </c>
    </row>
    <row r="38" spans="2:22" s="398" customFormat="1" ht="12.75">
      <c r="B38" s="396"/>
      <c r="C38" s="525" t="s">
        <v>43</v>
      </c>
      <c r="D38" s="528">
        <f t="shared" ref="D38:S38" si="7">MIN(D5:D29)</f>
        <v>2523.0239999999999</v>
      </c>
      <c r="E38" s="526">
        <f t="shared" si="7"/>
        <v>5307.17</v>
      </c>
      <c r="F38" s="528">
        <f t="shared" si="7"/>
        <v>3784.5360000000005</v>
      </c>
      <c r="G38" s="526">
        <f t="shared" si="7"/>
        <v>9029.07</v>
      </c>
      <c r="H38" s="528">
        <f t="shared" si="7"/>
        <v>7500</v>
      </c>
      <c r="I38" s="526">
        <f t="shared" si="7"/>
        <v>13046.1</v>
      </c>
      <c r="J38" s="526">
        <f t="shared" si="7"/>
        <v>2891.28</v>
      </c>
      <c r="K38" s="526">
        <f t="shared" si="7"/>
        <v>6394.86</v>
      </c>
      <c r="L38" s="526">
        <f t="shared" si="7"/>
        <v>6398.62</v>
      </c>
      <c r="M38" s="526">
        <f t="shared" si="7"/>
        <v>12841.57</v>
      </c>
      <c r="N38" s="526">
        <f t="shared" si="7"/>
        <v>5648.08</v>
      </c>
      <c r="O38" s="526">
        <f t="shared" si="7"/>
        <v>11458.33</v>
      </c>
      <c r="P38" s="526">
        <f t="shared" si="7"/>
        <v>3222.4</v>
      </c>
      <c r="Q38" s="526">
        <f t="shared" si="7"/>
        <v>6857.91</v>
      </c>
      <c r="R38" s="526">
        <f t="shared" si="7"/>
        <v>3209</v>
      </c>
      <c r="S38" s="526">
        <f t="shared" si="7"/>
        <v>6973.8705489181466</v>
      </c>
    </row>
    <row r="39" spans="2:22" s="398" customFormat="1" ht="12.75">
      <c r="B39" s="396"/>
      <c r="C39" s="413"/>
      <c r="D39" s="399"/>
      <c r="E39" s="399"/>
      <c r="F39" s="399"/>
      <c r="G39" s="399"/>
      <c r="H39" s="400"/>
      <c r="I39" s="400"/>
      <c r="J39" s="406"/>
      <c r="K39" s="400"/>
      <c r="L39" s="406"/>
      <c r="M39" s="400"/>
      <c r="N39" s="406"/>
      <c r="O39" s="400"/>
      <c r="P39" s="406"/>
      <c r="Q39" s="400"/>
      <c r="R39" s="406"/>
      <c r="S39" s="408"/>
    </row>
    <row r="40" spans="2:22" s="106" customFormat="1">
      <c r="C40" s="422" t="s">
        <v>44</v>
      </c>
      <c r="D40" s="423">
        <f>E40/T40</f>
        <v>0.2</v>
      </c>
      <c r="E40" s="422">
        <v>54</v>
      </c>
      <c r="F40" s="422"/>
      <c r="G40" s="422">
        <v>53</v>
      </c>
      <c r="H40" s="422"/>
      <c r="I40" s="422">
        <v>35</v>
      </c>
      <c r="J40" s="422"/>
      <c r="K40" s="422">
        <v>90</v>
      </c>
      <c r="L40" s="422"/>
      <c r="M40" s="422">
        <v>3</v>
      </c>
      <c r="N40" s="422"/>
      <c r="O40" s="422">
        <v>34</v>
      </c>
      <c r="P40" s="422"/>
      <c r="Q40" s="422"/>
      <c r="R40" s="422"/>
      <c r="S40" s="422">
        <v>1</v>
      </c>
      <c r="T40" s="424">
        <f>SUM(E40:S40)</f>
        <v>270</v>
      </c>
    </row>
    <row r="41" spans="2:22" ht="15.75">
      <c r="C41" s="425"/>
      <c r="D41" s="425"/>
      <c r="E41" s="426">
        <f>E40*E32</f>
        <v>349927.29000000004</v>
      </c>
      <c r="F41" s="426"/>
      <c r="G41" s="426">
        <f>G40*G32</f>
        <v>576816.65307692299</v>
      </c>
      <c r="H41" s="427"/>
      <c r="I41" s="426">
        <f>I40*I32</f>
        <v>523034.92499999999</v>
      </c>
      <c r="J41" s="427"/>
      <c r="K41" s="426">
        <f>K40*K32</f>
        <v>617024.25000000012</v>
      </c>
      <c r="L41" s="427"/>
      <c r="M41" s="426">
        <f>M40*M32</f>
        <v>43402.762499999997</v>
      </c>
      <c r="N41" s="427"/>
      <c r="O41" s="426">
        <f>O40*O32</f>
        <v>428670.55499999993</v>
      </c>
      <c r="P41" s="427"/>
      <c r="Q41" s="425"/>
      <c r="R41" s="426"/>
      <c r="S41" s="426">
        <f>S40*S32</f>
        <v>8557.7741097836297</v>
      </c>
      <c r="T41" s="428">
        <f>SUM(E41:S41)</f>
        <v>2547434.2096867068</v>
      </c>
      <c r="U41" s="429">
        <f>T41-G62</f>
        <v>674370.88968670717</v>
      </c>
      <c r="V41" s="430">
        <f>U41/G62</f>
        <v>0.36003635461010858</v>
      </c>
    </row>
    <row r="42" spans="2:22">
      <c r="C42" s="425"/>
      <c r="D42" s="426"/>
      <c r="E42" s="426"/>
      <c r="F42" s="426"/>
      <c r="G42" s="426"/>
      <c r="H42" s="427"/>
      <c r="I42" s="427"/>
      <c r="J42" s="425"/>
      <c r="K42" s="425"/>
      <c r="L42" s="425"/>
      <c r="M42" s="425"/>
      <c r="N42" s="425"/>
      <c r="O42" s="427"/>
      <c r="P42" s="427"/>
      <c r="Q42" s="425"/>
      <c r="R42" s="425"/>
      <c r="S42" s="425"/>
      <c r="T42" s="432">
        <f>T41*12</f>
        <v>30569210.516240481</v>
      </c>
    </row>
    <row r="43" spans="2:22">
      <c r="C43" s="433"/>
      <c r="D43" s="434">
        <v>0.38190000000000002</v>
      </c>
      <c r="E43" s="435">
        <v>118</v>
      </c>
      <c r="F43" s="434">
        <v>0.36470000000000002</v>
      </c>
      <c r="G43" s="435">
        <v>46</v>
      </c>
      <c r="H43" s="436">
        <v>0.25340000000000001</v>
      </c>
      <c r="I43" s="437">
        <v>22</v>
      </c>
      <c r="J43" s="433"/>
      <c r="K43" s="433">
        <v>101</v>
      </c>
      <c r="L43" s="433"/>
      <c r="M43" s="433">
        <v>3</v>
      </c>
      <c r="N43" s="433"/>
      <c r="O43" s="437">
        <v>45</v>
      </c>
      <c r="P43" s="438"/>
      <c r="Q43" s="433"/>
      <c r="R43" s="433"/>
      <c r="S43" s="439">
        <v>1</v>
      </c>
      <c r="T43" s="437">
        <f>E43+G43+I43+K43+M43+O43+S43</f>
        <v>336</v>
      </c>
    </row>
    <row r="44" spans="2:22" ht="15.75">
      <c r="C44" s="433"/>
      <c r="D44" s="440"/>
      <c r="E44" s="440">
        <f>E32*E43</f>
        <v>764655.93</v>
      </c>
      <c r="F44" s="440"/>
      <c r="G44" s="440">
        <f>G32*G43</f>
        <v>500633.32153846149</v>
      </c>
      <c r="H44" s="438"/>
      <c r="I44" s="440">
        <f>I32*I43</f>
        <v>328764.81</v>
      </c>
      <c r="J44" s="440"/>
      <c r="K44" s="440">
        <f t="shared" ref="K44" si="8">K32*K43</f>
        <v>692438.32500000007</v>
      </c>
      <c r="L44" s="433"/>
      <c r="M44" s="440">
        <f>M32*M43</f>
        <v>43402.762499999997</v>
      </c>
      <c r="N44" s="433"/>
      <c r="O44" s="440">
        <f>O32*O43</f>
        <v>567358.08749999991</v>
      </c>
      <c r="P44" s="438"/>
      <c r="Q44" s="433"/>
      <c r="R44" s="433"/>
      <c r="S44" s="440">
        <f>S32*S43</f>
        <v>8557.7741097836297</v>
      </c>
      <c r="T44" s="441">
        <f>SUM(E44:S44)</f>
        <v>2905811.0106482455</v>
      </c>
    </row>
    <row r="45" spans="2:22">
      <c r="C45" s="433"/>
      <c r="D45" s="440"/>
      <c r="E45" s="440"/>
      <c r="F45" s="440"/>
      <c r="G45" s="440"/>
      <c r="H45" s="438"/>
      <c r="I45" s="438"/>
      <c r="J45" s="433"/>
      <c r="K45" s="433"/>
      <c r="L45" s="433"/>
      <c r="M45" s="433"/>
      <c r="N45" s="433"/>
      <c r="O45" s="438"/>
      <c r="P45" s="438"/>
      <c r="Q45" s="433"/>
      <c r="R45" s="433"/>
      <c r="S45" s="433"/>
      <c r="T45" s="442">
        <f>T44*12</f>
        <v>34869732.127778947</v>
      </c>
    </row>
    <row r="46" spans="2:22">
      <c r="D46" s="443"/>
      <c r="E46" s="443"/>
      <c r="F46" s="443"/>
      <c r="G46" s="443"/>
      <c r="H46" s="444"/>
      <c r="I46" s="444"/>
      <c r="O46" s="444"/>
      <c r="P46" s="444"/>
      <c r="T46" s="429"/>
    </row>
    <row r="47" spans="2:22">
      <c r="D47" s="443"/>
      <c r="E47" s="443"/>
      <c r="F47" s="443"/>
      <c r="G47" s="443"/>
      <c r="H47" s="444"/>
      <c r="I47" s="444"/>
      <c r="O47" s="444"/>
      <c r="P47" s="444"/>
      <c r="T47" s="429"/>
    </row>
    <row r="48" spans="2:22">
      <c r="C48" s="445" t="s">
        <v>45</v>
      </c>
      <c r="D48" s="446">
        <f>D50*1.15</f>
        <v>69</v>
      </c>
      <c r="E48" s="447">
        <f>D48/$C$49</f>
        <v>0.19942196531791909</v>
      </c>
      <c r="F48" s="446">
        <f>F50*1.15</f>
        <v>86.25</v>
      </c>
      <c r="G48" s="447">
        <f>F48/$C$49</f>
        <v>0.24927745664739884</v>
      </c>
      <c r="H48" s="448"/>
      <c r="I48" s="447"/>
      <c r="J48" s="448">
        <v>90</v>
      </c>
      <c r="K48" s="447">
        <f>J48/$C$49</f>
        <v>0.26011560693641617</v>
      </c>
      <c r="L48" s="448">
        <v>3</v>
      </c>
      <c r="M48" s="447">
        <f>L48/$C$49</f>
        <v>8.670520231213872E-3</v>
      </c>
      <c r="N48" s="448">
        <v>34</v>
      </c>
      <c r="O48" s="447">
        <f>N48/$C$49</f>
        <v>9.8265895953757232E-2</v>
      </c>
      <c r="P48" s="448"/>
      <c r="Q48" s="448"/>
      <c r="R48" s="448">
        <v>1</v>
      </c>
      <c r="S48" s="448"/>
      <c r="T48" s="449"/>
      <c r="U48" s="449">
        <f>C49-T48</f>
        <v>346</v>
      </c>
    </row>
    <row r="49" spans="3:21">
      <c r="C49" s="445">
        <v>346</v>
      </c>
      <c r="D49" s="450"/>
      <c r="E49" s="450"/>
      <c r="F49" s="450"/>
      <c r="G49" s="450"/>
      <c r="H49" s="450"/>
      <c r="I49" s="450"/>
      <c r="J49" s="450"/>
      <c r="K49" s="450"/>
      <c r="L49" s="450"/>
      <c r="M49" s="450"/>
      <c r="N49" s="450"/>
      <c r="O49" s="450"/>
      <c r="P49" s="445"/>
      <c r="Q49" s="445"/>
      <c r="R49" s="450"/>
      <c r="S49" s="450"/>
      <c r="T49" s="451"/>
      <c r="U49" s="451">
        <f>T49*12</f>
        <v>0</v>
      </c>
    </row>
    <row r="50" spans="3:21">
      <c r="C50" s="433">
        <v>270</v>
      </c>
      <c r="D50" s="439">
        <v>60</v>
      </c>
      <c r="E50" s="436">
        <f>D50/$C$50</f>
        <v>0.22222222222222221</v>
      </c>
      <c r="F50" s="439">
        <v>75</v>
      </c>
      <c r="G50" s="436">
        <f>F50/$C$50</f>
        <v>0.27777777777777779</v>
      </c>
      <c r="H50" s="433"/>
      <c r="I50" s="433"/>
      <c r="J50" s="433">
        <v>80</v>
      </c>
      <c r="K50" s="436">
        <f>J50/$C$50</f>
        <v>0.29629629629629628</v>
      </c>
      <c r="L50" s="433">
        <v>2</v>
      </c>
      <c r="M50" s="436">
        <f>L50/$C$50</f>
        <v>7.4074074074074077E-3</v>
      </c>
      <c r="N50" s="433">
        <v>40</v>
      </c>
      <c r="O50" s="436">
        <f>N50/$C$50</f>
        <v>0.14814814814814814</v>
      </c>
      <c r="P50" s="433">
        <v>3</v>
      </c>
      <c r="Q50" s="436">
        <f>P50/$C$50</f>
        <v>1.1111111111111112E-2</v>
      </c>
      <c r="R50" s="433"/>
      <c r="S50" s="433"/>
      <c r="U50" s="381">
        <v>22476759.84</v>
      </c>
    </row>
    <row r="51" spans="3:21">
      <c r="C51" s="431">
        <f>C49-C50</f>
        <v>76</v>
      </c>
      <c r="U51" s="430">
        <f>(U49-U50)/U50</f>
        <v>-1</v>
      </c>
    </row>
    <row r="52" spans="3:21">
      <c r="C52" s="431">
        <f>C51/C50</f>
        <v>0.2814814814814815</v>
      </c>
    </row>
    <row r="54" spans="3:21">
      <c r="D54" s="106" t="s">
        <v>46</v>
      </c>
      <c r="E54" s="106" t="s">
        <v>47</v>
      </c>
      <c r="F54" s="106" t="s">
        <v>48</v>
      </c>
    </row>
    <row r="55" spans="3:21">
      <c r="C55" s="431" t="s">
        <v>49</v>
      </c>
      <c r="D55" s="443">
        <v>2405.96</v>
      </c>
      <c r="E55" s="443">
        <v>5330.84</v>
      </c>
      <c r="F55" s="106">
        <v>60</v>
      </c>
      <c r="G55" s="452">
        <f>F55*E55</f>
        <v>319850.40000000002</v>
      </c>
      <c r="H55" s="430">
        <f>G55/$G$62</f>
        <v>0.17076326068891259</v>
      </c>
    </row>
    <row r="56" spans="3:21">
      <c r="C56" s="431" t="s">
        <v>50</v>
      </c>
      <c r="D56" s="443">
        <v>3500</v>
      </c>
      <c r="E56" s="443">
        <v>7120.52</v>
      </c>
      <c r="F56" s="106">
        <v>75</v>
      </c>
      <c r="G56" s="452">
        <f t="shared" ref="G56:G61" si="9">F56*E56</f>
        <v>534039</v>
      </c>
      <c r="H56" s="430">
        <f t="shared" ref="H56:H61" si="10">G56/$G$62</f>
        <v>0.28511529444717337</v>
      </c>
    </row>
    <row r="57" spans="3:21">
      <c r="C57" s="431" t="s">
        <v>51</v>
      </c>
      <c r="D57" s="443">
        <v>2891.28</v>
      </c>
      <c r="E57" s="443">
        <v>6133.55</v>
      </c>
      <c r="F57" s="106">
        <v>80</v>
      </c>
      <c r="G57" s="452">
        <f t="shared" si="9"/>
        <v>490684</v>
      </c>
      <c r="H57" s="430">
        <f t="shared" si="10"/>
        <v>0.26196871977611524</v>
      </c>
      <c r="L57" s="453">
        <v>45776</v>
      </c>
    </row>
    <row r="58" spans="3:21">
      <c r="C58" s="431" t="s">
        <v>52</v>
      </c>
      <c r="D58" s="443">
        <v>5648.08</v>
      </c>
      <c r="E58" s="443">
        <v>10776.61</v>
      </c>
      <c r="F58" s="106">
        <v>40</v>
      </c>
      <c r="G58" s="452">
        <f t="shared" si="9"/>
        <v>431064.4</v>
      </c>
      <c r="H58" s="430">
        <f t="shared" si="10"/>
        <v>0.23013872269945476</v>
      </c>
      <c r="L58" s="453">
        <v>45806</v>
      </c>
    </row>
    <row r="59" spans="3:21">
      <c r="C59" s="431" t="s">
        <v>53</v>
      </c>
      <c r="D59" s="443">
        <v>6398.62</v>
      </c>
      <c r="E59" s="443">
        <v>12059.44</v>
      </c>
      <c r="F59" s="106">
        <v>2</v>
      </c>
      <c r="G59" s="452">
        <f t="shared" si="9"/>
        <v>24118.880000000001</v>
      </c>
      <c r="H59" s="430">
        <f t="shared" si="10"/>
        <v>1.2876702961648945E-2</v>
      </c>
      <c r="L59" s="431">
        <f>NETWORKDAYS(L57,L58)</f>
        <v>23</v>
      </c>
    </row>
    <row r="60" spans="3:21">
      <c r="C60" s="431" t="s">
        <v>54</v>
      </c>
      <c r="D60" s="443">
        <v>2405.96</v>
      </c>
      <c r="E60" s="443">
        <v>5330.84</v>
      </c>
      <c r="F60" s="106">
        <v>10</v>
      </c>
      <c r="G60" s="452">
        <f t="shared" si="9"/>
        <v>53308.4</v>
      </c>
      <c r="H60" s="430">
        <f t="shared" si="10"/>
        <v>2.8460543448152097E-2</v>
      </c>
    </row>
    <row r="61" spans="3:21">
      <c r="C61" s="431" t="s">
        <v>55</v>
      </c>
      <c r="D61" s="443">
        <v>3222.4</v>
      </c>
      <c r="E61" s="443">
        <v>6666.08</v>
      </c>
      <c r="F61" s="106">
        <v>3</v>
      </c>
      <c r="G61" s="452">
        <f t="shared" si="9"/>
        <v>19998.239999999998</v>
      </c>
      <c r="H61" s="430">
        <f t="shared" si="10"/>
        <v>1.0676755978543215E-2</v>
      </c>
    </row>
    <row r="62" spans="3:21">
      <c r="F62" s="106" t="s">
        <v>56</v>
      </c>
      <c r="G62" s="452">
        <f>SUM(G55:G61)</f>
        <v>1873063.3199999996</v>
      </c>
      <c r="H62" s="454"/>
    </row>
    <row r="63" spans="3:21">
      <c r="F63" s="106" t="s">
        <v>57</v>
      </c>
      <c r="G63" s="452">
        <f>G62*12</f>
        <v>22476759.839999996</v>
      </c>
    </row>
    <row r="65" spans="3:4">
      <c r="C65" s="431" t="s">
        <v>58</v>
      </c>
      <c r="D65" s="443">
        <v>2574.38</v>
      </c>
    </row>
  </sheetData>
  <mergeCells count="16">
    <mergeCell ref="P2:Q2"/>
    <mergeCell ref="R2:S2"/>
    <mergeCell ref="D3:E3"/>
    <mergeCell ref="F3:G3"/>
    <mergeCell ref="H3:I3"/>
    <mergeCell ref="J3:K3"/>
    <mergeCell ref="L3:M3"/>
    <mergeCell ref="N3:O3"/>
    <mergeCell ref="P3:Q3"/>
    <mergeCell ref="R3:S3"/>
    <mergeCell ref="D2:E2"/>
    <mergeCell ref="F2:G2"/>
    <mergeCell ref="H2:I2"/>
    <mergeCell ref="J2:K2"/>
    <mergeCell ref="L2:M2"/>
    <mergeCell ref="N2:O2"/>
  </mergeCells>
  <conditionalFormatting sqref="D35:S35">
    <cfRule type="cellIs" dxfId="3" priority="1" operator="lessThan">
      <formula>0.25</formula>
    </cfRule>
    <cfRule type="cellIs" dxfId="2" priority="2" operator="greaterThanOrEqual">
      <formula>0.25</formula>
    </cfRule>
  </conditionalFormatting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35A7B-DAD5-4038-9826-39B85D96AA83}">
  <sheetPr codeName="Planilha13">
    <tabColor theme="0"/>
  </sheetPr>
  <dimension ref="A2:M133"/>
  <sheetViews>
    <sheetView zoomScaleNormal="100" zoomScaleSheetLayoutView="110" workbookViewId="0">
      <selection activeCell="E21" sqref="E21"/>
    </sheetView>
  </sheetViews>
  <sheetFormatPr defaultColWidth="9.140625" defaultRowHeight="14.25"/>
  <cols>
    <col min="1" max="1" width="7.28515625" style="2" customWidth="1"/>
    <col min="2" max="2" width="31.5703125" style="1" customWidth="1"/>
    <col min="3" max="3" width="31.28515625" style="1" customWidth="1"/>
    <col min="4" max="4" width="16.28515625" style="2" customWidth="1"/>
    <col min="5" max="5" width="23.5703125" style="6" customWidth="1"/>
    <col min="6" max="6" width="18.42578125" style="1" hidden="1" customWidth="1"/>
    <col min="7" max="7" width="12.28515625" style="1" customWidth="1"/>
    <col min="8" max="8" width="11.28515625" style="1" bestFit="1" customWidth="1"/>
    <col min="9" max="9" width="9.140625" style="1"/>
    <col min="10" max="10" width="11.5703125" style="1" bestFit="1" customWidth="1"/>
    <col min="11" max="11" width="9.140625" style="1"/>
    <col min="12" max="12" width="14.28515625" style="1" bestFit="1" customWidth="1"/>
    <col min="13" max="13" width="10.5703125" style="1" bestFit="1" customWidth="1"/>
    <col min="14" max="16384" width="9.140625" style="1"/>
  </cols>
  <sheetData>
    <row r="2" spans="1:5">
      <c r="A2" s="828" t="s">
        <v>300</v>
      </c>
      <c r="B2" s="829"/>
      <c r="C2" s="829"/>
      <c r="D2" s="829"/>
      <c r="E2" s="829"/>
    </row>
    <row r="3" spans="1:5">
      <c r="A3" s="837"/>
      <c r="B3" s="838"/>
      <c r="C3" s="838"/>
      <c r="D3" s="838"/>
      <c r="E3" s="838"/>
    </row>
    <row r="4" spans="1:5" ht="15.75">
      <c r="A4" s="830" t="s">
        <v>301</v>
      </c>
      <c r="B4" s="830"/>
      <c r="C4" s="830"/>
      <c r="D4" s="830"/>
      <c r="E4" s="830"/>
    </row>
    <row r="5" spans="1:5" ht="15.75">
      <c r="A5" s="830" t="s">
        <v>302</v>
      </c>
      <c r="B5" s="830"/>
      <c r="C5" s="830"/>
      <c r="D5" s="830"/>
      <c r="E5" s="830"/>
    </row>
    <row r="6" spans="1:5">
      <c r="A6" s="93"/>
      <c r="B6" s="93"/>
      <c r="C6" s="93"/>
      <c r="D6" s="93"/>
      <c r="E6" s="93"/>
    </row>
    <row r="7" spans="1:5">
      <c r="A7" s="750" t="s">
        <v>150</v>
      </c>
      <c r="B7" s="750"/>
      <c r="C7" s="750"/>
      <c r="D7" s="750"/>
      <c r="E7" s="750"/>
    </row>
    <row r="8" spans="1:5">
      <c r="A8" s="295" t="s">
        <v>115</v>
      </c>
      <c r="B8" s="770" t="s">
        <v>151</v>
      </c>
      <c r="C8" s="770"/>
      <c r="D8" s="831"/>
      <c r="E8" s="832"/>
    </row>
    <row r="9" spans="1:5">
      <c r="A9" s="295" t="s">
        <v>116</v>
      </c>
      <c r="B9" s="770" t="s">
        <v>152</v>
      </c>
      <c r="C9" s="770"/>
      <c r="D9" s="813" t="s">
        <v>303</v>
      </c>
      <c r="E9" s="814"/>
    </row>
    <row r="10" spans="1:5">
      <c r="A10" s="295" t="s">
        <v>117</v>
      </c>
      <c r="B10" s="770" t="s">
        <v>154</v>
      </c>
      <c r="C10" s="770"/>
      <c r="D10" s="820" t="s">
        <v>304</v>
      </c>
      <c r="E10" s="821"/>
    </row>
    <row r="11" spans="1:5">
      <c r="A11" s="295" t="s">
        <v>156</v>
      </c>
      <c r="B11" s="770" t="s">
        <v>157</v>
      </c>
      <c r="C11" s="770"/>
      <c r="D11" s="815">
        <v>12</v>
      </c>
      <c r="E11" s="815"/>
    </row>
    <row r="12" spans="1:5">
      <c r="A12" s="14"/>
      <c r="B12" s="15"/>
      <c r="C12" s="15"/>
      <c r="D12" s="14"/>
      <c r="E12" s="14"/>
    </row>
    <row r="13" spans="1:5">
      <c r="A13" s="750" t="s">
        <v>305</v>
      </c>
      <c r="B13" s="750"/>
      <c r="C13" s="750"/>
      <c r="D13" s="750"/>
      <c r="E13" s="750"/>
    </row>
    <row r="14" spans="1:5" ht="28.5">
      <c r="A14" s="296" t="s">
        <v>158</v>
      </c>
      <c r="B14" s="800" t="s">
        <v>159</v>
      </c>
      <c r="C14" s="768"/>
      <c r="D14" s="353" t="s">
        <v>160</v>
      </c>
      <c r="E14" s="296" t="s">
        <v>161</v>
      </c>
    </row>
    <row r="15" spans="1:5">
      <c r="A15" s="297">
        <v>1</v>
      </c>
      <c r="B15" s="839" t="s">
        <v>344</v>
      </c>
      <c r="C15" s="840"/>
      <c r="D15" s="370" t="s">
        <v>307</v>
      </c>
      <c r="E15" s="376"/>
    </row>
    <row r="16" spans="1:5">
      <c r="A16" s="14"/>
      <c r="B16" s="15"/>
      <c r="C16" s="16"/>
      <c r="D16" s="16"/>
      <c r="E16" s="349"/>
    </row>
    <row r="17" spans="1:8" ht="15.75">
      <c r="A17" s="808" t="s">
        <v>164</v>
      </c>
      <c r="B17" s="808"/>
      <c r="C17" s="808"/>
      <c r="D17" s="808"/>
      <c r="E17" s="808"/>
    </row>
    <row r="18" spans="1:8">
      <c r="A18" s="750" t="s">
        <v>165</v>
      </c>
      <c r="B18" s="750"/>
      <c r="C18" s="750"/>
      <c r="D18" s="750"/>
      <c r="E18" s="750"/>
    </row>
    <row r="19" spans="1:8">
      <c r="A19" s="295">
        <v>1</v>
      </c>
      <c r="B19" s="770" t="s">
        <v>166</v>
      </c>
      <c r="C19" s="770"/>
      <c r="D19" s="835" t="s">
        <v>2</v>
      </c>
      <c r="E19" s="836"/>
    </row>
    <row r="20" spans="1:8">
      <c r="A20" s="295">
        <v>2</v>
      </c>
      <c r="B20" s="788" t="s">
        <v>168</v>
      </c>
      <c r="C20" s="789"/>
      <c r="D20" s="855" t="s">
        <v>308</v>
      </c>
      <c r="E20" s="857"/>
      <c r="G20" s="34"/>
    </row>
    <row r="21" spans="1:8">
      <c r="A21" s="295">
        <v>3</v>
      </c>
      <c r="B21" s="770" t="s">
        <v>309</v>
      </c>
      <c r="C21" s="770"/>
      <c r="D21" s="510"/>
      <c r="E21" s="507">
        <f>'Estimativas (C3) (FINAL)'!D26</f>
        <v>5350.7546316969701</v>
      </c>
    </row>
    <row r="22" spans="1:8">
      <c r="A22" s="295">
        <v>4</v>
      </c>
      <c r="B22" s="770" t="s">
        <v>310</v>
      </c>
      <c r="C22" s="770"/>
      <c r="D22" s="822">
        <v>1518</v>
      </c>
      <c r="E22" s="823"/>
    </row>
    <row r="23" spans="1:8">
      <c r="A23" s="295">
        <v>5</v>
      </c>
      <c r="B23" s="770" t="s">
        <v>171</v>
      </c>
      <c r="C23" s="770"/>
      <c r="D23" s="806" t="s">
        <v>311</v>
      </c>
      <c r="E23" s="806"/>
    </row>
    <row r="24" spans="1:8">
      <c r="A24" s="295">
        <v>6</v>
      </c>
      <c r="B24" s="770" t="s">
        <v>173</v>
      </c>
      <c r="C24" s="770"/>
      <c r="D24" s="826">
        <v>45658</v>
      </c>
      <c r="E24" s="826"/>
    </row>
    <row r="25" spans="1:8">
      <c r="A25" s="295">
        <v>7</v>
      </c>
      <c r="B25" s="770" t="s">
        <v>312</v>
      </c>
      <c r="C25" s="770"/>
      <c r="D25" s="827" t="s">
        <v>313</v>
      </c>
      <c r="E25" s="827"/>
    </row>
    <row r="26" spans="1:8">
      <c r="A26" s="802"/>
      <c r="B26" s="802"/>
      <c r="C26" s="802"/>
      <c r="D26" s="802"/>
      <c r="E26" s="802"/>
    </row>
    <row r="27" spans="1:8">
      <c r="A27" s="757" t="s">
        <v>174</v>
      </c>
      <c r="B27" s="758"/>
      <c r="C27" s="758"/>
      <c r="D27" s="758"/>
      <c r="E27" s="758"/>
    </row>
    <row r="28" spans="1:8">
      <c r="A28" s="296">
        <v>1</v>
      </c>
      <c r="B28" s="803" t="s">
        <v>175</v>
      </c>
      <c r="C28" s="803"/>
      <c r="D28" s="353" t="s">
        <v>176</v>
      </c>
      <c r="E28" s="53" t="s">
        <v>177</v>
      </c>
    </row>
    <row r="29" spans="1:8">
      <c r="A29" s="295" t="s">
        <v>178</v>
      </c>
      <c r="B29" s="824" t="s">
        <v>314</v>
      </c>
      <c r="C29" s="746"/>
      <c r="D29" s="352"/>
      <c r="E29" s="513">
        <f>E21</f>
        <v>5350.7546316969701</v>
      </c>
    </row>
    <row r="30" spans="1:8">
      <c r="A30" s="580" t="s">
        <v>116</v>
      </c>
      <c r="B30" s="825" t="s">
        <v>259</v>
      </c>
      <c r="C30" s="825"/>
      <c r="D30" s="585"/>
      <c r="E30" s="357">
        <v>0</v>
      </c>
    </row>
    <row r="31" spans="1:8" s="5" customFormat="1">
      <c r="A31" s="796" t="s">
        <v>187</v>
      </c>
      <c r="B31" s="796"/>
      <c r="C31" s="796"/>
      <c r="D31" s="796"/>
      <c r="E31" s="358">
        <f>SUM(E29:E30)</f>
        <v>5350.7546316969701</v>
      </c>
      <c r="F31" s="30"/>
      <c r="G31" s="30"/>
      <c r="H31" s="30"/>
    </row>
    <row r="32" spans="1:8" s="5" customFormat="1">
      <c r="A32" s="16"/>
      <c r="B32" s="16"/>
      <c r="C32" s="16"/>
      <c r="D32" s="16"/>
      <c r="E32" s="359"/>
    </row>
    <row r="33" spans="1:12" s="5" customFormat="1">
      <c r="A33" s="757" t="s">
        <v>188</v>
      </c>
      <c r="B33" s="758"/>
      <c r="C33" s="758"/>
      <c r="D33" s="758"/>
      <c r="E33" s="758"/>
    </row>
    <row r="34" spans="1:12" s="5" customFormat="1">
      <c r="A34" s="759" t="s">
        <v>315</v>
      </c>
      <c r="B34" s="759"/>
      <c r="C34" s="759"/>
      <c r="D34" s="759"/>
      <c r="E34" s="759"/>
    </row>
    <row r="35" spans="1:12" s="5" customFormat="1">
      <c r="A35" s="53" t="s">
        <v>190</v>
      </c>
      <c r="B35" s="760" t="s">
        <v>316</v>
      </c>
      <c r="C35" s="760"/>
      <c r="D35" s="53" t="s">
        <v>176</v>
      </c>
      <c r="E35" s="70" t="s">
        <v>177</v>
      </c>
    </row>
    <row r="36" spans="1:12" s="5" customFormat="1">
      <c r="A36" s="54" t="s">
        <v>178</v>
      </c>
      <c r="B36" s="786" t="s">
        <v>317</v>
      </c>
      <c r="C36" s="799"/>
      <c r="D36" s="94">
        <v>8.3299999999999999E-2</v>
      </c>
      <c r="E36" s="40">
        <f>D36*E31</f>
        <v>445.7178608203576</v>
      </c>
    </row>
    <row r="37" spans="1:12" s="5" customFormat="1">
      <c r="A37" s="86" t="s">
        <v>193</v>
      </c>
      <c r="B37" s="299" t="s">
        <v>194</v>
      </c>
      <c r="C37" s="318" t="s">
        <v>318</v>
      </c>
      <c r="D37" s="94">
        <v>0.1212</v>
      </c>
      <c r="E37" s="40">
        <f>D37*E31</f>
        <v>648.51146136167279</v>
      </c>
      <c r="G37" s="289"/>
    </row>
    <row r="38" spans="1:12" s="5" customFormat="1" ht="15" thickBot="1">
      <c r="A38" s="750" t="s">
        <v>195</v>
      </c>
      <c r="B38" s="750"/>
      <c r="C38" s="750"/>
      <c r="D38" s="17">
        <f>D36+D37</f>
        <v>0.20450000000000002</v>
      </c>
      <c r="E38" s="41">
        <f>SUM(E36:E37)</f>
        <v>1094.2293221820305</v>
      </c>
    </row>
    <row r="39" spans="1:12" s="5" customFormat="1">
      <c r="A39" s="18"/>
      <c r="B39" s="18"/>
      <c r="C39" s="18"/>
      <c r="D39" s="19"/>
      <c r="E39" s="20"/>
    </row>
    <row r="40" spans="1:12" s="5" customFormat="1">
      <c r="A40" s="759" t="s">
        <v>196</v>
      </c>
      <c r="B40" s="759"/>
      <c r="C40" s="759"/>
      <c r="D40" s="759"/>
      <c r="E40" s="759"/>
    </row>
    <row r="41" spans="1:12" s="5" customFormat="1">
      <c r="A41" s="53" t="s">
        <v>197</v>
      </c>
      <c r="B41" s="761" t="s">
        <v>198</v>
      </c>
      <c r="C41" s="761"/>
      <c r="D41" s="53" t="s">
        <v>176</v>
      </c>
      <c r="E41" s="53" t="s">
        <v>177</v>
      </c>
    </row>
    <row r="42" spans="1:12" s="5" customFormat="1" ht="15">
      <c r="A42" s="36" t="s">
        <v>178</v>
      </c>
      <c r="B42" s="739" t="s">
        <v>319</v>
      </c>
      <c r="C42" s="739"/>
      <c r="D42" s="378">
        <v>0.2</v>
      </c>
      <c r="E42" s="44">
        <f>($E$31+$E$38)*D42</f>
        <v>1288.9967907758</v>
      </c>
      <c r="F42" s="736"/>
      <c r="G42" s="736"/>
      <c r="H42" s="736"/>
      <c r="I42" s="736"/>
      <c r="L42" s="30"/>
    </row>
    <row r="43" spans="1:12" s="5" customFormat="1" ht="15">
      <c r="A43" s="36" t="s">
        <v>193</v>
      </c>
      <c r="B43" s="739" t="s">
        <v>320</v>
      </c>
      <c r="C43" s="739"/>
      <c r="D43" s="378">
        <v>2.5000000000000001E-2</v>
      </c>
      <c r="E43" s="44">
        <f t="shared" ref="E43:E49" si="0">($E$31+$E$38)*D43</f>
        <v>161.124598846975</v>
      </c>
    </row>
    <row r="44" spans="1:12" s="5" customFormat="1" ht="15">
      <c r="A44" s="36" t="s">
        <v>117</v>
      </c>
      <c r="B44" s="739" t="s">
        <v>321</v>
      </c>
      <c r="C44" s="739"/>
      <c r="D44" s="378">
        <v>0.02</v>
      </c>
      <c r="E44" s="44">
        <f>($E$31+$E$38)*D44</f>
        <v>128.89967907758</v>
      </c>
      <c r="F44" s="736"/>
      <c r="G44" s="736"/>
      <c r="H44" s="736"/>
      <c r="I44" s="736"/>
      <c r="L44" s="30"/>
    </row>
    <row r="45" spans="1:12" s="5" customFormat="1" ht="15">
      <c r="A45" s="36" t="s">
        <v>156</v>
      </c>
      <c r="B45" s="739" t="s">
        <v>322</v>
      </c>
      <c r="C45" s="739"/>
      <c r="D45" s="378">
        <v>1.4999999999999999E-2</v>
      </c>
      <c r="E45" s="44">
        <f t="shared" si="0"/>
        <v>96.674759308185003</v>
      </c>
    </row>
    <row r="46" spans="1:12" s="5" customFormat="1" ht="15">
      <c r="A46" s="36" t="s">
        <v>183</v>
      </c>
      <c r="B46" s="739" t="s">
        <v>323</v>
      </c>
      <c r="C46" s="739"/>
      <c r="D46" s="378">
        <v>0.01</v>
      </c>
      <c r="E46" s="44">
        <f t="shared" si="0"/>
        <v>64.449839538790002</v>
      </c>
    </row>
    <row r="47" spans="1:12" s="5" customFormat="1" ht="15">
      <c r="A47" s="36" t="s">
        <v>205</v>
      </c>
      <c r="B47" s="739" t="s">
        <v>324</v>
      </c>
      <c r="C47" s="739"/>
      <c r="D47" s="378">
        <v>6.0000000000000001E-3</v>
      </c>
      <c r="E47" s="44">
        <f t="shared" si="0"/>
        <v>38.669903723274004</v>
      </c>
    </row>
    <row r="48" spans="1:12" s="5" customFormat="1" ht="15">
      <c r="A48" s="36" t="s">
        <v>207</v>
      </c>
      <c r="B48" s="739" t="s">
        <v>325</v>
      </c>
      <c r="C48" s="739"/>
      <c r="D48" s="378">
        <v>2E-3</v>
      </c>
      <c r="E48" s="44">
        <f t="shared" si="0"/>
        <v>12.889967907758001</v>
      </c>
    </row>
    <row r="49" spans="1:13" s="5" customFormat="1" ht="15">
      <c r="A49" s="36" t="s">
        <v>209</v>
      </c>
      <c r="B49" s="739" t="s">
        <v>326</v>
      </c>
      <c r="C49" s="739"/>
      <c r="D49" s="378">
        <v>0.08</v>
      </c>
      <c r="E49" s="44">
        <f t="shared" si="0"/>
        <v>515.59871631032001</v>
      </c>
    </row>
    <row r="50" spans="1:13" s="5" customFormat="1">
      <c r="A50" s="740" t="s">
        <v>211</v>
      </c>
      <c r="B50" s="740"/>
      <c r="C50" s="740"/>
      <c r="D50" s="72">
        <f>SUM(D42:D49)</f>
        <v>0.35800000000000004</v>
      </c>
      <c r="E50" s="45">
        <f>SUM(E42:E49)</f>
        <v>2307.3042554886824</v>
      </c>
    </row>
    <row r="51" spans="1:13" s="5" customFormat="1">
      <c r="A51" s="16"/>
      <c r="B51" s="16"/>
      <c r="C51" s="16"/>
      <c r="D51" s="16"/>
      <c r="E51" s="359"/>
      <c r="G51" s="6"/>
      <c r="H51" s="6"/>
    </row>
    <row r="52" spans="1:13" s="5" customFormat="1">
      <c r="A52" s="842" t="s">
        <v>212</v>
      </c>
      <c r="B52" s="842"/>
      <c r="C52" s="842"/>
      <c r="D52" s="842"/>
      <c r="E52" s="842"/>
      <c r="G52" s="6"/>
      <c r="H52" s="6"/>
    </row>
    <row r="53" spans="1:13" s="6" customFormat="1">
      <c r="A53" s="293" t="s">
        <v>213</v>
      </c>
      <c r="B53" s="843" t="s">
        <v>214</v>
      </c>
      <c r="C53" s="843"/>
      <c r="D53" s="293"/>
      <c r="E53" s="293" t="s">
        <v>177</v>
      </c>
    </row>
    <row r="54" spans="1:13" s="6" customFormat="1">
      <c r="A54" s="36" t="s">
        <v>115</v>
      </c>
      <c r="B54" s="739" t="s">
        <v>215</v>
      </c>
      <c r="C54" s="739"/>
      <c r="D54" s="346">
        <f>'Assistente Adm I'!D54</f>
        <v>5.5</v>
      </c>
      <c r="E54" s="292">
        <f>IF((D54*2*21-(E29*6%))&gt;0, D54*2*21-(E29*6%), 0)</f>
        <v>0</v>
      </c>
      <c r="M54" s="31"/>
    </row>
    <row r="55" spans="1:13" s="6" customFormat="1">
      <c r="A55" s="36" t="s">
        <v>116</v>
      </c>
      <c r="B55" s="739" t="s">
        <v>327</v>
      </c>
      <c r="C55" s="739"/>
      <c r="D55" s="346">
        <v>44.3</v>
      </c>
      <c r="E55" s="292">
        <f>D55*21</f>
        <v>930.3</v>
      </c>
      <c r="F55" s="379"/>
      <c r="I55" s="31"/>
      <c r="M55" s="31"/>
    </row>
    <row r="56" spans="1:13" s="6" customFormat="1">
      <c r="A56" s="36" t="s">
        <v>117</v>
      </c>
      <c r="B56" s="739" t="s">
        <v>328</v>
      </c>
      <c r="C56" s="739"/>
      <c r="D56" s="377"/>
      <c r="E56" s="292">
        <v>0</v>
      </c>
      <c r="I56" s="31"/>
      <c r="M56" s="31"/>
    </row>
    <row r="57" spans="1:13" s="6" customFormat="1">
      <c r="A57" s="36" t="s">
        <v>156</v>
      </c>
      <c r="B57" s="536" t="s">
        <v>329</v>
      </c>
      <c r="C57" s="537"/>
      <c r="D57" s="377"/>
      <c r="E57" s="292">
        <v>0</v>
      </c>
      <c r="I57" s="31"/>
      <c r="M57" s="31"/>
    </row>
    <row r="58" spans="1:13" s="6" customFormat="1">
      <c r="A58" s="73" t="s">
        <v>205</v>
      </c>
      <c r="B58" s="846" t="s">
        <v>330</v>
      </c>
      <c r="C58" s="847"/>
      <c r="D58" s="47"/>
      <c r="E58" s="291"/>
    </row>
    <row r="59" spans="1:13" s="5" customFormat="1">
      <c r="A59" s="740" t="s">
        <v>223</v>
      </c>
      <c r="B59" s="740"/>
      <c r="C59" s="740"/>
      <c r="D59" s="740"/>
      <c r="E59" s="49">
        <f>SUM(E54:E58)</f>
        <v>930.3</v>
      </c>
      <c r="G59" s="6"/>
      <c r="H59" s="6"/>
    </row>
    <row r="60" spans="1:13" s="5" customFormat="1" ht="15" thickBot="1">
      <c r="A60" s="74"/>
      <c r="B60" s="75"/>
      <c r="C60" s="75"/>
      <c r="D60" s="75"/>
      <c r="E60" s="61"/>
      <c r="G60" s="6"/>
      <c r="H60" s="6"/>
    </row>
    <row r="61" spans="1:13" s="5" customFormat="1">
      <c r="A61" s="781"/>
      <c r="B61" s="782"/>
      <c r="C61" s="782"/>
      <c r="D61" s="782"/>
      <c r="E61" s="783"/>
      <c r="G61" s="6"/>
      <c r="H61" s="6"/>
    </row>
    <row r="62" spans="1:13" s="5" customFormat="1">
      <c r="A62" s="744" t="s">
        <v>230</v>
      </c>
      <c r="B62" s="744"/>
      <c r="C62" s="744"/>
      <c r="D62" s="744"/>
      <c r="E62" s="744"/>
      <c r="G62" s="6"/>
      <c r="H62" s="6"/>
    </row>
    <row r="63" spans="1:13" s="5" customFormat="1">
      <c r="A63" s="53"/>
      <c r="B63" s="761" t="s">
        <v>232</v>
      </c>
      <c r="C63" s="761"/>
      <c r="D63" s="53" t="s">
        <v>233</v>
      </c>
      <c r="E63" s="53" t="s">
        <v>177</v>
      </c>
    </row>
    <row r="64" spans="1:13" s="5" customFormat="1">
      <c r="A64" s="36" t="s">
        <v>190</v>
      </c>
      <c r="B64" s="844" t="s">
        <v>235</v>
      </c>
      <c r="C64" s="844"/>
      <c r="D64" s="364">
        <f>D38</f>
        <v>0.20450000000000002</v>
      </c>
      <c r="E64" s="44">
        <f>E38</f>
        <v>1094.2293221820305</v>
      </c>
    </row>
    <row r="65" spans="1:7" s="5" customFormat="1">
      <c r="A65" s="36" t="s">
        <v>197</v>
      </c>
      <c r="B65" s="844" t="s">
        <v>236</v>
      </c>
      <c r="C65" s="844"/>
      <c r="D65" s="364">
        <f>D50</f>
        <v>0.35800000000000004</v>
      </c>
      <c r="E65" s="44">
        <f>E50</f>
        <v>2307.3042554886824</v>
      </c>
    </row>
    <row r="66" spans="1:7" s="5" customFormat="1">
      <c r="A66" s="36" t="s">
        <v>213</v>
      </c>
      <c r="B66" s="844" t="s">
        <v>237</v>
      </c>
      <c r="C66" s="844"/>
      <c r="D66" s="364">
        <v>0</v>
      </c>
      <c r="E66" s="44">
        <f>E59</f>
        <v>930.3</v>
      </c>
    </row>
    <row r="67" spans="1:7" s="5" customFormat="1">
      <c r="A67" s="845" t="s">
        <v>240</v>
      </c>
      <c r="B67" s="845"/>
      <c r="C67" s="845"/>
      <c r="D67" s="365">
        <f>SUM(D64:D66)</f>
        <v>0.5625</v>
      </c>
      <c r="E67" s="49">
        <f>SUM(E64:E66)</f>
        <v>4331.8335776707127</v>
      </c>
    </row>
    <row r="68" spans="1:7" s="5" customFormat="1">
      <c r="A68" s="18"/>
      <c r="B68" s="18"/>
      <c r="C68" s="18"/>
      <c r="D68" s="351"/>
      <c r="E68" s="359"/>
    </row>
    <row r="69" spans="1:7" s="5" customFormat="1">
      <c r="A69" s="757" t="s">
        <v>241</v>
      </c>
      <c r="B69" s="758"/>
      <c r="C69" s="758"/>
      <c r="D69" s="758"/>
      <c r="E69" s="758"/>
    </row>
    <row r="70" spans="1:7" s="5" customFormat="1">
      <c r="A70" s="759" t="s">
        <v>241</v>
      </c>
      <c r="B70" s="759"/>
      <c r="C70" s="759"/>
      <c r="D70" s="759"/>
      <c r="E70" s="759"/>
    </row>
    <row r="71" spans="1:7" s="5" customFormat="1">
      <c r="A71" s="53">
        <v>3</v>
      </c>
      <c r="B71" s="761" t="s">
        <v>242</v>
      </c>
      <c r="C71" s="761"/>
      <c r="D71" s="53" t="s">
        <v>233</v>
      </c>
      <c r="E71" s="53" t="s">
        <v>177</v>
      </c>
    </row>
    <row r="72" spans="1:7" s="5" customFormat="1">
      <c r="A72" s="36" t="s">
        <v>178</v>
      </c>
      <c r="B72" s="849" t="s">
        <v>331</v>
      </c>
      <c r="C72" s="848"/>
      <c r="D72" s="290">
        <f>(0.05*(1/12))</f>
        <v>4.1666666666666666E-3</v>
      </c>
      <c r="E72" s="44">
        <f>D72*$E$31</f>
        <v>22.294810965404043</v>
      </c>
      <c r="G72" s="355"/>
    </row>
    <row r="73" spans="1:7" s="5" customFormat="1">
      <c r="A73" s="36" t="s">
        <v>193</v>
      </c>
      <c r="B73" s="848" t="s">
        <v>332</v>
      </c>
      <c r="C73" s="848"/>
      <c r="D73" s="71">
        <f>D49*D72</f>
        <v>3.3333333333333332E-4</v>
      </c>
      <c r="E73" s="44">
        <f>D49*E72</f>
        <v>1.7835848772323235</v>
      </c>
      <c r="G73" s="347"/>
    </row>
    <row r="74" spans="1:7" s="5" customFormat="1">
      <c r="A74" s="36" t="s">
        <v>117</v>
      </c>
      <c r="B74" s="540" t="s">
        <v>333</v>
      </c>
      <c r="C74" s="538"/>
      <c r="D74" s="71">
        <v>3.44E-2</v>
      </c>
      <c r="E74" s="44">
        <f>D74*$E$31</f>
        <v>184.06595933037576</v>
      </c>
      <c r="G74" s="347"/>
    </row>
    <row r="75" spans="1:7" s="5" customFormat="1" ht="60" customHeight="1">
      <c r="A75" s="36" t="s">
        <v>156</v>
      </c>
      <c r="B75" s="863" t="s">
        <v>345</v>
      </c>
      <c r="C75" s="864"/>
      <c r="D75" s="290">
        <f>((7/30)/12)</f>
        <v>1.9444444444444445E-2</v>
      </c>
      <c r="E75" s="44">
        <f>D75*$E$31</f>
        <v>104.04245117188553</v>
      </c>
      <c r="G75" s="348"/>
    </row>
    <row r="76" spans="1:7" s="5" customFormat="1" ht="33" customHeight="1">
      <c r="A76" s="36" t="s">
        <v>183</v>
      </c>
      <c r="B76" s="848" t="s">
        <v>335</v>
      </c>
      <c r="C76" s="848"/>
      <c r="D76" s="71">
        <f>D50*D75</f>
        <v>6.9611111111111124E-3</v>
      </c>
      <c r="E76" s="44">
        <f>D50*E75</f>
        <v>37.247197519535021</v>
      </c>
    </row>
    <row r="77" spans="1:7" s="5" customFormat="1" ht="33" customHeight="1">
      <c r="A77" s="36" t="s">
        <v>205</v>
      </c>
      <c r="B77" s="865" t="s">
        <v>346</v>
      </c>
      <c r="C77" s="848"/>
      <c r="D77" s="71">
        <v>5.5999999999999999E-3</v>
      </c>
      <c r="E77" s="44">
        <f>D77*$E$31</f>
        <v>29.964225937503034</v>
      </c>
    </row>
    <row r="78" spans="1:7" s="5" customFormat="1">
      <c r="A78" s="845" t="s">
        <v>250</v>
      </c>
      <c r="B78" s="845"/>
      <c r="C78" s="845"/>
      <c r="D78" s="365">
        <f>SUM(D72:D77)</f>
        <v>7.0905555555555555E-2</v>
      </c>
      <c r="E78" s="49">
        <f>SUM(E72:E77)</f>
        <v>379.39822980193571</v>
      </c>
    </row>
    <row r="79" spans="1:7" s="5" customFormat="1">
      <c r="A79" s="18"/>
      <c r="B79" s="18"/>
      <c r="C79" s="18"/>
      <c r="D79" s="351"/>
      <c r="E79" s="359"/>
    </row>
    <row r="80" spans="1:7" s="5" customFormat="1">
      <c r="A80" s="757" t="s">
        <v>251</v>
      </c>
      <c r="B80" s="758"/>
      <c r="C80" s="758"/>
      <c r="D80" s="758"/>
      <c r="E80" s="758"/>
    </row>
    <row r="81" spans="1:10" s="5" customFormat="1">
      <c r="A81" s="842" t="s">
        <v>252</v>
      </c>
      <c r="B81" s="842"/>
      <c r="C81" s="842"/>
      <c r="D81" s="842"/>
      <c r="E81" s="842"/>
    </row>
    <row r="82" spans="1:10" s="5" customFormat="1">
      <c r="A82" s="852" t="s">
        <v>337</v>
      </c>
      <c r="B82" s="853"/>
      <c r="C82" s="853"/>
      <c r="D82" s="854"/>
      <c r="E82" s="367">
        <f>(E31+E38+E50)</f>
        <v>8752.2882093676817</v>
      </c>
    </row>
    <row r="83" spans="1:10" s="5" customFormat="1">
      <c r="A83" s="293" t="s">
        <v>253</v>
      </c>
      <c r="B83" s="843" t="s">
        <v>254</v>
      </c>
      <c r="C83" s="843"/>
      <c r="D83" s="293" t="s">
        <v>233</v>
      </c>
      <c r="E83" s="293" t="s">
        <v>177</v>
      </c>
    </row>
    <row r="84" spans="1:10" s="5" customFormat="1">
      <c r="A84" s="36" t="s">
        <v>178</v>
      </c>
      <c r="B84" s="739" t="s">
        <v>338</v>
      </c>
      <c r="C84" s="739"/>
      <c r="D84" s="290">
        <v>0</v>
      </c>
      <c r="E84" s="44">
        <f>D84*(E31+E50)</f>
        <v>0</v>
      </c>
      <c r="G84" s="350"/>
      <c r="H84" s="30"/>
      <c r="I84" s="30"/>
      <c r="J84" s="30"/>
    </row>
    <row r="85" spans="1:10" s="5" customFormat="1">
      <c r="A85" s="36" t="s">
        <v>193</v>
      </c>
      <c r="B85" s="739" t="s">
        <v>254</v>
      </c>
      <c r="C85" s="739"/>
      <c r="D85" s="455">
        <v>2.8E-3</v>
      </c>
      <c r="E85" s="44">
        <f>D85*$E$82</f>
        <v>24.506406986229507</v>
      </c>
      <c r="J85" s="350"/>
    </row>
    <row r="86" spans="1:10" s="5" customFormat="1">
      <c r="A86" s="36" t="s">
        <v>245</v>
      </c>
      <c r="B86" s="739" t="s">
        <v>339</v>
      </c>
      <c r="C86" s="739"/>
      <c r="D86" s="290">
        <f>0.02%</f>
        <v>2.0000000000000001E-4</v>
      </c>
      <c r="E86" s="44">
        <f>D86*$E$82</f>
        <v>1.7504576418735365</v>
      </c>
    </row>
    <row r="87" spans="1:10" s="5" customFormat="1">
      <c r="A87" s="36" t="s">
        <v>118</v>
      </c>
      <c r="B87" s="739" t="s">
        <v>340</v>
      </c>
      <c r="C87" s="739"/>
      <c r="D87" s="290">
        <v>6.9999999999999999E-4</v>
      </c>
      <c r="E87" s="44">
        <f>D87*$E$82</f>
        <v>6.1266017465573768</v>
      </c>
    </row>
    <row r="88" spans="1:10" s="5" customFormat="1">
      <c r="A88" s="36" t="s">
        <v>119</v>
      </c>
      <c r="B88" s="739" t="s">
        <v>258</v>
      </c>
      <c r="C88" s="739"/>
      <c r="D88" s="290">
        <v>2E-3</v>
      </c>
      <c r="E88" s="44">
        <f>D88*$E$82</f>
        <v>17.504576418735365</v>
      </c>
    </row>
    <row r="89" spans="1:10" s="5" customFormat="1">
      <c r="A89" s="36" t="s">
        <v>185</v>
      </c>
      <c r="B89" s="844" t="s">
        <v>341</v>
      </c>
      <c r="C89" s="844"/>
      <c r="D89" s="71">
        <v>0</v>
      </c>
      <c r="E89" s="44">
        <f t="shared" ref="E89" si="1">D89*$E$31</f>
        <v>0</v>
      </c>
    </row>
    <row r="90" spans="1:10" s="5" customFormat="1">
      <c r="A90" s="796" t="s">
        <v>260</v>
      </c>
      <c r="B90" s="796"/>
      <c r="C90" s="796"/>
      <c r="D90" s="72">
        <f>SUM(D84:D89)</f>
        <v>5.7000000000000002E-3</v>
      </c>
      <c r="E90" s="49">
        <f>SUM(E84:E89)</f>
        <v>49.888042793395783</v>
      </c>
    </row>
    <row r="91" spans="1:10" s="5" customFormat="1">
      <c r="A91" s="18"/>
      <c r="B91" s="18"/>
      <c r="C91" s="18"/>
      <c r="D91" s="351"/>
      <c r="E91" s="359"/>
    </row>
    <row r="92" spans="1:10" s="5" customFormat="1">
      <c r="A92" s="759" t="s">
        <v>261</v>
      </c>
      <c r="B92" s="759"/>
      <c r="C92" s="759"/>
      <c r="D92" s="759"/>
      <c r="E92" s="759"/>
    </row>
    <row r="93" spans="1:10" s="5" customFormat="1">
      <c r="A93" s="53" t="s">
        <v>262</v>
      </c>
      <c r="B93" s="760" t="s">
        <v>263</v>
      </c>
      <c r="C93" s="760"/>
      <c r="D93" s="53" t="s">
        <v>233</v>
      </c>
      <c r="E93" s="53" t="s">
        <v>177</v>
      </c>
    </row>
    <row r="94" spans="1:10">
      <c r="A94" s="36" t="s">
        <v>178</v>
      </c>
      <c r="B94" s="739" t="s">
        <v>264</v>
      </c>
      <c r="C94" s="739"/>
      <c r="D94" s="76">
        <v>0</v>
      </c>
      <c r="E94" s="44">
        <f>(E31+E67+E78)/220*1*15*D94</f>
        <v>0</v>
      </c>
    </row>
    <row r="95" spans="1:10">
      <c r="A95" s="845" t="s">
        <v>265</v>
      </c>
      <c r="B95" s="845"/>
      <c r="C95" s="845"/>
      <c r="D95" s="845"/>
      <c r="E95" s="49">
        <f>E94</f>
        <v>0</v>
      </c>
    </row>
    <row r="96" spans="1:10">
      <c r="A96" s="855"/>
      <c r="B96" s="856"/>
      <c r="C96" s="856"/>
      <c r="D96" s="856"/>
      <c r="E96" s="857"/>
    </row>
    <row r="97" spans="1:5">
      <c r="A97" s="744" t="s">
        <v>266</v>
      </c>
      <c r="B97" s="744"/>
      <c r="C97" s="744"/>
      <c r="D97" s="744"/>
      <c r="E97" s="744"/>
    </row>
    <row r="98" spans="1:5">
      <c r="A98" s="53"/>
      <c r="B98" s="761" t="s">
        <v>267</v>
      </c>
      <c r="C98" s="761"/>
      <c r="D98" s="53" t="s">
        <v>233</v>
      </c>
      <c r="E98" s="53" t="s">
        <v>177</v>
      </c>
    </row>
    <row r="99" spans="1:5">
      <c r="A99" s="36" t="s">
        <v>253</v>
      </c>
      <c r="B99" s="844" t="s">
        <v>254</v>
      </c>
      <c r="C99" s="844"/>
      <c r="D99" s="364">
        <f>D90</f>
        <v>5.7000000000000002E-3</v>
      </c>
      <c r="E99" s="44">
        <f>E90</f>
        <v>49.888042793395783</v>
      </c>
    </row>
    <row r="100" spans="1:5">
      <c r="A100" s="36" t="s">
        <v>262</v>
      </c>
      <c r="B100" s="844" t="s">
        <v>263</v>
      </c>
      <c r="C100" s="844"/>
      <c r="D100" s="71">
        <v>0</v>
      </c>
      <c r="E100" s="44">
        <f>E95</f>
        <v>0</v>
      </c>
    </row>
    <row r="101" spans="1:5">
      <c r="A101" s="845" t="s">
        <v>268</v>
      </c>
      <c r="B101" s="845"/>
      <c r="C101" s="845"/>
      <c r="D101" s="365">
        <f>SUM(D99:D100)</f>
        <v>5.7000000000000002E-3</v>
      </c>
      <c r="E101" s="49">
        <f>E99+E100</f>
        <v>49.888042793395783</v>
      </c>
    </row>
    <row r="102" spans="1:5">
      <c r="A102" s="13"/>
      <c r="B102" s="18"/>
      <c r="C102" s="18"/>
      <c r="D102" s="351"/>
      <c r="E102" s="359"/>
    </row>
    <row r="103" spans="1:5">
      <c r="A103" s="757" t="s">
        <v>269</v>
      </c>
      <c r="B103" s="758"/>
      <c r="C103" s="758"/>
      <c r="D103" s="758"/>
      <c r="E103" s="758"/>
    </row>
    <row r="104" spans="1:5">
      <c r="A104" s="759" t="s">
        <v>269</v>
      </c>
      <c r="B104" s="759"/>
      <c r="C104" s="759"/>
      <c r="D104" s="759"/>
      <c r="E104" s="759"/>
    </row>
    <row r="105" spans="1:5">
      <c r="A105" s="53">
        <v>5</v>
      </c>
      <c r="B105" s="761" t="s">
        <v>270</v>
      </c>
      <c r="C105" s="761"/>
      <c r="D105" s="761"/>
      <c r="E105" s="53" t="s">
        <v>177</v>
      </c>
    </row>
    <row r="106" spans="1:5">
      <c r="A106" s="36" t="s">
        <v>178</v>
      </c>
      <c r="B106" s="844" t="s">
        <v>271</v>
      </c>
      <c r="C106" s="844"/>
      <c r="D106" s="844"/>
      <c r="E106" s="44">
        <v>0</v>
      </c>
    </row>
    <row r="107" spans="1:5">
      <c r="A107" s="36" t="s">
        <v>193</v>
      </c>
      <c r="B107" s="739" t="s">
        <v>347</v>
      </c>
      <c r="C107" s="739"/>
      <c r="D107" s="739"/>
      <c r="E107" s="44">
        <v>0</v>
      </c>
    </row>
    <row r="108" spans="1:5" s="5" customFormat="1">
      <c r="A108" s="845" t="s">
        <v>276</v>
      </c>
      <c r="B108" s="845"/>
      <c r="C108" s="845"/>
      <c r="D108" s="845"/>
      <c r="E108" s="49">
        <f>SUM(E106:E107)</f>
        <v>0</v>
      </c>
    </row>
    <row r="109" spans="1:5">
      <c r="E109" s="360">
        <f>D67+D78+D101</f>
        <v>0.63910555555555559</v>
      </c>
    </row>
    <row r="110" spans="1:5">
      <c r="A110" s="29"/>
      <c r="B110" s="29"/>
      <c r="C110" s="29"/>
      <c r="D110" s="29"/>
      <c r="E110" s="351"/>
    </row>
    <row r="111" spans="1:5">
      <c r="A111" s="861" t="s">
        <v>278</v>
      </c>
      <c r="B111" s="861"/>
      <c r="C111" s="861"/>
      <c r="D111" s="861"/>
      <c r="E111" s="861"/>
    </row>
    <row r="112" spans="1:5" s="6" customFormat="1">
      <c r="A112" s="759" t="s">
        <v>278</v>
      </c>
      <c r="B112" s="759"/>
      <c r="C112" s="759"/>
      <c r="D112" s="759"/>
      <c r="E112" s="759"/>
    </row>
    <row r="113" spans="1:12">
      <c r="A113" s="53">
        <v>6</v>
      </c>
      <c r="B113" s="760" t="s">
        <v>279</v>
      </c>
      <c r="C113" s="760"/>
      <c r="D113" s="53" t="s">
        <v>176</v>
      </c>
      <c r="E113" s="53" t="s">
        <v>177</v>
      </c>
    </row>
    <row r="114" spans="1:12">
      <c r="A114" s="354" t="s">
        <v>178</v>
      </c>
      <c r="B114" s="844" t="s">
        <v>280</v>
      </c>
      <c r="C114" s="844"/>
      <c r="D114" s="290">
        <v>0.05</v>
      </c>
      <c r="E114" s="44">
        <f>D114*E129</f>
        <v>505.5937240981508</v>
      </c>
      <c r="F114" s="380" t="e">
        <f>#REF!</f>
        <v>#REF!</v>
      </c>
      <c r="L114" s="30"/>
    </row>
    <row r="115" spans="1:12">
      <c r="A115" s="354" t="s">
        <v>193</v>
      </c>
      <c r="B115" s="844" t="s">
        <v>281</v>
      </c>
      <c r="C115" s="844"/>
      <c r="D115" s="290">
        <v>0.05</v>
      </c>
      <c r="E115" s="44">
        <f>D115*(E114+E129)</f>
        <v>530.87341030305834</v>
      </c>
      <c r="F115" s="380" t="e">
        <f>#REF!</f>
        <v>#REF!</v>
      </c>
      <c r="L115" s="30"/>
    </row>
    <row r="116" spans="1:12">
      <c r="A116" s="862" t="s">
        <v>117</v>
      </c>
      <c r="B116" s="845" t="s">
        <v>282</v>
      </c>
      <c r="C116" s="845"/>
      <c r="D116" s="72"/>
      <c r="E116" s="49"/>
      <c r="F116" s="380" t="e">
        <f>F115-F114</f>
        <v>#REF!</v>
      </c>
    </row>
    <row r="117" spans="1:12">
      <c r="A117" s="862"/>
      <c r="B117" s="844" t="s">
        <v>283</v>
      </c>
      <c r="C117" s="844"/>
      <c r="D117" s="290">
        <v>6.4999999999999997E-3</v>
      </c>
      <c r="E117" s="44">
        <f>($E$114+$E$115+$E$129)/(1-($D$117+$D$118+$D$119))*D117</f>
        <v>79.325911884365041</v>
      </c>
      <c r="F117" s="380"/>
    </row>
    <row r="118" spans="1:12">
      <c r="A118" s="862"/>
      <c r="B118" s="844" t="s">
        <v>284</v>
      </c>
      <c r="C118" s="844"/>
      <c r="D118" s="290">
        <v>0.03</v>
      </c>
      <c r="E118" s="44">
        <f>($E$114+$E$115+$E$129)/(1-($D$117+$D$118+$D$119))*D118</f>
        <v>366.11959331245401</v>
      </c>
    </row>
    <row r="119" spans="1:12" s="3" customFormat="1">
      <c r="A119" s="862"/>
      <c r="B119" s="844" t="s">
        <v>343</v>
      </c>
      <c r="C119" s="844"/>
      <c r="D119" s="290">
        <v>0.05</v>
      </c>
      <c r="E119" s="44">
        <f>($E$114+$E$115+$E$129)/(1-($D$117+$D$118+$D$119))*D119</f>
        <v>610.19932218742349</v>
      </c>
    </row>
    <row r="120" spans="1:12">
      <c r="A120" s="740" t="s">
        <v>286</v>
      </c>
      <c r="B120" s="740"/>
      <c r="C120" s="740"/>
      <c r="D120" s="72">
        <f>SUM(D114:D119)</f>
        <v>0.1865</v>
      </c>
      <c r="E120" s="49">
        <f>SUM(E114:E119)</f>
        <v>2092.1119617854515</v>
      </c>
    </row>
    <row r="121" spans="1:12">
      <c r="D121" s="366"/>
    </row>
    <row r="122" spans="1:12">
      <c r="A122" s="744" t="s">
        <v>287</v>
      </c>
      <c r="B122" s="744"/>
      <c r="C122" s="744"/>
      <c r="D122" s="744"/>
      <c r="E122" s="744"/>
    </row>
    <row r="123" spans="1:12">
      <c r="A123" s="740" t="s">
        <v>288</v>
      </c>
      <c r="B123" s="740"/>
      <c r="C123" s="740"/>
      <c r="D123" s="740"/>
      <c r="E123" s="53" t="s">
        <v>289</v>
      </c>
    </row>
    <row r="124" spans="1:12">
      <c r="A124" s="36" t="s">
        <v>178</v>
      </c>
      <c r="B124" s="739" t="s">
        <v>290</v>
      </c>
      <c r="C124" s="739"/>
      <c r="D124" s="739"/>
      <c r="E124" s="361">
        <f>E31</f>
        <v>5350.7546316969701</v>
      </c>
    </row>
    <row r="125" spans="1:12">
      <c r="A125" s="36" t="s">
        <v>193</v>
      </c>
      <c r="B125" s="739" t="s">
        <v>291</v>
      </c>
      <c r="C125" s="739"/>
      <c r="D125" s="739"/>
      <c r="E125" s="362">
        <f>E67</f>
        <v>4331.8335776707127</v>
      </c>
    </row>
    <row r="126" spans="1:12">
      <c r="A126" s="36" t="s">
        <v>245</v>
      </c>
      <c r="B126" s="739" t="s">
        <v>292</v>
      </c>
      <c r="C126" s="739"/>
      <c r="D126" s="739"/>
      <c r="E126" s="362">
        <f>E78</f>
        <v>379.39822980193571</v>
      </c>
    </row>
    <row r="127" spans="1:12">
      <c r="A127" s="36" t="s">
        <v>118</v>
      </c>
      <c r="B127" s="739" t="s">
        <v>293</v>
      </c>
      <c r="C127" s="739"/>
      <c r="D127" s="739"/>
      <c r="E127" s="362">
        <f>E101</f>
        <v>49.888042793395783</v>
      </c>
    </row>
    <row r="128" spans="1:12">
      <c r="A128" s="36" t="s">
        <v>119</v>
      </c>
      <c r="B128" s="858" t="s">
        <v>294</v>
      </c>
      <c r="C128" s="859"/>
      <c r="D128" s="860"/>
      <c r="E128" s="361">
        <f>E108</f>
        <v>0</v>
      </c>
    </row>
    <row r="129" spans="1:12">
      <c r="A129" s="740" t="s">
        <v>295</v>
      </c>
      <c r="B129" s="740"/>
      <c r="C129" s="740"/>
      <c r="D129" s="740"/>
      <c r="E129" s="41">
        <f>SUM(E124:E128)</f>
        <v>10111.874481963016</v>
      </c>
      <c r="L129" s="545"/>
    </row>
    <row r="130" spans="1:12" s="5" customFormat="1">
      <c r="A130" s="36" t="s">
        <v>185</v>
      </c>
      <c r="B130" s="739" t="s">
        <v>296</v>
      </c>
      <c r="C130" s="739"/>
      <c r="D130" s="739"/>
      <c r="E130" s="362">
        <f>E120</f>
        <v>2092.1119617854515</v>
      </c>
    </row>
    <row r="131" spans="1:12">
      <c r="A131" s="740" t="s">
        <v>297</v>
      </c>
      <c r="B131" s="740"/>
      <c r="C131" s="740"/>
      <c r="D131" s="740"/>
      <c r="E131" s="41">
        <f>SUM(E129:E130)</f>
        <v>12203.986443748467</v>
      </c>
      <c r="L131" s="546"/>
    </row>
    <row r="132" spans="1:12">
      <c r="E132" s="363"/>
    </row>
    <row r="133" spans="1:12">
      <c r="E133" s="31"/>
    </row>
  </sheetData>
  <mergeCells count="126">
    <mergeCell ref="A2:E2"/>
    <mergeCell ref="A3:E3"/>
    <mergeCell ref="A4:E4"/>
    <mergeCell ref="A5:E5"/>
    <mergeCell ref="A7:E7"/>
    <mergeCell ref="B8:C8"/>
    <mergeCell ref="D8:E8"/>
    <mergeCell ref="A13:E13"/>
    <mergeCell ref="B14:C14"/>
    <mergeCell ref="B15:C15"/>
    <mergeCell ref="A17:E17"/>
    <mergeCell ref="A18:E18"/>
    <mergeCell ref="B19:C19"/>
    <mergeCell ref="D19:E19"/>
    <mergeCell ref="B9:C9"/>
    <mergeCell ref="D9:E9"/>
    <mergeCell ref="B10:C10"/>
    <mergeCell ref="D10:E10"/>
    <mergeCell ref="B11:C11"/>
    <mergeCell ref="D11:E11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B22:C22"/>
    <mergeCell ref="D22:E22"/>
    <mergeCell ref="A33:E33"/>
    <mergeCell ref="A34:E34"/>
    <mergeCell ref="B35:C35"/>
    <mergeCell ref="B36:C36"/>
    <mergeCell ref="A38:C38"/>
    <mergeCell ref="A40:E40"/>
    <mergeCell ref="A26:E26"/>
    <mergeCell ref="A27:E27"/>
    <mergeCell ref="B28:C28"/>
    <mergeCell ref="B29:C29"/>
    <mergeCell ref="B30:C30"/>
    <mergeCell ref="A31:D31"/>
    <mergeCell ref="B45:C45"/>
    <mergeCell ref="B46:C46"/>
    <mergeCell ref="B47:C47"/>
    <mergeCell ref="B48:C48"/>
    <mergeCell ref="B49:C49"/>
    <mergeCell ref="A50:C50"/>
    <mergeCell ref="B41:C41"/>
    <mergeCell ref="B42:C42"/>
    <mergeCell ref="F42:I42"/>
    <mergeCell ref="B43:C43"/>
    <mergeCell ref="B44:C44"/>
    <mergeCell ref="F44:I44"/>
    <mergeCell ref="A59:D59"/>
    <mergeCell ref="A61:E61"/>
    <mergeCell ref="A62:E62"/>
    <mergeCell ref="B63:C63"/>
    <mergeCell ref="B64:C64"/>
    <mergeCell ref="B65:C65"/>
    <mergeCell ref="A52:E52"/>
    <mergeCell ref="B53:C53"/>
    <mergeCell ref="B54:C54"/>
    <mergeCell ref="B55:C55"/>
    <mergeCell ref="B56:C56"/>
    <mergeCell ref="B58:C58"/>
    <mergeCell ref="B73:C73"/>
    <mergeCell ref="B75:C75"/>
    <mergeCell ref="B76:C76"/>
    <mergeCell ref="B77:C77"/>
    <mergeCell ref="A78:C78"/>
    <mergeCell ref="A80:E80"/>
    <mergeCell ref="B66:C66"/>
    <mergeCell ref="A67:C67"/>
    <mergeCell ref="A69:E69"/>
    <mergeCell ref="A70:E70"/>
    <mergeCell ref="B71:C71"/>
    <mergeCell ref="B72:C72"/>
    <mergeCell ref="B87:C87"/>
    <mergeCell ref="B88:C88"/>
    <mergeCell ref="B89:C89"/>
    <mergeCell ref="A90:C90"/>
    <mergeCell ref="A92:E92"/>
    <mergeCell ref="B93:C93"/>
    <mergeCell ref="A81:E81"/>
    <mergeCell ref="A82:D82"/>
    <mergeCell ref="B83:C83"/>
    <mergeCell ref="B84:C84"/>
    <mergeCell ref="B85:C85"/>
    <mergeCell ref="B86:C86"/>
    <mergeCell ref="B100:C100"/>
    <mergeCell ref="A101:C101"/>
    <mergeCell ref="A103:E103"/>
    <mergeCell ref="A104:E104"/>
    <mergeCell ref="B105:D105"/>
    <mergeCell ref="B106:D106"/>
    <mergeCell ref="B94:C94"/>
    <mergeCell ref="A95:D95"/>
    <mergeCell ref="A96:E96"/>
    <mergeCell ref="A97:E97"/>
    <mergeCell ref="B98:C98"/>
    <mergeCell ref="B99:C99"/>
    <mergeCell ref="B115:C115"/>
    <mergeCell ref="A116:A119"/>
    <mergeCell ref="B116:C116"/>
    <mergeCell ref="B117:C117"/>
    <mergeCell ref="B118:C118"/>
    <mergeCell ref="B119:C119"/>
    <mergeCell ref="B107:D107"/>
    <mergeCell ref="A108:D108"/>
    <mergeCell ref="A111:E111"/>
    <mergeCell ref="A112:E112"/>
    <mergeCell ref="B113:C113"/>
    <mergeCell ref="B114:C114"/>
    <mergeCell ref="B127:D127"/>
    <mergeCell ref="B128:D128"/>
    <mergeCell ref="A129:D129"/>
    <mergeCell ref="B130:D130"/>
    <mergeCell ref="A131:D131"/>
    <mergeCell ref="A120:C120"/>
    <mergeCell ref="A122:E122"/>
    <mergeCell ref="A123:D123"/>
    <mergeCell ref="B124:D124"/>
    <mergeCell ref="B125:D125"/>
    <mergeCell ref="B126:D126"/>
  </mergeCells>
  <pageMargins left="0.51181102362204722" right="0.51181102362204722" top="1.0629921259842521" bottom="0.98425196850393704" header="0.31496062992125984" footer="0.31496062992125984"/>
  <pageSetup paperSize="9" scale="70" fitToHeight="0" orientation="portrait" r:id="rId1"/>
  <headerFooter>
    <oddHeader>&amp;L&amp;G</oddHeader>
    <oddFooter>&amp;L&amp;G&amp;RPágina &amp;P</oddFooter>
  </headerFooter>
  <rowBreaks count="1" manualBreakCount="1">
    <brk id="67" max="4" man="1"/>
  </rowBreaks>
  <colBreaks count="1" manualBreakCount="1">
    <brk id="5" max="1048575" man="1"/>
  </colBreaks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8FC4-C337-42E9-B1DF-5C8EF7FED68C}">
  <sheetPr codeName="Planilha14">
    <tabColor theme="0"/>
  </sheetPr>
  <dimension ref="A2:M133"/>
  <sheetViews>
    <sheetView topLeftCell="A30" zoomScaleNormal="100" zoomScaleSheetLayoutView="110" workbookViewId="0">
      <selection activeCell="E57" sqref="E57"/>
    </sheetView>
  </sheetViews>
  <sheetFormatPr defaultColWidth="9.140625" defaultRowHeight="14.25"/>
  <cols>
    <col min="1" max="1" width="7.28515625" style="2" customWidth="1"/>
    <col min="2" max="2" width="31.5703125" style="1" customWidth="1"/>
    <col min="3" max="3" width="31.28515625" style="1" customWidth="1"/>
    <col min="4" max="4" width="16.28515625" style="2" customWidth="1"/>
    <col min="5" max="5" width="23.5703125" style="6" customWidth="1"/>
    <col min="6" max="6" width="18.42578125" style="1" hidden="1" customWidth="1"/>
    <col min="7" max="7" width="12.28515625" style="1" customWidth="1"/>
    <col min="8" max="8" width="11.28515625" style="1" bestFit="1" customWidth="1"/>
    <col min="9" max="9" width="9.140625" style="1"/>
    <col min="10" max="10" width="11.5703125" style="1" bestFit="1" customWidth="1"/>
    <col min="11" max="11" width="9.140625" style="1"/>
    <col min="12" max="12" width="14.85546875" style="1" customWidth="1"/>
    <col min="13" max="13" width="10.5703125" style="1" bestFit="1" customWidth="1"/>
    <col min="14" max="16384" width="9.140625" style="1"/>
  </cols>
  <sheetData>
    <row r="2" spans="1:5">
      <c r="A2" s="828" t="s">
        <v>300</v>
      </c>
      <c r="B2" s="829"/>
      <c r="C2" s="829"/>
      <c r="D2" s="829"/>
      <c r="E2" s="829"/>
    </row>
    <row r="3" spans="1:5">
      <c r="A3" s="837"/>
      <c r="B3" s="838"/>
      <c r="C3" s="838"/>
      <c r="D3" s="838"/>
      <c r="E3" s="838"/>
    </row>
    <row r="4" spans="1:5" ht="15.75">
      <c r="A4" s="830" t="s">
        <v>301</v>
      </c>
      <c r="B4" s="830"/>
      <c r="C4" s="830"/>
      <c r="D4" s="830"/>
      <c r="E4" s="830"/>
    </row>
    <row r="5" spans="1:5" ht="15.75">
      <c r="A5" s="830" t="s">
        <v>302</v>
      </c>
      <c r="B5" s="830"/>
      <c r="C5" s="830"/>
      <c r="D5" s="830"/>
      <c r="E5" s="830"/>
    </row>
    <row r="6" spans="1:5">
      <c r="A6" s="93"/>
      <c r="B6" s="93"/>
      <c r="C6" s="93"/>
      <c r="D6" s="93"/>
      <c r="E6" s="93"/>
    </row>
    <row r="7" spans="1:5">
      <c r="A7" s="750" t="s">
        <v>150</v>
      </c>
      <c r="B7" s="750"/>
      <c r="C7" s="750"/>
      <c r="D7" s="750"/>
      <c r="E7" s="750"/>
    </row>
    <row r="8" spans="1:5">
      <c r="A8" s="295" t="s">
        <v>115</v>
      </c>
      <c r="B8" s="770" t="s">
        <v>151</v>
      </c>
      <c r="C8" s="770"/>
      <c r="D8" s="831"/>
      <c r="E8" s="832"/>
    </row>
    <row r="9" spans="1:5">
      <c r="A9" s="295" t="s">
        <v>116</v>
      </c>
      <c r="B9" s="770" t="s">
        <v>152</v>
      </c>
      <c r="C9" s="770"/>
      <c r="D9" s="813" t="s">
        <v>303</v>
      </c>
      <c r="E9" s="814"/>
    </row>
    <row r="10" spans="1:5">
      <c r="A10" s="295" t="s">
        <v>117</v>
      </c>
      <c r="B10" s="770" t="s">
        <v>154</v>
      </c>
      <c r="C10" s="770"/>
      <c r="D10" s="820" t="s">
        <v>304</v>
      </c>
      <c r="E10" s="821"/>
    </row>
    <row r="11" spans="1:5">
      <c r="A11" s="295" t="s">
        <v>156</v>
      </c>
      <c r="B11" s="770" t="s">
        <v>157</v>
      </c>
      <c r="C11" s="770"/>
      <c r="D11" s="815">
        <v>12</v>
      </c>
      <c r="E11" s="815"/>
    </row>
    <row r="12" spans="1:5">
      <c r="A12" s="14"/>
      <c r="B12" s="15"/>
      <c r="C12" s="15"/>
      <c r="D12" s="14"/>
      <c r="E12" s="14"/>
    </row>
    <row r="13" spans="1:5">
      <c r="A13" s="750" t="s">
        <v>305</v>
      </c>
      <c r="B13" s="750"/>
      <c r="C13" s="750"/>
      <c r="D13" s="750"/>
      <c r="E13" s="750"/>
    </row>
    <row r="14" spans="1:5" ht="28.5">
      <c r="A14" s="296" t="s">
        <v>158</v>
      </c>
      <c r="B14" s="800" t="s">
        <v>159</v>
      </c>
      <c r="C14" s="768"/>
      <c r="D14" s="353" t="s">
        <v>160</v>
      </c>
      <c r="E14" s="296" t="s">
        <v>161</v>
      </c>
    </row>
    <row r="15" spans="1:5">
      <c r="A15" s="297">
        <v>1</v>
      </c>
      <c r="B15" s="839" t="s">
        <v>348</v>
      </c>
      <c r="C15" s="840"/>
      <c r="D15" s="370" t="s">
        <v>307</v>
      </c>
      <c r="E15" s="376"/>
    </row>
    <row r="16" spans="1:5">
      <c r="A16" s="14"/>
      <c r="B16" s="15"/>
      <c r="C16" s="16"/>
      <c r="D16" s="16"/>
      <c r="E16" s="349"/>
    </row>
    <row r="17" spans="1:8" ht="15.75">
      <c r="A17" s="808" t="s">
        <v>164</v>
      </c>
      <c r="B17" s="808"/>
      <c r="C17" s="808"/>
      <c r="D17" s="808"/>
      <c r="E17" s="808"/>
    </row>
    <row r="18" spans="1:8">
      <c r="A18" s="750" t="s">
        <v>165</v>
      </c>
      <c r="B18" s="750"/>
      <c r="C18" s="750"/>
      <c r="D18" s="750"/>
      <c r="E18" s="750"/>
    </row>
    <row r="19" spans="1:8">
      <c r="A19" s="295">
        <v>1</v>
      </c>
      <c r="B19" s="770" t="s">
        <v>166</v>
      </c>
      <c r="C19" s="770"/>
      <c r="D19" s="835" t="s">
        <v>3</v>
      </c>
      <c r="E19" s="836"/>
    </row>
    <row r="20" spans="1:8">
      <c r="A20" s="295">
        <v>2</v>
      </c>
      <c r="B20" s="788" t="s">
        <v>168</v>
      </c>
      <c r="C20" s="789"/>
      <c r="D20" s="855" t="s">
        <v>308</v>
      </c>
      <c r="E20" s="857"/>
      <c r="G20" s="34"/>
    </row>
    <row r="21" spans="1:8">
      <c r="A21" s="295">
        <v>3</v>
      </c>
      <c r="B21" s="770" t="s">
        <v>309</v>
      </c>
      <c r="C21" s="770"/>
      <c r="D21" s="510"/>
      <c r="E21" s="507">
        <f>'Estimativas (C3) (FINAL)'!E26</f>
        <v>7855.7251459999998</v>
      </c>
    </row>
    <row r="22" spans="1:8">
      <c r="A22" s="295">
        <v>4</v>
      </c>
      <c r="B22" s="770" t="s">
        <v>310</v>
      </c>
      <c r="C22" s="770"/>
      <c r="D22" s="822">
        <v>1518</v>
      </c>
      <c r="E22" s="823"/>
    </row>
    <row r="23" spans="1:8">
      <c r="A23" s="295">
        <v>5</v>
      </c>
      <c r="B23" s="770" t="s">
        <v>171</v>
      </c>
      <c r="C23" s="770"/>
      <c r="D23" s="806" t="s">
        <v>311</v>
      </c>
      <c r="E23" s="806"/>
    </row>
    <row r="24" spans="1:8">
      <c r="A24" s="295">
        <v>6</v>
      </c>
      <c r="B24" s="770" t="s">
        <v>173</v>
      </c>
      <c r="C24" s="770"/>
      <c r="D24" s="826">
        <v>45658</v>
      </c>
      <c r="E24" s="826"/>
    </row>
    <row r="25" spans="1:8">
      <c r="A25" s="295">
        <v>7</v>
      </c>
      <c r="B25" s="770" t="s">
        <v>312</v>
      </c>
      <c r="C25" s="770"/>
      <c r="D25" s="827" t="s">
        <v>313</v>
      </c>
      <c r="E25" s="827"/>
    </row>
    <row r="26" spans="1:8">
      <c r="A26" s="802"/>
      <c r="B26" s="802"/>
      <c r="C26" s="802"/>
      <c r="D26" s="802"/>
      <c r="E26" s="802"/>
    </row>
    <row r="27" spans="1:8">
      <c r="A27" s="757" t="s">
        <v>174</v>
      </c>
      <c r="B27" s="758"/>
      <c r="C27" s="758"/>
      <c r="D27" s="758"/>
      <c r="E27" s="758"/>
    </row>
    <row r="28" spans="1:8">
      <c r="A28" s="296">
        <v>1</v>
      </c>
      <c r="B28" s="803" t="s">
        <v>175</v>
      </c>
      <c r="C28" s="803"/>
      <c r="D28" s="353" t="s">
        <v>176</v>
      </c>
      <c r="E28" s="53" t="s">
        <v>177</v>
      </c>
    </row>
    <row r="29" spans="1:8">
      <c r="A29" s="295" t="s">
        <v>178</v>
      </c>
      <c r="B29" s="824" t="s">
        <v>314</v>
      </c>
      <c r="C29" s="746"/>
      <c r="D29" s="352"/>
      <c r="E29" s="513">
        <f>E21</f>
        <v>7855.7251459999998</v>
      </c>
    </row>
    <row r="30" spans="1:8">
      <c r="A30" s="580" t="s">
        <v>116</v>
      </c>
      <c r="B30" s="825" t="s">
        <v>259</v>
      </c>
      <c r="C30" s="825"/>
      <c r="D30" s="585"/>
      <c r="E30" s="357">
        <v>0</v>
      </c>
    </row>
    <row r="31" spans="1:8" s="5" customFormat="1">
      <c r="A31" s="796" t="s">
        <v>187</v>
      </c>
      <c r="B31" s="796"/>
      <c r="C31" s="796"/>
      <c r="D31" s="796"/>
      <c r="E31" s="358">
        <f>SUM(E29:E30)</f>
        <v>7855.7251459999998</v>
      </c>
      <c r="F31" s="30"/>
      <c r="G31" s="30"/>
      <c r="H31" s="30"/>
    </row>
    <row r="32" spans="1:8" s="5" customFormat="1">
      <c r="A32" s="16"/>
      <c r="B32" s="16"/>
      <c r="C32" s="16"/>
      <c r="D32" s="16"/>
      <c r="E32" s="359"/>
    </row>
    <row r="33" spans="1:12" s="5" customFormat="1">
      <c r="A33" s="757" t="s">
        <v>188</v>
      </c>
      <c r="B33" s="758"/>
      <c r="C33" s="758"/>
      <c r="D33" s="758"/>
      <c r="E33" s="758"/>
    </row>
    <row r="34" spans="1:12" s="5" customFormat="1">
      <c r="A34" s="759" t="s">
        <v>315</v>
      </c>
      <c r="B34" s="759"/>
      <c r="C34" s="759"/>
      <c r="D34" s="759"/>
      <c r="E34" s="759"/>
    </row>
    <row r="35" spans="1:12" s="5" customFormat="1">
      <c r="A35" s="53" t="s">
        <v>190</v>
      </c>
      <c r="B35" s="760" t="s">
        <v>316</v>
      </c>
      <c r="C35" s="760"/>
      <c r="D35" s="53" t="s">
        <v>176</v>
      </c>
      <c r="E35" s="70" t="s">
        <v>177</v>
      </c>
    </row>
    <row r="36" spans="1:12" s="5" customFormat="1">
      <c r="A36" s="54" t="s">
        <v>178</v>
      </c>
      <c r="B36" s="786" t="s">
        <v>317</v>
      </c>
      <c r="C36" s="799"/>
      <c r="D36" s="94">
        <v>8.3299999999999999E-2</v>
      </c>
      <c r="E36" s="40">
        <f>D36*E31</f>
        <v>654.38190466179992</v>
      </c>
    </row>
    <row r="37" spans="1:12" s="5" customFormat="1">
      <c r="A37" s="86" t="s">
        <v>193</v>
      </c>
      <c r="B37" s="299" t="s">
        <v>194</v>
      </c>
      <c r="C37" s="318" t="s">
        <v>318</v>
      </c>
      <c r="D37" s="94">
        <v>0.1212</v>
      </c>
      <c r="E37" s="40">
        <f>D37*E31</f>
        <v>952.11388769519999</v>
      </c>
      <c r="G37" s="289"/>
    </row>
    <row r="38" spans="1:12" s="5" customFormat="1" ht="15" thickBot="1">
      <c r="A38" s="750" t="s">
        <v>195</v>
      </c>
      <c r="B38" s="750"/>
      <c r="C38" s="750"/>
      <c r="D38" s="17">
        <f>D36+D37</f>
        <v>0.20450000000000002</v>
      </c>
      <c r="E38" s="41">
        <f>SUM(E36:E37)</f>
        <v>1606.495792357</v>
      </c>
    </row>
    <row r="39" spans="1:12" s="5" customFormat="1">
      <c r="A39" s="18"/>
      <c r="B39" s="18"/>
      <c r="C39" s="18"/>
      <c r="D39" s="19"/>
      <c r="E39" s="20"/>
    </row>
    <row r="40" spans="1:12" s="5" customFormat="1">
      <c r="A40" s="759" t="s">
        <v>196</v>
      </c>
      <c r="B40" s="759"/>
      <c r="C40" s="759"/>
      <c r="D40" s="759"/>
      <c r="E40" s="759"/>
    </row>
    <row r="41" spans="1:12" s="5" customFormat="1">
      <c r="A41" s="53" t="s">
        <v>197</v>
      </c>
      <c r="B41" s="761" t="s">
        <v>198</v>
      </c>
      <c r="C41" s="761"/>
      <c r="D41" s="53" t="s">
        <v>176</v>
      </c>
      <c r="E41" s="53" t="s">
        <v>177</v>
      </c>
    </row>
    <row r="42" spans="1:12" s="5" customFormat="1" ht="15">
      <c r="A42" s="36" t="s">
        <v>178</v>
      </c>
      <c r="B42" s="739" t="s">
        <v>319</v>
      </c>
      <c r="C42" s="739"/>
      <c r="D42" s="378">
        <v>0.2</v>
      </c>
      <c r="E42" s="44">
        <f>($E$31+$E$38)*D42</f>
        <v>1892.4441876714002</v>
      </c>
      <c r="F42" s="736"/>
      <c r="G42" s="736"/>
      <c r="H42" s="736"/>
      <c r="I42" s="736"/>
      <c r="L42" s="30"/>
    </row>
    <row r="43" spans="1:12" s="5" customFormat="1" ht="15">
      <c r="A43" s="36" t="s">
        <v>193</v>
      </c>
      <c r="B43" s="739" t="s">
        <v>320</v>
      </c>
      <c r="C43" s="739"/>
      <c r="D43" s="378">
        <v>2.5000000000000001E-2</v>
      </c>
      <c r="E43" s="44">
        <f t="shared" ref="E43:E49" si="0">($E$31+$E$38)*D43</f>
        <v>236.55552345892502</v>
      </c>
      <c r="L43" s="30"/>
    </row>
    <row r="44" spans="1:12" s="5" customFormat="1" ht="15">
      <c r="A44" s="36" t="s">
        <v>117</v>
      </c>
      <c r="B44" s="739" t="s">
        <v>321</v>
      </c>
      <c r="C44" s="739"/>
      <c r="D44" s="378">
        <v>0.02</v>
      </c>
      <c r="E44" s="44">
        <f>($E$31+$E$38)*D44</f>
        <v>189.24441876714002</v>
      </c>
      <c r="F44" s="736"/>
      <c r="G44" s="736"/>
      <c r="H44" s="736"/>
      <c r="I44" s="736"/>
      <c r="L44" s="30"/>
    </row>
    <row r="45" spans="1:12" s="5" customFormat="1" ht="15">
      <c r="A45" s="36" t="s">
        <v>156</v>
      </c>
      <c r="B45" s="739" t="s">
        <v>322</v>
      </c>
      <c r="C45" s="739"/>
      <c r="D45" s="378">
        <v>1.4999999999999999E-2</v>
      </c>
      <c r="E45" s="44">
        <f t="shared" si="0"/>
        <v>141.93331407535501</v>
      </c>
    </row>
    <row r="46" spans="1:12" s="5" customFormat="1" ht="15">
      <c r="A46" s="36" t="s">
        <v>183</v>
      </c>
      <c r="B46" s="739" t="s">
        <v>323</v>
      </c>
      <c r="C46" s="739"/>
      <c r="D46" s="378">
        <v>0.01</v>
      </c>
      <c r="E46" s="44">
        <f t="shared" si="0"/>
        <v>94.622209383570009</v>
      </c>
    </row>
    <row r="47" spans="1:12" s="5" customFormat="1" ht="15">
      <c r="A47" s="36" t="s">
        <v>205</v>
      </c>
      <c r="B47" s="739" t="s">
        <v>324</v>
      </c>
      <c r="C47" s="739"/>
      <c r="D47" s="378">
        <v>6.0000000000000001E-3</v>
      </c>
      <c r="E47" s="44">
        <f t="shared" si="0"/>
        <v>56.773325630142004</v>
      </c>
    </row>
    <row r="48" spans="1:12" s="5" customFormat="1" ht="15">
      <c r="A48" s="36" t="s">
        <v>207</v>
      </c>
      <c r="B48" s="739" t="s">
        <v>325</v>
      </c>
      <c r="C48" s="739"/>
      <c r="D48" s="378">
        <v>2E-3</v>
      </c>
      <c r="E48" s="44">
        <f t="shared" si="0"/>
        <v>18.924441876714003</v>
      </c>
    </row>
    <row r="49" spans="1:13" s="5" customFormat="1" ht="15">
      <c r="A49" s="36" t="s">
        <v>209</v>
      </c>
      <c r="B49" s="739" t="s">
        <v>326</v>
      </c>
      <c r="C49" s="739"/>
      <c r="D49" s="378">
        <v>0.08</v>
      </c>
      <c r="E49" s="44">
        <f t="shared" si="0"/>
        <v>756.97767506856007</v>
      </c>
    </row>
    <row r="50" spans="1:13" s="5" customFormat="1">
      <c r="A50" s="740" t="s">
        <v>211</v>
      </c>
      <c r="B50" s="740"/>
      <c r="C50" s="740"/>
      <c r="D50" s="72">
        <f>SUM(D42:D49)</f>
        <v>0.35800000000000004</v>
      </c>
      <c r="E50" s="45">
        <f>SUM(E42:E49)</f>
        <v>3387.4750959318062</v>
      </c>
    </row>
    <row r="51" spans="1:13" s="5" customFormat="1">
      <c r="A51" s="16"/>
      <c r="B51" s="16"/>
      <c r="C51" s="16"/>
      <c r="D51" s="16"/>
      <c r="E51" s="359"/>
      <c r="G51" s="6"/>
      <c r="H51" s="6"/>
    </row>
    <row r="52" spans="1:13" s="5" customFormat="1">
      <c r="A52" s="842" t="s">
        <v>212</v>
      </c>
      <c r="B52" s="842"/>
      <c r="C52" s="842"/>
      <c r="D52" s="842"/>
      <c r="E52" s="842"/>
      <c r="G52" s="6"/>
      <c r="H52" s="6"/>
    </row>
    <row r="53" spans="1:13" s="6" customFormat="1">
      <c r="A53" s="293" t="s">
        <v>213</v>
      </c>
      <c r="B53" s="843" t="s">
        <v>214</v>
      </c>
      <c r="C53" s="843"/>
      <c r="D53" s="293"/>
      <c r="E53" s="293" t="s">
        <v>177</v>
      </c>
    </row>
    <row r="54" spans="1:13" s="6" customFormat="1">
      <c r="A54" s="36" t="s">
        <v>115</v>
      </c>
      <c r="B54" s="739" t="s">
        <v>215</v>
      </c>
      <c r="C54" s="739"/>
      <c r="D54" s="346">
        <f>'Assistente Adm I'!D54</f>
        <v>5.5</v>
      </c>
      <c r="E54" s="292">
        <f>IF((D54*2*21-(E29*6%))&gt;0, D54*2*21-(E29*6%), 0)</f>
        <v>0</v>
      </c>
      <c r="M54" s="31"/>
    </row>
    <row r="55" spans="1:13" s="6" customFormat="1">
      <c r="A55" s="36" t="s">
        <v>116</v>
      </c>
      <c r="B55" s="739" t="s">
        <v>327</v>
      </c>
      <c r="C55" s="739"/>
      <c r="D55" s="346">
        <v>44.3</v>
      </c>
      <c r="E55" s="292">
        <f>D55*21</f>
        <v>930.3</v>
      </c>
      <c r="F55" s="379"/>
      <c r="I55" s="31"/>
      <c r="M55" s="31"/>
    </row>
    <row r="56" spans="1:13" s="6" customFormat="1">
      <c r="A56" s="36" t="s">
        <v>117</v>
      </c>
      <c r="B56" s="739" t="s">
        <v>328</v>
      </c>
      <c r="C56" s="739"/>
      <c r="D56" s="377"/>
      <c r="E56" s="292">
        <v>0</v>
      </c>
      <c r="I56" s="31"/>
      <c r="M56" s="31"/>
    </row>
    <row r="57" spans="1:13" s="6" customFormat="1">
      <c r="A57" s="36" t="s">
        <v>156</v>
      </c>
      <c r="B57" s="536" t="s">
        <v>349</v>
      </c>
      <c r="C57" s="537"/>
      <c r="D57" s="377"/>
      <c r="E57" s="292">
        <v>0</v>
      </c>
      <c r="I57" s="31"/>
      <c r="M57" s="31"/>
    </row>
    <row r="58" spans="1:13" s="6" customFormat="1">
      <c r="A58" s="73" t="s">
        <v>183</v>
      </c>
      <c r="B58" s="846" t="s">
        <v>330</v>
      </c>
      <c r="C58" s="847"/>
      <c r="D58" s="47"/>
      <c r="E58" s="291"/>
    </row>
    <row r="59" spans="1:13" s="5" customFormat="1">
      <c r="A59" s="740" t="s">
        <v>223</v>
      </c>
      <c r="B59" s="740"/>
      <c r="C59" s="740"/>
      <c r="D59" s="740"/>
      <c r="E59" s="49">
        <f>SUM(E54:E58)</f>
        <v>930.3</v>
      </c>
      <c r="G59" s="6"/>
      <c r="H59" s="6"/>
    </row>
    <row r="60" spans="1:13" s="5" customFormat="1" ht="15" thickBot="1">
      <c r="A60" s="74"/>
      <c r="B60" s="75"/>
      <c r="C60" s="75"/>
      <c r="D60" s="75"/>
      <c r="E60" s="61"/>
      <c r="G60" s="6"/>
      <c r="H60" s="6"/>
    </row>
    <row r="61" spans="1:13" s="5" customFormat="1">
      <c r="A61" s="781"/>
      <c r="B61" s="782"/>
      <c r="C61" s="782"/>
      <c r="D61" s="782"/>
      <c r="E61" s="783"/>
      <c r="G61" s="6"/>
      <c r="H61" s="6"/>
    </row>
    <row r="62" spans="1:13" s="5" customFormat="1">
      <c r="A62" s="744" t="s">
        <v>230</v>
      </c>
      <c r="B62" s="744"/>
      <c r="C62" s="744"/>
      <c r="D62" s="744"/>
      <c r="E62" s="744"/>
      <c r="G62" s="6"/>
      <c r="H62" s="6"/>
    </row>
    <row r="63" spans="1:13" s="5" customFormat="1">
      <c r="A63" s="53"/>
      <c r="B63" s="761" t="s">
        <v>232</v>
      </c>
      <c r="C63" s="761"/>
      <c r="D63" s="53" t="s">
        <v>233</v>
      </c>
      <c r="E63" s="53" t="s">
        <v>177</v>
      </c>
    </row>
    <row r="64" spans="1:13" s="5" customFormat="1">
      <c r="A64" s="36" t="s">
        <v>190</v>
      </c>
      <c r="B64" s="844" t="s">
        <v>235</v>
      </c>
      <c r="C64" s="844"/>
      <c r="D64" s="364">
        <f>D38</f>
        <v>0.20450000000000002</v>
      </c>
      <c r="E64" s="44">
        <f>E38</f>
        <v>1606.495792357</v>
      </c>
    </row>
    <row r="65" spans="1:7" s="5" customFormat="1">
      <c r="A65" s="36" t="s">
        <v>197</v>
      </c>
      <c r="B65" s="844" t="s">
        <v>236</v>
      </c>
      <c r="C65" s="844"/>
      <c r="D65" s="364">
        <f>D50</f>
        <v>0.35800000000000004</v>
      </c>
      <c r="E65" s="44">
        <f>E50</f>
        <v>3387.4750959318062</v>
      </c>
    </row>
    <row r="66" spans="1:7" s="5" customFormat="1">
      <c r="A66" s="36" t="s">
        <v>213</v>
      </c>
      <c r="B66" s="844" t="s">
        <v>237</v>
      </c>
      <c r="C66" s="844"/>
      <c r="D66" s="364">
        <v>0</v>
      </c>
      <c r="E66" s="44">
        <f>E59</f>
        <v>930.3</v>
      </c>
    </row>
    <row r="67" spans="1:7" s="5" customFormat="1">
      <c r="A67" s="845" t="s">
        <v>240</v>
      </c>
      <c r="B67" s="845"/>
      <c r="C67" s="845"/>
      <c r="D67" s="365">
        <f>SUM(D64:D66)</f>
        <v>0.5625</v>
      </c>
      <c r="E67" s="49">
        <f>SUM(E64:E66)</f>
        <v>5924.2708882888064</v>
      </c>
    </row>
    <row r="68" spans="1:7" s="5" customFormat="1">
      <c r="A68" s="18"/>
      <c r="B68" s="18"/>
      <c r="C68" s="18"/>
      <c r="D68" s="351"/>
      <c r="E68" s="359"/>
    </row>
    <row r="69" spans="1:7" s="5" customFormat="1">
      <c r="A69" s="757" t="s">
        <v>241</v>
      </c>
      <c r="B69" s="758"/>
      <c r="C69" s="758"/>
      <c r="D69" s="758"/>
      <c r="E69" s="758"/>
    </row>
    <row r="70" spans="1:7" s="5" customFormat="1">
      <c r="A70" s="759" t="s">
        <v>241</v>
      </c>
      <c r="B70" s="759"/>
      <c r="C70" s="759"/>
      <c r="D70" s="759"/>
      <c r="E70" s="759"/>
    </row>
    <row r="71" spans="1:7" s="5" customFormat="1">
      <c r="A71" s="53">
        <v>3</v>
      </c>
      <c r="B71" s="761" t="s">
        <v>242</v>
      </c>
      <c r="C71" s="761"/>
      <c r="D71" s="53" t="s">
        <v>233</v>
      </c>
      <c r="E71" s="53" t="s">
        <v>177</v>
      </c>
    </row>
    <row r="72" spans="1:7" s="5" customFormat="1">
      <c r="A72" s="36" t="s">
        <v>178</v>
      </c>
      <c r="B72" s="849" t="s">
        <v>331</v>
      </c>
      <c r="C72" s="848"/>
      <c r="D72" s="290">
        <f>(0.05*(1/12))</f>
        <v>4.1666666666666666E-3</v>
      </c>
      <c r="E72" s="44">
        <f>D72*$E$31</f>
        <v>32.732188108333332</v>
      </c>
      <c r="G72" s="355"/>
    </row>
    <row r="73" spans="1:7" s="5" customFormat="1">
      <c r="A73" s="36" t="s">
        <v>193</v>
      </c>
      <c r="B73" s="848" t="s">
        <v>332</v>
      </c>
      <c r="C73" s="848"/>
      <c r="D73" s="71">
        <f>D49*D72</f>
        <v>3.3333333333333332E-4</v>
      </c>
      <c r="E73" s="44">
        <f>D49*E72</f>
        <v>2.6185750486666666</v>
      </c>
      <c r="G73" s="347"/>
    </row>
    <row r="74" spans="1:7" s="5" customFormat="1" ht="29.25" customHeight="1">
      <c r="A74" s="36" t="s">
        <v>117</v>
      </c>
      <c r="B74" s="858" t="s">
        <v>350</v>
      </c>
      <c r="C74" s="860"/>
      <c r="D74" s="71">
        <v>3.44E-2</v>
      </c>
      <c r="E74" s="44">
        <f>D74*$E$31</f>
        <v>270.23694502239999</v>
      </c>
      <c r="G74" s="347"/>
    </row>
    <row r="75" spans="1:7" s="5" customFormat="1" ht="57.75" customHeight="1">
      <c r="A75" s="36" t="s">
        <v>156</v>
      </c>
      <c r="B75" s="849" t="s">
        <v>351</v>
      </c>
      <c r="C75" s="848"/>
      <c r="D75" s="290">
        <f>((7/30)/12)</f>
        <v>1.9444444444444445E-2</v>
      </c>
      <c r="E75" s="44">
        <f>D75*$E$31</f>
        <v>152.75021117222221</v>
      </c>
      <c r="G75" s="348"/>
    </row>
    <row r="76" spans="1:7" s="5" customFormat="1" ht="29.25" customHeight="1">
      <c r="A76" s="36" t="s">
        <v>183</v>
      </c>
      <c r="B76" s="848" t="s">
        <v>335</v>
      </c>
      <c r="C76" s="848"/>
      <c r="D76" s="71">
        <f>D50*D75</f>
        <v>6.9611111111111124E-3</v>
      </c>
      <c r="E76" s="44">
        <f>D50*E75</f>
        <v>54.68457559965556</v>
      </c>
    </row>
    <row r="77" spans="1:7" s="5" customFormat="1" ht="35.25" customHeight="1">
      <c r="A77" s="36" t="s">
        <v>183</v>
      </c>
      <c r="B77" s="848" t="s">
        <v>336</v>
      </c>
      <c r="C77" s="848"/>
      <c r="D77" s="71">
        <v>5.5999999999999999E-3</v>
      </c>
      <c r="E77" s="44">
        <f>D77*$E$31</f>
        <v>43.992060817599999</v>
      </c>
    </row>
    <row r="78" spans="1:7" s="5" customFormat="1">
      <c r="A78" s="845" t="s">
        <v>250</v>
      </c>
      <c r="B78" s="845"/>
      <c r="C78" s="845"/>
      <c r="D78" s="365">
        <f>SUM(D72:D77)</f>
        <v>7.0905555555555555E-2</v>
      </c>
      <c r="E78" s="49">
        <f>SUM(E72:E77)</f>
        <v>557.0145557688777</v>
      </c>
    </row>
    <row r="79" spans="1:7" s="5" customFormat="1">
      <c r="A79" s="18"/>
      <c r="B79" s="18"/>
      <c r="C79" s="18"/>
      <c r="D79" s="351"/>
      <c r="E79" s="359"/>
    </row>
    <row r="80" spans="1:7" s="5" customFormat="1">
      <c r="A80" s="757" t="s">
        <v>251</v>
      </c>
      <c r="B80" s="758"/>
      <c r="C80" s="758"/>
      <c r="D80" s="758"/>
      <c r="E80" s="758"/>
    </row>
    <row r="81" spans="1:10" s="5" customFormat="1">
      <c r="A81" s="842" t="s">
        <v>252</v>
      </c>
      <c r="B81" s="842"/>
      <c r="C81" s="842"/>
      <c r="D81" s="842"/>
      <c r="E81" s="842"/>
    </row>
    <row r="82" spans="1:10" s="5" customFormat="1">
      <c r="A82" s="852" t="s">
        <v>337</v>
      </c>
      <c r="B82" s="853"/>
      <c r="C82" s="853"/>
      <c r="D82" s="854"/>
      <c r="E82" s="367">
        <f>(E31+E38+E50)</f>
        <v>12849.696034288807</v>
      </c>
    </row>
    <row r="83" spans="1:10" s="5" customFormat="1">
      <c r="A83" s="293" t="s">
        <v>253</v>
      </c>
      <c r="B83" s="843" t="s">
        <v>254</v>
      </c>
      <c r="C83" s="843"/>
      <c r="D83" s="293" t="s">
        <v>233</v>
      </c>
      <c r="E83" s="293" t="s">
        <v>177</v>
      </c>
    </row>
    <row r="84" spans="1:10" s="5" customFormat="1">
      <c r="A84" s="36" t="s">
        <v>178</v>
      </c>
      <c r="B84" s="739" t="s">
        <v>338</v>
      </c>
      <c r="C84" s="739"/>
      <c r="D84" s="290">
        <v>0</v>
      </c>
      <c r="E84" s="44">
        <f>D84*(E31+E50)</f>
        <v>0</v>
      </c>
      <c r="G84" s="350"/>
      <c r="H84" s="30"/>
      <c r="I84" s="30"/>
      <c r="J84" s="30"/>
    </row>
    <row r="85" spans="1:10" s="5" customFormat="1">
      <c r="A85" s="36" t="s">
        <v>193</v>
      </c>
      <c r="B85" s="739" t="s">
        <v>254</v>
      </c>
      <c r="C85" s="739"/>
      <c r="D85" s="455">
        <v>2.8E-3</v>
      </c>
      <c r="E85" s="44">
        <f>D85*$E$82</f>
        <v>35.97914889600866</v>
      </c>
      <c r="J85" s="350"/>
    </row>
    <row r="86" spans="1:10" s="5" customFormat="1">
      <c r="A86" s="36" t="s">
        <v>245</v>
      </c>
      <c r="B86" s="739" t="s">
        <v>339</v>
      </c>
      <c r="C86" s="739"/>
      <c r="D86" s="290">
        <f>0.02%</f>
        <v>2.0000000000000001E-4</v>
      </c>
      <c r="E86" s="44">
        <f>D86*$E$82</f>
        <v>2.5699392068577613</v>
      </c>
    </row>
    <row r="87" spans="1:10" s="5" customFormat="1">
      <c r="A87" s="36" t="s">
        <v>118</v>
      </c>
      <c r="B87" s="739" t="s">
        <v>340</v>
      </c>
      <c r="C87" s="739"/>
      <c r="D87" s="290">
        <v>6.9999999999999999E-4</v>
      </c>
      <c r="E87" s="44">
        <f>D87*$E$82</f>
        <v>8.9947872240021649</v>
      </c>
    </row>
    <row r="88" spans="1:10" s="5" customFormat="1">
      <c r="A88" s="36" t="s">
        <v>119</v>
      </c>
      <c r="B88" s="739" t="s">
        <v>258</v>
      </c>
      <c r="C88" s="739"/>
      <c r="D88" s="290">
        <v>2E-3</v>
      </c>
      <c r="E88" s="44">
        <f>D88*$E$82</f>
        <v>25.699392068577616</v>
      </c>
    </row>
    <row r="89" spans="1:10" s="5" customFormat="1">
      <c r="A89" s="36" t="s">
        <v>185</v>
      </c>
      <c r="B89" s="844" t="s">
        <v>341</v>
      </c>
      <c r="C89" s="844"/>
      <c r="D89" s="71">
        <v>0</v>
      </c>
      <c r="E89" s="44">
        <f t="shared" ref="E89" si="1">D89*$E$31</f>
        <v>0</v>
      </c>
    </row>
    <row r="90" spans="1:10" s="5" customFormat="1">
      <c r="A90" s="796" t="s">
        <v>260</v>
      </c>
      <c r="B90" s="796"/>
      <c r="C90" s="796"/>
      <c r="D90" s="72">
        <f>SUM(D84:D89)</f>
        <v>5.7000000000000002E-3</v>
      </c>
      <c r="E90" s="49">
        <f>SUM(E84:E89)</f>
        <v>73.243267395446196</v>
      </c>
    </row>
    <row r="91" spans="1:10" s="5" customFormat="1">
      <c r="A91" s="18"/>
      <c r="B91" s="18"/>
      <c r="C91" s="18"/>
      <c r="D91" s="351"/>
      <c r="E91" s="359"/>
    </row>
    <row r="92" spans="1:10" s="5" customFormat="1">
      <c r="A92" s="759" t="s">
        <v>261</v>
      </c>
      <c r="B92" s="759"/>
      <c r="C92" s="759"/>
      <c r="D92" s="759"/>
      <c r="E92" s="759"/>
    </row>
    <row r="93" spans="1:10" s="5" customFormat="1">
      <c r="A93" s="53" t="s">
        <v>262</v>
      </c>
      <c r="B93" s="760" t="s">
        <v>263</v>
      </c>
      <c r="C93" s="760"/>
      <c r="D93" s="53" t="s">
        <v>233</v>
      </c>
      <c r="E93" s="53" t="s">
        <v>177</v>
      </c>
    </row>
    <row r="94" spans="1:10">
      <c r="A94" s="36" t="s">
        <v>178</v>
      </c>
      <c r="B94" s="739" t="s">
        <v>264</v>
      </c>
      <c r="C94" s="739"/>
      <c r="D94" s="76">
        <v>0</v>
      </c>
      <c r="E94" s="44">
        <f>(E31+E67+E78)/220*1*15*D94</f>
        <v>0</v>
      </c>
    </row>
    <row r="95" spans="1:10">
      <c r="A95" s="845" t="s">
        <v>265</v>
      </c>
      <c r="B95" s="845"/>
      <c r="C95" s="845"/>
      <c r="D95" s="845"/>
      <c r="E95" s="49">
        <f>E94</f>
        <v>0</v>
      </c>
    </row>
    <row r="96" spans="1:10">
      <c r="A96" s="855"/>
      <c r="B96" s="856"/>
      <c r="C96" s="856"/>
      <c r="D96" s="856"/>
      <c r="E96" s="857"/>
    </row>
    <row r="97" spans="1:5">
      <c r="A97" s="744" t="s">
        <v>266</v>
      </c>
      <c r="B97" s="744"/>
      <c r="C97" s="744"/>
      <c r="D97" s="744"/>
      <c r="E97" s="744"/>
    </row>
    <row r="98" spans="1:5">
      <c r="A98" s="53"/>
      <c r="B98" s="761" t="s">
        <v>267</v>
      </c>
      <c r="C98" s="761"/>
      <c r="D98" s="53" t="s">
        <v>233</v>
      </c>
      <c r="E98" s="53" t="s">
        <v>177</v>
      </c>
    </row>
    <row r="99" spans="1:5">
      <c r="A99" s="36" t="s">
        <v>253</v>
      </c>
      <c r="B99" s="844" t="s">
        <v>254</v>
      </c>
      <c r="C99" s="844"/>
      <c r="D99" s="364">
        <f>D90</f>
        <v>5.7000000000000002E-3</v>
      </c>
      <c r="E99" s="44">
        <f>E90</f>
        <v>73.243267395446196</v>
      </c>
    </row>
    <row r="100" spans="1:5">
      <c r="A100" s="36" t="s">
        <v>262</v>
      </c>
      <c r="B100" s="844" t="s">
        <v>263</v>
      </c>
      <c r="C100" s="844"/>
      <c r="D100" s="71">
        <v>0</v>
      </c>
      <c r="E100" s="44">
        <f>E95</f>
        <v>0</v>
      </c>
    </row>
    <row r="101" spans="1:5">
      <c r="A101" s="845" t="s">
        <v>268</v>
      </c>
      <c r="B101" s="845"/>
      <c r="C101" s="845"/>
      <c r="D101" s="365">
        <f>SUM(D99:D100)</f>
        <v>5.7000000000000002E-3</v>
      </c>
      <c r="E101" s="49">
        <f>E99+E100</f>
        <v>73.243267395446196</v>
      </c>
    </row>
    <row r="102" spans="1:5">
      <c r="A102" s="13"/>
      <c r="B102" s="18"/>
      <c r="C102" s="18"/>
      <c r="D102" s="351"/>
      <c r="E102" s="359"/>
    </row>
    <row r="103" spans="1:5">
      <c r="A103" s="757" t="s">
        <v>269</v>
      </c>
      <c r="B103" s="758"/>
      <c r="C103" s="758"/>
      <c r="D103" s="758"/>
      <c r="E103" s="758"/>
    </row>
    <row r="104" spans="1:5">
      <c r="A104" s="759" t="s">
        <v>269</v>
      </c>
      <c r="B104" s="759"/>
      <c r="C104" s="759"/>
      <c r="D104" s="759"/>
      <c r="E104" s="759"/>
    </row>
    <row r="105" spans="1:5">
      <c r="A105" s="53">
        <v>5</v>
      </c>
      <c r="B105" s="761" t="s">
        <v>270</v>
      </c>
      <c r="C105" s="761"/>
      <c r="D105" s="761"/>
      <c r="E105" s="53" t="s">
        <v>177</v>
      </c>
    </row>
    <row r="106" spans="1:5">
      <c r="A106" s="36" t="s">
        <v>178</v>
      </c>
      <c r="B106" s="844" t="s">
        <v>271</v>
      </c>
      <c r="C106" s="844"/>
      <c r="D106" s="844"/>
      <c r="E106" s="44">
        <v>0</v>
      </c>
    </row>
    <row r="107" spans="1:5">
      <c r="A107" s="36" t="s">
        <v>193</v>
      </c>
      <c r="B107" s="739" t="s">
        <v>347</v>
      </c>
      <c r="C107" s="739"/>
      <c r="D107" s="739"/>
      <c r="E107" s="44">
        <v>0</v>
      </c>
    </row>
    <row r="108" spans="1:5" s="5" customFormat="1">
      <c r="A108" s="845" t="s">
        <v>276</v>
      </c>
      <c r="B108" s="845"/>
      <c r="C108" s="845"/>
      <c r="D108" s="845"/>
      <c r="E108" s="49">
        <f>SUM(E106:E107)</f>
        <v>0</v>
      </c>
    </row>
    <row r="109" spans="1:5">
      <c r="E109" s="360">
        <f>D67+D78+D101</f>
        <v>0.63910555555555559</v>
      </c>
    </row>
    <row r="110" spans="1:5">
      <c r="A110" s="29"/>
      <c r="B110" s="29"/>
      <c r="C110" s="29"/>
      <c r="D110" s="29"/>
      <c r="E110" s="351"/>
    </row>
    <row r="111" spans="1:5">
      <c r="A111" s="861" t="s">
        <v>278</v>
      </c>
      <c r="B111" s="861"/>
      <c r="C111" s="861"/>
      <c r="D111" s="861"/>
      <c r="E111" s="861"/>
    </row>
    <row r="112" spans="1:5" s="6" customFormat="1">
      <c r="A112" s="759" t="s">
        <v>278</v>
      </c>
      <c r="B112" s="759"/>
      <c r="C112" s="759"/>
      <c r="D112" s="759"/>
      <c r="E112" s="759"/>
    </row>
    <row r="113" spans="1:12">
      <c r="A113" s="53">
        <v>6</v>
      </c>
      <c r="B113" s="760" t="s">
        <v>279</v>
      </c>
      <c r="C113" s="760"/>
      <c r="D113" s="53" t="s">
        <v>176</v>
      </c>
      <c r="E113" s="53" t="s">
        <v>177</v>
      </c>
    </row>
    <row r="114" spans="1:12">
      <c r="A114" s="354" t="s">
        <v>178</v>
      </c>
      <c r="B114" s="844" t="s">
        <v>280</v>
      </c>
      <c r="C114" s="844"/>
      <c r="D114" s="290">
        <v>0.05</v>
      </c>
      <c r="E114" s="44">
        <f>D114*E129</f>
        <v>720.51269287265654</v>
      </c>
      <c r="F114" s="380" t="e">
        <f>#REF!</f>
        <v>#REF!</v>
      </c>
      <c r="L114" s="545"/>
    </row>
    <row r="115" spans="1:12">
      <c r="A115" s="354" t="s">
        <v>193</v>
      </c>
      <c r="B115" s="844" t="s">
        <v>281</v>
      </c>
      <c r="C115" s="844"/>
      <c r="D115" s="290">
        <v>0.05</v>
      </c>
      <c r="E115" s="44">
        <f>D115*(E114+E129)</f>
        <v>756.53832751628943</v>
      </c>
      <c r="F115" s="380" t="e">
        <f>#REF!</f>
        <v>#REF!</v>
      </c>
      <c r="L115" s="545"/>
    </row>
    <row r="116" spans="1:12">
      <c r="A116" s="862" t="s">
        <v>117</v>
      </c>
      <c r="B116" s="845" t="s">
        <v>282</v>
      </c>
      <c r="C116" s="845"/>
      <c r="D116" s="72"/>
      <c r="E116" s="49"/>
      <c r="F116" s="380" t="e">
        <f>F115-F114</f>
        <v>#REF!</v>
      </c>
    </row>
    <row r="117" spans="1:12">
      <c r="A117" s="862"/>
      <c r="B117" s="844" t="s">
        <v>283</v>
      </c>
      <c r="C117" s="844"/>
      <c r="D117" s="290">
        <v>6.4999999999999997E-3</v>
      </c>
      <c r="E117" s="44">
        <f>($E$114+$E$115+$E$129)/(1-($D$117+$D$118+$D$119))*D117</f>
        <v>113.04595698519266</v>
      </c>
      <c r="F117" s="380"/>
    </row>
    <row r="118" spans="1:12">
      <c r="A118" s="862"/>
      <c r="B118" s="844" t="s">
        <v>284</v>
      </c>
      <c r="C118" s="844"/>
      <c r="D118" s="290">
        <v>0.03</v>
      </c>
      <c r="E118" s="44">
        <f>($E$114+$E$115+$E$129)/(1-($D$117+$D$118+$D$119))*D118</f>
        <v>521.75057070088917</v>
      </c>
    </row>
    <row r="119" spans="1:12" s="3" customFormat="1">
      <c r="A119" s="862"/>
      <c r="B119" s="844" t="s">
        <v>343</v>
      </c>
      <c r="C119" s="844"/>
      <c r="D119" s="290">
        <v>0.05</v>
      </c>
      <c r="E119" s="44">
        <f>($E$114+$E$115+$E$129)/(1-($D$117+$D$118+$D$119))*D119</f>
        <v>869.5842845014821</v>
      </c>
    </row>
    <row r="120" spans="1:12">
      <c r="A120" s="740" t="s">
        <v>286</v>
      </c>
      <c r="B120" s="740"/>
      <c r="C120" s="740"/>
      <c r="D120" s="72">
        <f>SUM(D114:D119)</f>
        <v>0.1865</v>
      </c>
      <c r="E120" s="49">
        <f>SUM(E114:E119)</f>
        <v>2981.4318325765098</v>
      </c>
    </row>
    <row r="121" spans="1:12">
      <c r="D121" s="366"/>
    </row>
    <row r="122" spans="1:12">
      <c r="A122" s="744" t="s">
        <v>287</v>
      </c>
      <c r="B122" s="744"/>
      <c r="C122" s="744"/>
      <c r="D122" s="744"/>
      <c r="E122" s="744"/>
    </row>
    <row r="123" spans="1:12">
      <c r="A123" s="740" t="s">
        <v>288</v>
      </c>
      <c r="B123" s="740"/>
      <c r="C123" s="740"/>
      <c r="D123" s="740"/>
      <c r="E123" s="53" t="s">
        <v>289</v>
      </c>
    </row>
    <row r="124" spans="1:12">
      <c r="A124" s="36" t="s">
        <v>178</v>
      </c>
      <c r="B124" s="739" t="s">
        <v>290</v>
      </c>
      <c r="C124" s="739"/>
      <c r="D124" s="739"/>
      <c r="E124" s="361">
        <f>E31</f>
        <v>7855.7251459999998</v>
      </c>
    </row>
    <row r="125" spans="1:12">
      <c r="A125" s="36" t="s">
        <v>193</v>
      </c>
      <c r="B125" s="739" t="s">
        <v>291</v>
      </c>
      <c r="C125" s="739"/>
      <c r="D125" s="739"/>
      <c r="E125" s="362">
        <f>E67</f>
        <v>5924.2708882888064</v>
      </c>
    </row>
    <row r="126" spans="1:12">
      <c r="A126" s="36" t="s">
        <v>245</v>
      </c>
      <c r="B126" s="739" t="s">
        <v>292</v>
      </c>
      <c r="C126" s="739"/>
      <c r="D126" s="739"/>
      <c r="E126" s="362">
        <f>E78</f>
        <v>557.0145557688777</v>
      </c>
    </row>
    <row r="127" spans="1:12">
      <c r="A127" s="36" t="s">
        <v>118</v>
      </c>
      <c r="B127" s="739" t="s">
        <v>293</v>
      </c>
      <c r="C127" s="739"/>
      <c r="D127" s="739"/>
      <c r="E127" s="362">
        <f>E101</f>
        <v>73.243267395446196</v>
      </c>
    </row>
    <row r="128" spans="1:12">
      <c r="A128" s="36" t="s">
        <v>119</v>
      </c>
      <c r="B128" s="858" t="s">
        <v>294</v>
      </c>
      <c r="C128" s="859"/>
      <c r="D128" s="860"/>
      <c r="E128" s="361">
        <f>E108</f>
        <v>0</v>
      </c>
    </row>
    <row r="129" spans="1:12">
      <c r="A129" s="740" t="s">
        <v>295</v>
      </c>
      <c r="B129" s="740"/>
      <c r="C129" s="740"/>
      <c r="D129" s="740"/>
      <c r="E129" s="41">
        <f>SUM(E124:E128)</f>
        <v>14410.25385745313</v>
      </c>
      <c r="L129" s="380"/>
    </row>
    <row r="130" spans="1:12" s="5" customFormat="1">
      <c r="A130" s="36" t="s">
        <v>185</v>
      </c>
      <c r="B130" s="739" t="s">
        <v>296</v>
      </c>
      <c r="C130" s="739"/>
      <c r="D130" s="739"/>
      <c r="E130" s="362">
        <f>E120</f>
        <v>2981.4318325765098</v>
      </c>
    </row>
    <row r="131" spans="1:12">
      <c r="A131" s="740" t="s">
        <v>297</v>
      </c>
      <c r="B131" s="740"/>
      <c r="C131" s="740"/>
      <c r="D131" s="740"/>
      <c r="E131" s="41">
        <f>SUM(E129:E130)</f>
        <v>17391.685690029641</v>
      </c>
      <c r="L131" s="546"/>
    </row>
    <row r="132" spans="1:12">
      <c r="E132" s="363"/>
    </row>
    <row r="133" spans="1:12">
      <c r="E133" s="31"/>
    </row>
  </sheetData>
  <mergeCells count="127">
    <mergeCell ref="A2:E2"/>
    <mergeCell ref="A3:E3"/>
    <mergeCell ref="A4:E4"/>
    <mergeCell ref="A5:E5"/>
    <mergeCell ref="A7:E7"/>
    <mergeCell ref="B8:C8"/>
    <mergeCell ref="D8:E8"/>
    <mergeCell ref="A13:E13"/>
    <mergeCell ref="B14:C14"/>
    <mergeCell ref="B15:C15"/>
    <mergeCell ref="A17:E17"/>
    <mergeCell ref="A18:E18"/>
    <mergeCell ref="B19:C19"/>
    <mergeCell ref="D19:E19"/>
    <mergeCell ref="B9:C9"/>
    <mergeCell ref="D9:E9"/>
    <mergeCell ref="B10:C10"/>
    <mergeCell ref="D10:E10"/>
    <mergeCell ref="B11:C11"/>
    <mergeCell ref="D11:E11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B22:C22"/>
    <mergeCell ref="D22:E22"/>
    <mergeCell ref="A33:E33"/>
    <mergeCell ref="A34:E34"/>
    <mergeCell ref="B35:C35"/>
    <mergeCell ref="B36:C36"/>
    <mergeCell ref="A38:C38"/>
    <mergeCell ref="A40:E40"/>
    <mergeCell ref="A26:E26"/>
    <mergeCell ref="A27:E27"/>
    <mergeCell ref="B28:C28"/>
    <mergeCell ref="B29:C29"/>
    <mergeCell ref="B30:C30"/>
    <mergeCell ref="A31:D31"/>
    <mergeCell ref="B45:C45"/>
    <mergeCell ref="B46:C46"/>
    <mergeCell ref="B47:C47"/>
    <mergeCell ref="B48:C48"/>
    <mergeCell ref="B49:C49"/>
    <mergeCell ref="A50:C50"/>
    <mergeCell ref="B41:C41"/>
    <mergeCell ref="B42:C42"/>
    <mergeCell ref="F42:I42"/>
    <mergeCell ref="B43:C43"/>
    <mergeCell ref="B44:C44"/>
    <mergeCell ref="F44:I44"/>
    <mergeCell ref="A59:D59"/>
    <mergeCell ref="A61:E61"/>
    <mergeCell ref="A62:E62"/>
    <mergeCell ref="B63:C63"/>
    <mergeCell ref="B64:C64"/>
    <mergeCell ref="B65:C65"/>
    <mergeCell ref="A52:E52"/>
    <mergeCell ref="B53:C53"/>
    <mergeCell ref="B54:C54"/>
    <mergeCell ref="B55:C55"/>
    <mergeCell ref="B56:C56"/>
    <mergeCell ref="B58:C58"/>
    <mergeCell ref="B73:C73"/>
    <mergeCell ref="B75:C75"/>
    <mergeCell ref="B76:C76"/>
    <mergeCell ref="B77:C77"/>
    <mergeCell ref="A78:C78"/>
    <mergeCell ref="A80:E80"/>
    <mergeCell ref="B66:C66"/>
    <mergeCell ref="A67:C67"/>
    <mergeCell ref="A69:E69"/>
    <mergeCell ref="A70:E70"/>
    <mergeCell ref="B71:C71"/>
    <mergeCell ref="B72:C72"/>
    <mergeCell ref="B74:C74"/>
    <mergeCell ref="B87:C87"/>
    <mergeCell ref="B88:C88"/>
    <mergeCell ref="B89:C89"/>
    <mergeCell ref="A90:C90"/>
    <mergeCell ref="A92:E92"/>
    <mergeCell ref="B93:C93"/>
    <mergeCell ref="A81:E81"/>
    <mergeCell ref="A82:D82"/>
    <mergeCell ref="B83:C83"/>
    <mergeCell ref="B84:C84"/>
    <mergeCell ref="B85:C85"/>
    <mergeCell ref="B86:C86"/>
    <mergeCell ref="B100:C100"/>
    <mergeCell ref="A101:C101"/>
    <mergeCell ref="A103:E103"/>
    <mergeCell ref="A104:E104"/>
    <mergeCell ref="B105:D105"/>
    <mergeCell ref="B106:D106"/>
    <mergeCell ref="B94:C94"/>
    <mergeCell ref="A95:D95"/>
    <mergeCell ref="A96:E96"/>
    <mergeCell ref="A97:E97"/>
    <mergeCell ref="B98:C98"/>
    <mergeCell ref="B99:C99"/>
    <mergeCell ref="B115:C115"/>
    <mergeCell ref="A116:A119"/>
    <mergeCell ref="B116:C116"/>
    <mergeCell ref="B117:C117"/>
    <mergeCell ref="B118:C118"/>
    <mergeCell ref="B119:C119"/>
    <mergeCell ref="B107:D107"/>
    <mergeCell ref="A108:D108"/>
    <mergeCell ref="A111:E111"/>
    <mergeCell ref="A112:E112"/>
    <mergeCell ref="B113:C113"/>
    <mergeCell ref="B114:C114"/>
    <mergeCell ref="B127:D127"/>
    <mergeCell ref="B128:D128"/>
    <mergeCell ref="A129:D129"/>
    <mergeCell ref="B130:D130"/>
    <mergeCell ref="A131:D131"/>
    <mergeCell ref="A120:C120"/>
    <mergeCell ref="A122:E122"/>
    <mergeCell ref="A123:D123"/>
    <mergeCell ref="B124:D124"/>
    <mergeCell ref="B125:D125"/>
    <mergeCell ref="B126:D126"/>
  </mergeCells>
  <pageMargins left="0.51181102362204722" right="0.51181102362204722" top="1.0629921259842521" bottom="0.98425196850393704" header="0.31496062992125984" footer="0.31496062992125984"/>
  <pageSetup paperSize="9" scale="70" fitToHeight="0" orientation="portrait" r:id="rId1"/>
  <headerFooter>
    <oddHeader>&amp;L&amp;G</oddHeader>
    <oddFooter>&amp;L&amp;G&amp;RPágina &amp;P</oddFooter>
  </headerFooter>
  <rowBreaks count="1" manualBreakCount="1">
    <brk id="67" max="4" man="1"/>
  </rowBreaks>
  <colBreaks count="1" manualBreakCount="1">
    <brk id="5" max="1048575" man="1"/>
  </colBreaks>
  <legacy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>
    <tabColor theme="0"/>
  </sheetPr>
  <dimension ref="A2:M135"/>
  <sheetViews>
    <sheetView topLeftCell="A44" zoomScaleNormal="100" zoomScaleSheetLayoutView="100" workbookViewId="0">
      <selection activeCell="E56" sqref="E56"/>
    </sheetView>
  </sheetViews>
  <sheetFormatPr defaultColWidth="9.140625" defaultRowHeight="14.25"/>
  <cols>
    <col min="1" max="1" width="7.28515625" style="2" customWidth="1"/>
    <col min="2" max="2" width="31.5703125" style="1" customWidth="1"/>
    <col min="3" max="3" width="35.140625" style="1" customWidth="1"/>
    <col min="4" max="4" width="17.85546875" style="2" customWidth="1"/>
    <col min="5" max="5" width="23.5703125" style="6" customWidth="1"/>
    <col min="6" max="6" width="18.85546875" style="1" hidden="1" customWidth="1"/>
    <col min="7" max="7" width="12.28515625" style="1" customWidth="1"/>
    <col min="8" max="8" width="12.140625" style="1" bestFit="1" customWidth="1"/>
    <col min="9" max="9" width="9.140625" style="1"/>
    <col min="10" max="10" width="11.5703125" style="1" bestFit="1" customWidth="1"/>
    <col min="11" max="11" width="9.140625" style="1"/>
    <col min="12" max="12" width="20.7109375" style="1" customWidth="1"/>
    <col min="13" max="13" width="10.5703125" style="1" bestFit="1" customWidth="1"/>
    <col min="14" max="16384" width="9.140625" style="1"/>
  </cols>
  <sheetData>
    <row r="2" spans="1:5">
      <c r="A2" s="828" t="s">
        <v>352</v>
      </c>
      <c r="B2" s="829"/>
      <c r="C2" s="829"/>
      <c r="D2" s="829"/>
      <c r="E2" s="829"/>
    </row>
    <row r="3" spans="1:5">
      <c r="A3" s="29"/>
      <c r="B3" s="29"/>
      <c r="C3" s="29"/>
      <c r="D3" s="29"/>
      <c r="E3" s="29"/>
    </row>
    <row r="4" spans="1:5" ht="15.75">
      <c r="A4" s="816" t="s">
        <v>353</v>
      </c>
      <c r="B4" s="816"/>
      <c r="C4" s="816"/>
      <c r="D4" s="816"/>
      <c r="E4" s="816"/>
    </row>
    <row r="5" spans="1:5" ht="15.75">
      <c r="A5" s="868" t="str">
        <f>'Assistente Adm I'!A5:E5</f>
        <v>Pregão Eletrônico nº ******</v>
      </c>
      <c r="B5" s="868"/>
      <c r="C5" s="868"/>
      <c r="D5" s="868"/>
      <c r="E5" s="868"/>
    </row>
    <row r="6" spans="1:5">
      <c r="A6" s="837" t="s">
        <v>354</v>
      </c>
      <c r="B6" s="838"/>
      <c r="C6" s="838"/>
      <c r="D6" s="838"/>
      <c r="E6" s="838"/>
    </row>
    <row r="7" spans="1:5">
      <c r="A7" s="750" t="s">
        <v>150</v>
      </c>
      <c r="B7" s="750"/>
      <c r="C7" s="750"/>
      <c r="D7" s="750"/>
      <c r="E7" s="750"/>
    </row>
    <row r="8" spans="1:5">
      <c r="A8" s="295" t="s">
        <v>115</v>
      </c>
      <c r="B8" s="770" t="s">
        <v>151</v>
      </c>
      <c r="C8" s="770"/>
      <c r="D8" s="831"/>
      <c r="E8" s="832"/>
    </row>
    <row r="9" spans="1:5">
      <c r="A9" s="295" t="s">
        <v>116</v>
      </c>
      <c r="B9" s="770" t="s">
        <v>152</v>
      </c>
      <c r="C9" s="770"/>
      <c r="D9" s="813" t="s">
        <v>303</v>
      </c>
      <c r="E9" s="814"/>
    </row>
    <row r="10" spans="1:5">
      <c r="A10" s="295" t="s">
        <v>117</v>
      </c>
      <c r="B10" s="770" t="s">
        <v>154</v>
      </c>
      <c r="C10" s="770"/>
      <c r="D10" s="866" t="s">
        <v>355</v>
      </c>
      <c r="E10" s="867"/>
    </row>
    <row r="11" spans="1:5">
      <c r="A11" s="295" t="s">
        <v>156</v>
      </c>
      <c r="B11" s="770" t="s">
        <v>157</v>
      </c>
      <c r="C11" s="770"/>
      <c r="D11" s="815">
        <v>12</v>
      </c>
      <c r="E11" s="815"/>
    </row>
    <row r="12" spans="1:5">
      <c r="A12" s="14"/>
      <c r="B12" s="15"/>
      <c r="C12" s="15"/>
      <c r="D12" s="14"/>
      <c r="E12" s="14"/>
    </row>
    <row r="13" spans="1:5">
      <c r="A13" s="750" t="s">
        <v>305</v>
      </c>
      <c r="B13" s="750"/>
      <c r="C13" s="750"/>
      <c r="D13" s="750"/>
      <c r="E13" s="750"/>
    </row>
    <row r="14" spans="1:5" ht="28.5">
      <c r="A14" s="296" t="s">
        <v>158</v>
      </c>
      <c r="B14" s="800" t="s">
        <v>159</v>
      </c>
      <c r="C14" s="768"/>
      <c r="D14" s="353" t="s">
        <v>160</v>
      </c>
      <c r="E14" s="296" t="s">
        <v>161</v>
      </c>
    </row>
    <row r="15" spans="1:5">
      <c r="A15" s="297">
        <v>1</v>
      </c>
      <c r="B15" s="839" t="s">
        <v>356</v>
      </c>
      <c r="C15" s="840"/>
      <c r="D15" s="370" t="s">
        <v>307</v>
      </c>
      <c r="E15" s="505"/>
    </row>
    <row r="16" spans="1:5">
      <c r="A16" s="14"/>
      <c r="B16" s="15"/>
      <c r="C16" s="16"/>
      <c r="D16" s="16"/>
      <c r="E16" s="349"/>
    </row>
    <row r="17" spans="1:8" ht="15.75">
      <c r="A17" s="808" t="s">
        <v>164</v>
      </c>
      <c r="B17" s="808"/>
      <c r="C17" s="808"/>
      <c r="D17" s="808"/>
      <c r="E17" s="808"/>
    </row>
    <row r="18" spans="1:8">
      <c r="A18" s="750" t="s">
        <v>165</v>
      </c>
      <c r="B18" s="750"/>
      <c r="C18" s="750"/>
      <c r="D18" s="750"/>
      <c r="E18" s="750"/>
    </row>
    <row r="19" spans="1:8">
      <c r="A19" s="295">
        <v>1</v>
      </c>
      <c r="B19" s="770" t="s">
        <v>166</v>
      </c>
      <c r="C19" s="770"/>
      <c r="D19" s="835" t="s">
        <v>357</v>
      </c>
      <c r="E19" s="836"/>
    </row>
    <row r="20" spans="1:8">
      <c r="A20" s="295">
        <v>2</v>
      </c>
      <c r="B20" s="788" t="s">
        <v>168</v>
      </c>
      <c r="C20" s="789"/>
      <c r="D20" s="855" t="s">
        <v>358</v>
      </c>
      <c r="E20" s="857"/>
      <c r="G20" s="34"/>
    </row>
    <row r="21" spans="1:8">
      <c r="A21" s="295">
        <v>3</v>
      </c>
      <c r="B21" s="770" t="s">
        <v>170</v>
      </c>
      <c r="C21" s="770"/>
      <c r="D21" s="511"/>
      <c r="E21" s="512">
        <v>3095</v>
      </c>
    </row>
    <row r="22" spans="1:8">
      <c r="A22" s="295">
        <v>4</v>
      </c>
      <c r="B22" s="770" t="s">
        <v>310</v>
      </c>
      <c r="C22" s="770"/>
      <c r="D22" s="822">
        <v>1518</v>
      </c>
      <c r="E22" s="823"/>
    </row>
    <row r="23" spans="1:8">
      <c r="A23" s="295">
        <v>5</v>
      </c>
      <c r="B23" s="770" t="s">
        <v>171</v>
      </c>
      <c r="C23" s="770"/>
      <c r="D23" s="832"/>
      <c r="E23" s="832"/>
    </row>
    <row r="24" spans="1:8">
      <c r="A24" s="295">
        <v>6</v>
      </c>
      <c r="B24" s="770" t="s">
        <v>173</v>
      </c>
      <c r="C24" s="770"/>
      <c r="D24" s="831">
        <v>45658</v>
      </c>
      <c r="E24" s="831"/>
    </row>
    <row r="25" spans="1:8">
      <c r="A25" s="295">
        <v>7</v>
      </c>
      <c r="B25" s="770" t="s">
        <v>312</v>
      </c>
      <c r="C25" s="770"/>
      <c r="D25" s="827" t="str">
        <f>'Assistente Adm I'!D25:E25</f>
        <v>LUCRO PRESUMIDO</v>
      </c>
      <c r="E25" s="827"/>
    </row>
    <row r="26" spans="1:8">
      <c r="A26" s="802"/>
      <c r="B26" s="802"/>
      <c r="C26" s="802"/>
      <c r="D26" s="802"/>
      <c r="E26" s="802"/>
    </row>
    <row r="27" spans="1:8">
      <c r="A27" s="757" t="s">
        <v>174</v>
      </c>
      <c r="B27" s="758"/>
      <c r="C27" s="758"/>
      <c r="D27" s="758"/>
      <c r="E27" s="758"/>
    </row>
    <row r="28" spans="1:8">
      <c r="A28" s="296">
        <v>1</v>
      </c>
      <c r="B28" s="803" t="s">
        <v>175</v>
      </c>
      <c r="C28" s="803"/>
      <c r="D28" s="353" t="s">
        <v>176</v>
      </c>
      <c r="E28" s="53" t="s">
        <v>177</v>
      </c>
    </row>
    <row r="29" spans="1:8">
      <c r="A29" s="295" t="s">
        <v>178</v>
      </c>
      <c r="B29" s="746" t="s">
        <v>179</v>
      </c>
      <c r="C29" s="746"/>
      <c r="D29" s="352"/>
      <c r="E29" s="513">
        <f>E21</f>
        <v>3095</v>
      </c>
    </row>
    <row r="30" spans="1:8">
      <c r="A30" s="580" t="s">
        <v>116</v>
      </c>
      <c r="B30" s="825" t="s">
        <v>259</v>
      </c>
      <c r="C30" s="825"/>
      <c r="D30" s="585"/>
      <c r="E30" s="357">
        <v>0</v>
      </c>
    </row>
    <row r="31" spans="1:8" s="5" customFormat="1">
      <c r="A31" s="796" t="s">
        <v>187</v>
      </c>
      <c r="B31" s="796"/>
      <c r="C31" s="796"/>
      <c r="D31" s="796"/>
      <c r="E31" s="358">
        <f>SUM(E29:E30)</f>
        <v>3095</v>
      </c>
      <c r="F31" s="30"/>
      <c r="G31" s="30"/>
      <c r="H31" s="30"/>
    </row>
    <row r="32" spans="1:8" s="5" customFormat="1">
      <c r="A32" s="16"/>
      <c r="B32" s="16"/>
      <c r="C32" s="16"/>
      <c r="D32" s="16"/>
      <c r="E32" s="359"/>
    </row>
    <row r="33" spans="1:12" s="5" customFormat="1">
      <c r="A33" s="757" t="s">
        <v>188</v>
      </c>
      <c r="B33" s="758"/>
      <c r="C33" s="758"/>
      <c r="D33" s="758"/>
      <c r="E33" s="758"/>
    </row>
    <row r="34" spans="1:12" s="5" customFormat="1">
      <c r="A34" s="759" t="s">
        <v>315</v>
      </c>
      <c r="B34" s="759"/>
      <c r="C34" s="759"/>
      <c r="D34" s="759"/>
      <c r="E34" s="759"/>
    </row>
    <row r="35" spans="1:12" s="5" customFormat="1">
      <c r="A35" s="53" t="s">
        <v>190</v>
      </c>
      <c r="B35" s="760" t="s">
        <v>316</v>
      </c>
      <c r="C35" s="760"/>
      <c r="D35" s="53" t="s">
        <v>176</v>
      </c>
      <c r="E35" s="70" t="s">
        <v>177</v>
      </c>
    </row>
    <row r="36" spans="1:12" s="5" customFormat="1">
      <c r="A36" s="54" t="s">
        <v>178</v>
      </c>
      <c r="B36" s="786" t="s">
        <v>317</v>
      </c>
      <c r="C36" s="799"/>
      <c r="D36" s="94">
        <v>8.3299999999999999E-2</v>
      </c>
      <c r="E36" s="40">
        <f>D36*E31</f>
        <v>257.81349999999998</v>
      </c>
    </row>
    <row r="37" spans="1:12" s="5" customFormat="1">
      <c r="A37" s="86" t="s">
        <v>193</v>
      </c>
      <c r="B37" s="299" t="s">
        <v>194</v>
      </c>
      <c r="C37" s="318" t="s">
        <v>318</v>
      </c>
      <c r="D37" s="94">
        <v>0.1212</v>
      </c>
      <c r="E37" s="40">
        <f>D37*E31</f>
        <v>375.11400000000003</v>
      </c>
      <c r="G37" s="289"/>
    </row>
    <row r="38" spans="1:12" s="5" customFormat="1" ht="15" thickBot="1">
      <c r="A38" s="750" t="s">
        <v>195</v>
      </c>
      <c r="B38" s="750"/>
      <c r="C38" s="750"/>
      <c r="D38" s="17">
        <f>D36+D37</f>
        <v>0.20450000000000002</v>
      </c>
      <c r="E38" s="41">
        <f>SUM(E36:E37)</f>
        <v>632.92750000000001</v>
      </c>
    </row>
    <row r="39" spans="1:12" s="5" customFormat="1">
      <c r="A39" s="18"/>
      <c r="B39" s="18"/>
      <c r="C39" s="18"/>
      <c r="D39" s="19"/>
      <c r="E39" s="20"/>
    </row>
    <row r="40" spans="1:12" s="5" customFormat="1">
      <c r="A40" s="759" t="s">
        <v>196</v>
      </c>
      <c r="B40" s="759"/>
      <c r="C40" s="759"/>
      <c r="D40" s="759"/>
      <c r="E40" s="759"/>
    </row>
    <row r="41" spans="1:12" s="5" customFormat="1">
      <c r="A41" s="53" t="s">
        <v>197</v>
      </c>
      <c r="B41" s="761" t="s">
        <v>198</v>
      </c>
      <c r="C41" s="761"/>
      <c r="D41" s="53" t="s">
        <v>176</v>
      </c>
      <c r="E41" s="53" t="s">
        <v>177</v>
      </c>
    </row>
    <row r="42" spans="1:12" s="5" customFormat="1" ht="15">
      <c r="A42" s="36" t="s">
        <v>178</v>
      </c>
      <c r="B42" s="739" t="s">
        <v>319</v>
      </c>
      <c r="C42" s="739"/>
      <c r="D42" s="378">
        <v>0.2</v>
      </c>
      <c r="E42" s="44">
        <f>($E$31+$E$38)*D42</f>
        <v>745.58550000000002</v>
      </c>
      <c r="F42" s="736"/>
      <c r="G42" s="736"/>
      <c r="H42" s="736"/>
      <c r="I42" s="736"/>
      <c r="L42" s="30"/>
    </row>
    <row r="43" spans="1:12" s="5" customFormat="1" ht="15">
      <c r="A43" s="36" t="s">
        <v>193</v>
      </c>
      <c r="B43" s="739" t="s">
        <v>320</v>
      </c>
      <c r="C43" s="739"/>
      <c r="D43" s="378">
        <v>2.5000000000000001E-2</v>
      </c>
      <c r="E43" s="44">
        <f t="shared" ref="E43:E49" si="0">($E$31+$E$38)*D43</f>
        <v>93.198187500000003</v>
      </c>
      <c r="L43" s="30"/>
    </row>
    <row r="44" spans="1:12" s="5" customFormat="1" ht="15">
      <c r="A44" s="36" t="s">
        <v>117</v>
      </c>
      <c r="B44" s="739" t="s">
        <v>321</v>
      </c>
      <c r="C44" s="739"/>
      <c r="D44" s="378">
        <v>0.02</v>
      </c>
      <c r="E44" s="44">
        <f t="shared" si="0"/>
        <v>74.558549999999997</v>
      </c>
      <c r="F44" s="736"/>
      <c r="G44" s="736"/>
      <c r="H44" s="736"/>
      <c r="I44" s="736"/>
      <c r="L44" s="30"/>
    </row>
    <row r="45" spans="1:12" s="5" customFormat="1" ht="15">
      <c r="A45" s="36" t="s">
        <v>156</v>
      </c>
      <c r="B45" s="739" t="s">
        <v>322</v>
      </c>
      <c r="C45" s="739"/>
      <c r="D45" s="378">
        <v>1.4999999999999999E-2</v>
      </c>
      <c r="E45" s="44">
        <f t="shared" si="0"/>
        <v>55.918912499999998</v>
      </c>
    </row>
    <row r="46" spans="1:12" s="5" customFormat="1" ht="15">
      <c r="A46" s="36" t="s">
        <v>183</v>
      </c>
      <c r="B46" s="739" t="s">
        <v>323</v>
      </c>
      <c r="C46" s="739"/>
      <c r="D46" s="378">
        <v>0.01</v>
      </c>
      <c r="E46" s="44">
        <f t="shared" si="0"/>
        <v>37.279274999999998</v>
      </c>
    </row>
    <row r="47" spans="1:12" s="5" customFormat="1" ht="15">
      <c r="A47" s="36" t="s">
        <v>205</v>
      </c>
      <c r="B47" s="739" t="s">
        <v>324</v>
      </c>
      <c r="C47" s="739"/>
      <c r="D47" s="378">
        <v>6.0000000000000001E-3</v>
      </c>
      <c r="E47" s="44">
        <f t="shared" si="0"/>
        <v>22.367564999999999</v>
      </c>
    </row>
    <row r="48" spans="1:12" s="5" customFormat="1" ht="15">
      <c r="A48" s="36" t="s">
        <v>207</v>
      </c>
      <c r="B48" s="739" t="s">
        <v>325</v>
      </c>
      <c r="C48" s="739"/>
      <c r="D48" s="378">
        <v>2E-3</v>
      </c>
      <c r="E48" s="44">
        <f t="shared" si="0"/>
        <v>7.4558549999999997</v>
      </c>
    </row>
    <row r="49" spans="1:13" s="5" customFormat="1" ht="15">
      <c r="A49" s="36" t="s">
        <v>209</v>
      </c>
      <c r="B49" s="739" t="s">
        <v>326</v>
      </c>
      <c r="C49" s="739"/>
      <c r="D49" s="378">
        <v>0.08</v>
      </c>
      <c r="E49" s="44">
        <f t="shared" si="0"/>
        <v>298.23419999999999</v>
      </c>
    </row>
    <row r="50" spans="1:13" s="5" customFormat="1">
      <c r="A50" s="740" t="s">
        <v>211</v>
      </c>
      <c r="B50" s="740"/>
      <c r="C50" s="740"/>
      <c r="D50" s="72">
        <f>SUM(D42:D49)</f>
        <v>0.35800000000000004</v>
      </c>
      <c r="E50" s="45">
        <f>SUM(E42:E49)</f>
        <v>1334.5980449999997</v>
      </c>
    </row>
    <row r="51" spans="1:13" s="5" customFormat="1">
      <c r="A51" s="16"/>
      <c r="B51" s="16"/>
      <c r="C51" s="16"/>
      <c r="D51" s="16"/>
      <c r="E51" s="359"/>
    </row>
    <row r="52" spans="1:13" s="5" customFormat="1">
      <c r="A52" s="842" t="s">
        <v>212</v>
      </c>
      <c r="B52" s="842"/>
      <c r="C52" s="842"/>
      <c r="D52" s="842"/>
      <c r="E52" s="842"/>
    </row>
    <row r="53" spans="1:13" s="6" customFormat="1">
      <c r="A53" s="293" t="s">
        <v>213</v>
      </c>
      <c r="B53" s="843" t="s">
        <v>214</v>
      </c>
      <c r="C53" s="843"/>
      <c r="D53" s="293"/>
      <c r="E53" s="293" t="s">
        <v>177</v>
      </c>
    </row>
    <row r="54" spans="1:13" s="6" customFormat="1" ht="15">
      <c r="A54" s="36" t="s">
        <v>115</v>
      </c>
      <c r="B54" s="739" t="s">
        <v>215</v>
      </c>
      <c r="C54" s="739"/>
      <c r="D54" s="346">
        <f>'Assistente Adm I'!D54</f>
        <v>5.5</v>
      </c>
      <c r="E54" s="292">
        <f>IF((D54*2*21-(E29*6%))&gt;0, D54*2*21-(E29*6%), 0)</f>
        <v>45.300000000000011</v>
      </c>
      <c r="F54" s="37"/>
      <c r="G54"/>
      <c r="M54" s="31"/>
    </row>
    <row r="55" spans="1:13" s="6" customFormat="1" ht="15">
      <c r="A55" s="36" t="s">
        <v>116</v>
      </c>
      <c r="B55" s="739" t="s">
        <v>327</v>
      </c>
      <c r="C55" s="739"/>
      <c r="D55" s="346">
        <v>44.7</v>
      </c>
      <c r="E55" s="292">
        <f>D55*21-(21*0.7)</f>
        <v>924</v>
      </c>
      <c r="F55" s="37"/>
      <c r="G55"/>
      <c r="I55" s="31"/>
      <c r="M55" s="31"/>
    </row>
    <row r="56" spans="1:13" s="6" customFormat="1" ht="15">
      <c r="A56" s="36" t="s">
        <v>117</v>
      </c>
      <c r="B56" s="739" t="s">
        <v>359</v>
      </c>
      <c r="C56" s="739"/>
      <c r="D56" s="377"/>
      <c r="E56" s="292">
        <v>0</v>
      </c>
      <c r="G56"/>
      <c r="I56" s="31"/>
      <c r="M56" s="31"/>
    </row>
    <row r="57" spans="1:13" s="6" customFormat="1" ht="15">
      <c r="A57" s="36" t="s">
        <v>156</v>
      </c>
      <c r="B57" s="536" t="s">
        <v>329</v>
      </c>
      <c r="C57" s="537"/>
      <c r="D57" s="377"/>
      <c r="E57" s="292">
        <v>0</v>
      </c>
      <c r="G57"/>
      <c r="I57" s="31"/>
      <c r="M57" s="31"/>
    </row>
    <row r="58" spans="1:13" s="6" customFormat="1">
      <c r="A58" s="73" t="s">
        <v>205</v>
      </c>
      <c r="B58" s="846" t="s">
        <v>330</v>
      </c>
      <c r="C58" s="847"/>
      <c r="D58" s="47"/>
      <c r="E58" s="291"/>
    </row>
    <row r="59" spans="1:13" s="5" customFormat="1">
      <c r="A59" s="740" t="s">
        <v>223</v>
      </c>
      <c r="B59" s="740"/>
      <c r="C59" s="740"/>
      <c r="D59" s="740"/>
      <c r="E59" s="49">
        <f>SUM(E54:E58)</f>
        <v>969.3</v>
      </c>
    </row>
    <row r="60" spans="1:13" s="5" customFormat="1" ht="15" thickBot="1">
      <c r="A60" s="74"/>
      <c r="B60" s="75"/>
      <c r="C60" s="75"/>
      <c r="D60" s="75"/>
      <c r="E60" s="61"/>
    </row>
    <row r="61" spans="1:13" s="5" customFormat="1">
      <c r="A61" s="781"/>
      <c r="B61" s="782"/>
      <c r="C61" s="782"/>
      <c r="D61" s="782"/>
      <c r="E61" s="783"/>
    </row>
    <row r="62" spans="1:13" s="5" customFormat="1">
      <c r="A62" s="744" t="s">
        <v>230</v>
      </c>
      <c r="B62" s="744"/>
      <c r="C62" s="744"/>
      <c r="D62" s="744"/>
      <c r="E62" s="744"/>
    </row>
    <row r="63" spans="1:13" s="5" customFormat="1">
      <c r="A63" s="53"/>
      <c r="B63" s="761" t="s">
        <v>232</v>
      </c>
      <c r="C63" s="761"/>
      <c r="D63" s="53" t="s">
        <v>233</v>
      </c>
      <c r="E63" s="53" t="s">
        <v>177</v>
      </c>
    </row>
    <row r="64" spans="1:13" s="5" customFormat="1">
      <c r="A64" s="36" t="s">
        <v>190</v>
      </c>
      <c r="B64" s="844" t="s">
        <v>235</v>
      </c>
      <c r="C64" s="844"/>
      <c r="D64" s="364">
        <f>D38</f>
        <v>0.20450000000000002</v>
      </c>
      <c r="E64" s="44">
        <f>E38</f>
        <v>632.92750000000001</v>
      </c>
    </row>
    <row r="65" spans="1:7" s="5" customFormat="1">
      <c r="A65" s="36" t="s">
        <v>197</v>
      </c>
      <c r="B65" s="844" t="s">
        <v>236</v>
      </c>
      <c r="C65" s="844"/>
      <c r="D65" s="364">
        <f>D50</f>
        <v>0.35800000000000004</v>
      </c>
      <c r="E65" s="44">
        <f>E50</f>
        <v>1334.5980449999997</v>
      </c>
    </row>
    <row r="66" spans="1:7" s="5" customFormat="1">
      <c r="A66" s="36" t="s">
        <v>213</v>
      </c>
      <c r="B66" s="844" t="s">
        <v>237</v>
      </c>
      <c r="C66" s="844"/>
      <c r="D66" s="364">
        <v>0</v>
      </c>
      <c r="E66" s="44">
        <f>E59</f>
        <v>969.3</v>
      </c>
    </row>
    <row r="67" spans="1:7" s="5" customFormat="1">
      <c r="A67" s="845" t="s">
        <v>240</v>
      </c>
      <c r="B67" s="845"/>
      <c r="C67" s="845"/>
      <c r="D67" s="365">
        <f>SUM(D64:D66)</f>
        <v>0.5625</v>
      </c>
      <c r="E67" s="49">
        <f>SUM(E64:E66)</f>
        <v>2936.8255449999997</v>
      </c>
    </row>
    <row r="68" spans="1:7" s="5" customFormat="1">
      <c r="A68" s="18"/>
      <c r="B68" s="18"/>
      <c r="C68" s="18"/>
      <c r="D68" s="351"/>
      <c r="E68" s="359"/>
    </row>
    <row r="69" spans="1:7" s="5" customFormat="1">
      <c r="A69" s="757" t="s">
        <v>241</v>
      </c>
      <c r="B69" s="758"/>
      <c r="C69" s="758"/>
      <c r="D69" s="758"/>
      <c r="E69" s="758"/>
    </row>
    <row r="70" spans="1:7" s="5" customFormat="1">
      <c r="A70" s="759" t="s">
        <v>241</v>
      </c>
      <c r="B70" s="759"/>
      <c r="C70" s="759"/>
      <c r="D70" s="759"/>
      <c r="E70" s="759"/>
    </row>
    <row r="71" spans="1:7" s="5" customFormat="1">
      <c r="A71" s="53">
        <v>3</v>
      </c>
      <c r="B71" s="761" t="s">
        <v>242</v>
      </c>
      <c r="C71" s="761"/>
      <c r="D71" s="53" t="s">
        <v>233</v>
      </c>
      <c r="E71" s="53" t="s">
        <v>177</v>
      </c>
    </row>
    <row r="72" spans="1:7" s="5" customFormat="1">
      <c r="A72" s="36" t="s">
        <v>178</v>
      </c>
      <c r="B72" s="849" t="s">
        <v>331</v>
      </c>
      <c r="C72" s="848"/>
      <c r="D72" s="290">
        <f>'Assistente Adm I'!D72</f>
        <v>4.1666666666666666E-3</v>
      </c>
      <c r="E72" s="44">
        <f>D72*$E$31</f>
        <v>12.895833333333334</v>
      </c>
      <c r="G72" s="355"/>
    </row>
    <row r="73" spans="1:7" s="5" customFormat="1" ht="14.25" customHeight="1">
      <c r="A73" s="36" t="s">
        <v>193</v>
      </c>
      <c r="B73" s="848" t="s">
        <v>332</v>
      </c>
      <c r="C73" s="848"/>
      <c r="D73" s="71">
        <f>D49*D72</f>
        <v>3.3333333333333332E-4</v>
      </c>
      <c r="E73" s="44">
        <f>D49*E72</f>
        <v>1.0316666666666667</v>
      </c>
      <c r="G73" s="347"/>
    </row>
    <row r="74" spans="1:7" s="5" customFormat="1" ht="14.25" customHeight="1">
      <c r="A74" s="36" t="s">
        <v>117</v>
      </c>
      <c r="B74" s="858" t="s">
        <v>350</v>
      </c>
      <c r="C74" s="860"/>
      <c r="D74" s="71">
        <v>3.44E-2</v>
      </c>
      <c r="E74" s="44">
        <f>D74*$E$31</f>
        <v>106.468</v>
      </c>
      <c r="G74" s="347"/>
    </row>
    <row r="75" spans="1:7" s="5" customFormat="1">
      <c r="A75" s="36" t="s">
        <v>156</v>
      </c>
      <c r="B75" s="849" t="s">
        <v>360</v>
      </c>
      <c r="C75" s="848"/>
      <c r="D75" s="290">
        <f>'Assistente Adm I'!D75</f>
        <v>1.9444444444444445E-2</v>
      </c>
      <c r="E75" s="44">
        <f>D75*$E$31</f>
        <v>60.180555555555557</v>
      </c>
      <c r="G75" s="348"/>
    </row>
    <row r="76" spans="1:7" s="5" customFormat="1" ht="28.5" customHeight="1">
      <c r="A76" s="36" t="s">
        <v>183</v>
      </c>
      <c r="B76" s="848" t="s">
        <v>335</v>
      </c>
      <c r="C76" s="848"/>
      <c r="D76" s="71">
        <f>D50*D75</f>
        <v>6.9611111111111124E-3</v>
      </c>
      <c r="E76" s="44">
        <f>D50*E75</f>
        <v>21.54463888888889</v>
      </c>
    </row>
    <row r="77" spans="1:7" s="5" customFormat="1" ht="26.25" customHeight="1">
      <c r="A77" s="36" t="s">
        <v>205</v>
      </c>
      <c r="B77" s="865" t="s">
        <v>361</v>
      </c>
      <c r="C77" s="848"/>
      <c r="D77" s="71">
        <v>5.5999999999999999E-3</v>
      </c>
      <c r="E77" s="44">
        <f>D77*$E$31</f>
        <v>17.332000000000001</v>
      </c>
    </row>
    <row r="78" spans="1:7" s="5" customFormat="1">
      <c r="A78" s="845" t="s">
        <v>250</v>
      </c>
      <c r="B78" s="845"/>
      <c r="C78" s="845"/>
      <c r="D78" s="365">
        <f>SUM(D72:D77)</f>
        <v>7.0905555555555555E-2</v>
      </c>
      <c r="E78" s="49">
        <f>SUM(E72:E77)</f>
        <v>219.45269444444446</v>
      </c>
    </row>
    <row r="79" spans="1:7" s="5" customFormat="1">
      <c r="A79" s="18"/>
      <c r="B79" s="18"/>
      <c r="C79" s="18"/>
      <c r="D79" s="351"/>
      <c r="E79" s="359"/>
    </row>
    <row r="80" spans="1:7" s="5" customFormat="1">
      <c r="A80" s="757" t="s">
        <v>251</v>
      </c>
      <c r="B80" s="758"/>
      <c r="C80" s="758"/>
      <c r="D80" s="758"/>
      <c r="E80" s="758"/>
    </row>
    <row r="81" spans="1:10" s="5" customFormat="1">
      <c r="A81" s="842" t="s">
        <v>252</v>
      </c>
      <c r="B81" s="842"/>
      <c r="C81" s="842"/>
      <c r="D81" s="842"/>
      <c r="E81" s="842"/>
    </row>
    <row r="82" spans="1:10" s="5" customFormat="1">
      <c r="A82" s="852" t="s">
        <v>337</v>
      </c>
      <c r="B82" s="853"/>
      <c r="C82" s="853"/>
      <c r="D82" s="854"/>
      <c r="E82" s="367">
        <f>(E31+E38+E50)</f>
        <v>5062.5255449999995</v>
      </c>
    </row>
    <row r="83" spans="1:10" s="5" customFormat="1">
      <c r="A83" s="293" t="s">
        <v>253</v>
      </c>
      <c r="B83" s="843" t="s">
        <v>254</v>
      </c>
      <c r="C83" s="843"/>
      <c r="D83" s="293" t="s">
        <v>233</v>
      </c>
      <c r="E83" s="293" t="s">
        <v>177</v>
      </c>
    </row>
    <row r="84" spans="1:10" s="5" customFormat="1">
      <c r="A84" s="36" t="s">
        <v>178</v>
      </c>
      <c r="B84" s="739" t="s">
        <v>338</v>
      </c>
      <c r="C84" s="739"/>
      <c r="D84" s="290">
        <f>((1/3*1/12)+1/12+1/12)/11</f>
        <v>1.7676767676767676E-2</v>
      </c>
      <c r="E84" s="44">
        <f>D84*(E31+E50)</f>
        <v>78.30097554292928</v>
      </c>
      <c r="G84" s="350"/>
      <c r="H84" s="596">
        <f>((1/3*1/12)+1/12+1/12)/11</f>
        <v>1.7676767676767676E-2</v>
      </c>
      <c r="I84" s="30"/>
      <c r="J84" s="30"/>
    </row>
    <row r="85" spans="1:10" s="5" customFormat="1">
      <c r="A85" s="36" t="s">
        <v>193</v>
      </c>
      <c r="B85" s="739" t="s">
        <v>254</v>
      </c>
      <c r="C85" s="739"/>
      <c r="D85" s="290">
        <f>'Assistente Adm I'!D85</f>
        <v>2.8E-3</v>
      </c>
      <c r="E85" s="44">
        <f>D85*$E$82</f>
        <v>14.175071525999998</v>
      </c>
      <c r="J85" s="350"/>
    </row>
    <row r="86" spans="1:10" s="5" customFormat="1">
      <c r="A86" s="36" t="s">
        <v>245</v>
      </c>
      <c r="B86" s="739" t="s">
        <v>362</v>
      </c>
      <c r="C86" s="739"/>
      <c r="D86" s="290">
        <f>'Assistente Adm I'!D86</f>
        <v>2.0000000000000001E-4</v>
      </c>
      <c r="E86" s="44">
        <f>D86*$E$82</f>
        <v>1.0125051089999999</v>
      </c>
    </row>
    <row r="87" spans="1:10" s="5" customFormat="1">
      <c r="A87" s="36" t="s">
        <v>118</v>
      </c>
      <c r="B87" s="739" t="s">
        <v>340</v>
      </c>
      <c r="C87" s="739"/>
      <c r="D87" s="290">
        <f>'Assistente Adm I'!D87</f>
        <v>6.9999999999999999E-4</v>
      </c>
      <c r="E87" s="44">
        <f>D87*$E$82</f>
        <v>3.5437678814999996</v>
      </c>
    </row>
    <row r="88" spans="1:10" s="5" customFormat="1">
      <c r="A88" s="36" t="s">
        <v>119</v>
      </c>
      <c r="B88" s="739" t="s">
        <v>258</v>
      </c>
      <c r="C88" s="739"/>
      <c r="D88" s="290">
        <f>'Assistente Adm I'!D88</f>
        <v>2E-3</v>
      </c>
      <c r="E88" s="44">
        <f>D88*$E$82</f>
        <v>10.125051089999999</v>
      </c>
    </row>
    <row r="89" spans="1:10" s="5" customFormat="1">
      <c r="A89" s="36" t="s">
        <v>185</v>
      </c>
      <c r="B89" s="844" t="s">
        <v>259</v>
      </c>
      <c r="C89" s="844"/>
      <c r="D89" s="71">
        <v>0</v>
      </c>
      <c r="E89" s="44">
        <f t="shared" ref="E89" si="1">D89*$E$31</f>
        <v>0</v>
      </c>
    </row>
    <row r="90" spans="1:10" s="5" customFormat="1">
      <c r="A90" s="796" t="s">
        <v>260</v>
      </c>
      <c r="B90" s="796"/>
      <c r="C90" s="796"/>
      <c r="D90" s="72">
        <f>SUM(D84:D89)</f>
        <v>2.3376767676767676E-2</v>
      </c>
      <c r="E90" s="49">
        <f>SUM(E84:E89)</f>
        <v>107.15737114942928</v>
      </c>
    </row>
    <row r="91" spans="1:10" s="5" customFormat="1">
      <c r="A91" s="18"/>
      <c r="B91" s="18"/>
      <c r="C91" s="18"/>
      <c r="D91" s="351"/>
      <c r="E91" s="359"/>
    </row>
    <row r="92" spans="1:10" s="5" customFormat="1">
      <c r="A92" s="759" t="s">
        <v>261</v>
      </c>
      <c r="B92" s="759"/>
      <c r="C92" s="759"/>
      <c r="D92" s="759"/>
      <c r="E92" s="759"/>
    </row>
    <row r="93" spans="1:10" s="5" customFormat="1">
      <c r="A93" s="53" t="s">
        <v>262</v>
      </c>
      <c r="B93" s="760" t="s">
        <v>263</v>
      </c>
      <c r="C93" s="760"/>
      <c r="D93" s="53" t="s">
        <v>233</v>
      </c>
      <c r="E93" s="53" t="s">
        <v>177</v>
      </c>
    </row>
    <row r="94" spans="1:10">
      <c r="A94" s="36" t="s">
        <v>178</v>
      </c>
      <c r="B94" s="739" t="s">
        <v>264</v>
      </c>
      <c r="C94" s="739"/>
      <c r="D94" s="76">
        <v>0</v>
      </c>
      <c r="E94" s="44">
        <f>(E31+E67+E78)/220*1*15*D94</f>
        <v>0</v>
      </c>
    </row>
    <row r="95" spans="1:10">
      <c r="A95" s="845" t="s">
        <v>265</v>
      </c>
      <c r="B95" s="845"/>
      <c r="C95" s="845"/>
      <c r="D95" s="845"/>
      <c r="E95" s="49">
        <f>E94</f>
        <v>0</v>
      </c>
    </row>
    <row r="96" spans="1:10">
      <c r="A96" s="855"/>
      <c r="B96" s="856"/>
      <c r="C96" s="856"/>
      <c r="D96" s="856"/>
      <c r="E96" s="857"/>
    </row>
    <row r="97" spans="1:5">
      <c r="A97" s="744" t="s">
        <v>266</v>
      </c>
      <c r="B97" s="744"/>
      <c r="C97" s="744"/>
      <c r="D97" s="744"/>
      <c r="E97" s="744"/>
    </row>
    <row r="98" spans="1:5">
      <c r="A98" s="53"/>
      <c r="B98" s="761" t="s">
        <v>267</v>
      </c>
      <c r="C98" s="761"/>
      <c r="D98" s="53" t="s">
        <v>233</v>
      </c>
      <c r="E98" s="53" t="s">
        <v>177</v>
      </c>
    </row>
    <row r="99" spans="1:5">
      <c r="A99" s="36" t="s">
        <v>253</v>
      </c>
      <c r="B99" s="844" t="s">
        <v>254</v>
      </c>
      <c r="C99" s="844"/>
      <c r="D99" s="364">
        <f>D90</f>
        <v>2.3376767676767676E-2</v>
      </c>
      <c r="E99" s="44">
        <f>E90</f>
        <v>107.15737114942928</v>
      </c>
    </row>
    <row r="100" spans="1:5">
      <c r="A100" s="36" t="s">
        <v>262</v>
      </c>
      <c r="B100" s="844" t="s">
        <v>263</v>
      </c>
      <c r="C100" s="844"/>
      <c r="D100" s="71">
        <v>0</v>
      </c>
      <c r="E100" s="44">
        <f>E95</f>
        <v>0</v>
      </c>
    </row>
    <row r="101" spans="1:5">
      <c r="A101" s="845" t="s">
        <v>268</v>
      </c>
      <c r="B101" s="845"/>
      <c r="C101" s="845"/>
      <c r="D101" s="365">
        <f>SUM(D99:D100)</f>
        <v>2.3376767676767676E-2</v>
      </c>
      <c r="E101" s="49">
        <f>E99+E100</f>
        <v>107.15737114942928</v>
      </c>
    </row>
    <row r="102" spans="1:5">
      <c r="A102" s="13"/>
      <c r="B102" s="18"/>
      <c r="C102" s="18"/>
      <c r="D102" s="351"/>
      <c r="E102" s="359"/>
    </row>
    <row r="103" spans="1:5">
      <c r="A103" s="757" t="s">
        <v>269</v>
      </c>
      <c r="B103" s="758"/>
      <c r="C103" s="758"/>
      <c r="D103" s="758"/>
      <c r="E103" s="758"/>
    </row>
    <row r="104" spans="1:5">
      <c r="A104" s="759" t="s">
        <v>269</v>
      </c>
      <c r="B104" s="759"/>
      <c r="C104" s="759"/>
      <c r="D104" s="759"/>
      <c r="E104" s="759"/>
    </row>
    <row r="105" spans="1:5">
      <c r="A105" s="53">
        <v>5</v>
      </c>
      <c r="B105" s="761" t="s">
        <v>270</v>
      </c>
      <c r="C105" s="761"/>
      <c r="D105" s="761"/>
      <c r="E105" s="53" t="s">
        <v>177</v>
      </c>
    </row>
    <row r="106" spans="1:5">
      <c r="A106" s="36" t="s">
        <v>178</v>
      </c>
      <c r="B106" s="844" t="s">
        <v>271</v>
      </c>
      <c r="C106" s="844"/>
      <c r="D106" s="844"/>
      <c r="E106" s="44">
        <v>0</v>
      </c>
    </row>
    <row r="107" spans="1:5">
      <c r="A107" s="36" t="s">
        <v>193</v>
      </c>
      <c r="B107" s="844" t="s">
        <v>363</v>
      </c>
      <c r="C107" s="844"/>
      <c r="D107" s="844"/>
      <c r="E107" s="44">
        <v>0</v>
      </c>
    </row>
    <row r="108" spans="1:5" s="5" customFormat="1">
      <c r="A108" s="845" t="s">
        <v>276</v>
      </c>
      <c r="B108" s="845"/>
      <c r="C108" s="845"/>
      <c r="D108" s="845"/>
      <c r="E108" s="49">
        <f>SUM(E106:E107)</f>
        <v>0</v>
      </c>
    </row>
    <row r="109" spans="1:5">
      <c r="E109" s="360">
        <f>D67+D78+D101</f>
        <v>0.65678232323232322</v>
      </c>
    </row>
    <row r="110" spans="1:5">
      <c r="A110" s="29"/>
      <c r="B110" s="29"/>
      <c r="C110" s="29"/>
      <c r="D110" s="29"/>
      <c r="E110" s="351"/>
    </row>
    <row r="111" spans="1:5">
      <c r="A111" s="861" t="s">
        <v>278</v>
      </c>
      <c r="B111" s="861"/>
      <c r="C111" s="861"/>
      <c r="D111" s="861"/>
      <c r="E111" s="861"/>
    </row>
    <row r="112" spans="1:5" s="6" customFormat="1">
      <c r="A112" s="759" t="s">
        <v>278</v>
      </c>
      <c r="B112" s="759"/>
      <c r="C112" s="759"/>
      <c r="D112" s="759"/>
      <c r="E112" s="759"/>
    </row>
    <row r="113" spans="1:13">
      <c r="A113" s="53">
        <v>6</v>
      </c>
      <c r="B113" s="760" t="s">
        <v>279</v>
      </c>
      <c r="C113" s="760"/>
      <c r="D113" s="53" t="s">
        <v>176</v>
      </c>
      <c r="E113" s="53" t="s">
        <v>177</v>
      </c>
      <c r="F113" s="380"/>
    </row>
    <row r="114" spans="1:13">
      <c r="A114" s="354" t="s">
        <v>178</v>
      </c>
      <c r="B114" s="844" t="s">
        <v>280</v>
      </c>
      <c r="C114" s="844"/>
      <c r="D114" s="290">
        <v>0.05</v>
      </c>
      <c r="E114" s="44">
        <f>D114*E129</f>
        <v>317.92178052969371</v>
      </c>
      <c r="F114" s="380" t="e">
        <f>#REF!</f>
        <v>#REF!</v>
      </c>
      <c r="L114" s="545"/>
      <c r="M114" s="30"/>
    </row>
    <row r="115" spans="1:13">
      <c r="A115" s="354" t="s">
        <v>193</v>
      </c>
      <c r="B115" s="844" t="s">
        <v>281</v>
      </c>
      <c r="C115" s="844"/>
      <c r="D115" s="290">
        <v>0.05</v>
      </c>
      <c r="E115" s="44">
        <f>D115*(E114+E129)</f>
        <v>333.81786955617838</v>
      </c>
      <c r="F115" s="380" t="e">
        <f>#REF!</f>
        <v>#REF!</v>
      </c>
      <c r="L115" s="545"/>
      <c r="M115" s="30"/>
    </row>
    <row r="116" spans="1:13">
      <c r="A116" s="862" t="s">
        <v>117</v>
      </c>
      <c r="B116" s="845" t="s">
        <v>282</v>
      </c>
      <c r="C116" s="845"/>
      <c r="D116" s="72"/>
      <c r="E116" s="49"/>
      <c r="F116" s="380" t="e">
        <f>F115-F114</f>
        <v>#REF!</v>
      </c>
    </row>
    <row r="117" spans="1:13">
      <c r="A117" s="862"/>
      <c r="B117" s="844" t="s">
        <v>283</v>
      </c>
      <c r="C117" s="844"/>
      <c r="D117" s="290">
        <f>'Assistente Adm I'!D117</f>
        <v>6.4999999999999997E-3</v>
      </c>
      <c r="E117" s="44">
        <f>($E$114+$E$115+$E$129)/(1-($D$117+$D$118+$D$119))*D117</f>
        <v>49.880831083107111</v>
      </c>
      <c r="F117" s="380"/>
    </row>
    <row r="118" spans="1:13">
      <c r="A118" s="862"/>
      <c r="B118" s="844" t="s">
        <v>284</v>
      </c>
      <c r="C118" s="844"/>
      <c r="D118" s="290">
        <f>'Assistente Adm I'!D118</f>
        <v>0.03</v>
      </c>
      <c r="E118" s="44">
        <f>($E$114+$E$115+$E$129)/(1-($D$117+$D$118+$D$119))*D118</f>
        <v>230.21922038357127</v>
      </c>
      <c r="F118" s="380"/>
    </row>
    <row r="119" spans="1:13" s="3" customFormat="1">
      <c r="A119" s="862"/>
      <c r="B119" s="844" t="s">
        <v>343</v>
      </c>
      <c r="C119" s="844"/>
      <c r="D119" s="290">
        <f>'Assistente Adm I'!D119</f>
        <v>0.05</v>
      </c>
      <c r="E119" s="44">
        <f>($E$114+$E$115+$E$129)/(1-($D$117+$D$118+$D$119))*D119</f>
        <v>383.69870063928551</v>
      </c>
      <c r="F119" s="380"/>
    </row>
    <row r="120" spans="1:13">
      <c r="A120" s="740" t="s">
        <v>286</v>
      </c>
      <c r="B120" s="740"/>
      <c r="C120" s="740"/>
      <c r="D120" s="72">
        <f>SUM(D114:D119)</f>
        <v>0.1865</v>
      </c>
      <c r="E120" s="49">
        <f>SUM(E114:E119)</f>
        <v>1315.538402191836</v>
      </c>
      <c r="F120" s="380"/>
    </row>
    <row r="121" spans="1:13">
      <c r="D121" s="366"/>
      <c r="F121" s="380"/>
    </row>
    <row r="122" spans="1:13">
      <c r="A122" s="744" t="s">
        <v>287</v>
      </c>
      <c r="B122" s="744"/>
      <c r="C122" s="744"/>
      <c r="D122" s="744"/>
      <c r="E122" s="744"/>
      <c r="F122" s="380"/>
    </row>
    <row r="123" spans="1:13">
      <c r="A123" s="740" t="s">
        <v>288</v>
      </c>
      <c r="B123" s="740"/>
      <c r="C123" s="740"/>
      <c r="D123" s="740"/>
      <c r="E123" s="53" t="s">
        <v>289</v>
      </c>
    </row>
    <row r="124" spans="1:13">
      <c r="A124" s="36" t="s">
        <v>178</v>
      </c>
      <c r="B124" s="739" t="s">
        <v>290</v>
      </c>
      <c r="C124" s="739"/>
      <c r="D124" s="739"/>
      <c r="E124" s="361">
        <f>E31</f>
        <v>3095</v>
      </c>
    </row>
    <row r="125" spans="1:13">
      <c r="A125" s="36" t="s">
        <v>193</v>
      </c>
      <c r="B125" s="739" t="s">
        <v>291</v>
      </c>
      <c r="C125" s="739"/>
      <c r="D125" s="739"/>
      <c r="E125" s="362">
        <f>E67</f>
        <v>2936.8255449999997</v>
      </c>
    </row>
    <row r="126" spans="1:13">
      <c r="A126" s="36" t="s">
        <v>245</v>
      </c>
      <c r="B126" s="739" t="s">
        <v>292</v>
      </c>
      <c r="C126" s="739"/>
      <c r="D126" s="739"/>
      <c r="E126" s="362">
        <f>E78</f>
        <v>219.45269444444446</v>
      </c>
    </row>
    <row r="127" spans="1:13">
      <c r="A127" s="36" t="s">
        <v>118</v>
      </c>
      <c r="B127" s="739" t="s">
        <v>293</v>
      </c>
      <c r="C127" s="739"/>
      <c r="D127" s="739"/>
      <c r="E127" s="362">
        <f>E101</f>
        <v>107.15737114942928</v>
      </c>
    </row>
    <row r="128" spans="1:13">
      <c r="A128" s="36" t="s">
        <v>119</v>
      </c>
      <c r="B128" s="858" t="s">
        <v>294</v>
      </c>
      <c r="C128" s="859"/>
      <c r="D128" s="860"/>
      <c r="E128" s="361">
        <f>E108</f>
        <v>0</v>
      </c>
    </row>
    <row r="129" spans="1:12">
      <c r="A129" s="740" t="s">
        <v>295</v>
      </c>
      <c r="B129" s="740"/>
      <c r="C129" s="740"/>
      <c r="D129" s="740"/>
      <c r="E129" s="41">
        <f>SUM(E124:E128)</f>
        <v>6358.4356105938732</v>
      </c>
      <c r="L129" s="380"/>
    </row>
    <row r="130" spans="1:12" s="5" customFormat="1">
      <c r="A130" s="36" t="s">
        <v>185</v>
      </c>
      <c r="B130" s="739" t="s">
        <v>296</v>
      </c>
      <c r="C130" s="739"/>
      <c r="D130" s="739"/>
      <c r="E130" s="362">
        <f>E120</f>
        <v>1315.538402191836</v>
      </c>
    </row>
    <row r="131" spans="1:12">
      <c r="A131" s="740" t="s">
        <v>297</v>
      </c>
      <c r="B131" s="740"/>
      <c r="C131" s="740"/>
      <c r="D131" s="740"/>
      <c r="E131" s="41">
        <f>SUM(E129:E130)</f>
        <v>7673.9740127857094</v>
      </c>
      <c r="L131" s="546"/>
    </row>
    <row r="132" spans="1:12">
      <c r="E132" s="363"/>
    </row>
    <row r="133" spans="1:12">
      <c r="E133" s="31"/>
    </row>
    <row r="135" spans="1:12">
      <c r="E135" s="363"/>
      <c r="F135" s="1" t="s">
        <v>570</v>
      </c>
    </row>
  </sheetData>
  <mergeCells count="127">
    <mergeCell ref="A5:E5"/>
    <mergeCell ref="A7:E7"/>
    <mergeCell ref="B8:C8"/>
    <mergeCell ref="D8:E8"/>
    <mergeCell ref="B9:C9"/>
    <mergeCell ref="D9:E9"/>
    <mergeCell ref="A6:E6"/>
    <mergeCell ref="A2:E2"/>
    <mergeCell ref="A4:E4"/>
    <mergeCell ref="B15:C15"/>
    <mergeCell ref="A17:E17"/>
    <mergeCell ref="A18:E18"/>
    <mergeCell ref="B19:C19"/>
    <mergeCell ref="D19:E19"/>
    <mergeCell ref="B20:C20"/>
    <mergeCell ref="D20:E20"/>
    <mergeCell ref="B10:C10"/>
    <mergeCell ref="D10:E10"/>
    <mergeCell ref="B11:C11"/>
    <mergeCell ref="D11:E11"/>
    <mergeCell ref="A13:E13"/>
    <mergeCell ref="B14:C14"/>
    <mergeCell ref="B24:C24"/>
    <mergeCell ref="D24:E24"/>
    <mergeCell ref="B25:C25"/>
    <mergeCell ref="D25:E25"/>
    <mergeCell ref="A26:E26"/>
    <mergeCell ref="A27:E27"/>
    <mergeCell ref="B21:C21"/>
    <mergeCell ref="B22:C22"/>
    <mergeCell ref="D22:E22"/>
    <mergeCell ref="B23:C23"/>
    <mergeCell ref="D23:E23"/>
    <mergeCell ref="B35:C35"/>
    <mergeCell ref="B36:C36"/>
    <mergeCell ref="A38:C38"/>
    <mergeCell ref="A40:E40"/>
    <mergeCell ref="B41:C41"/>
    <mergeCell ref="B42:C42"/>
    <mergeCell ref="B28:C28"/>
    <mergeCell ref="B29:C29"/>
    <mergeCell ref="B30:C30"/>
    <mergeCell ref="A31:D31"/>
    <mergeCell ref="A33:E33"/>
    <mergeCell ref="A34:E34"/>
    <mergeCell ref="B47:C47"/>
    <mergeCell ref="B48:C48"/>
    <mergeCell ref="B49:C49"/>
    <mergeCell ref="A50:C50"/>
    <mergeCell ref="A52:E52"/>
    <mergeCell ref="B53:C53"/>
    <mergeCell ref="F42:I42"/>
    <mergeCell ref="B43:C43"/>
    <mergeCell ref="B44:C44"/>
    <mergeCell ref="F44:I44"/>
    <mergeCell ref="B45:C45"/>
    <mergeCell ref="B46:C46"/>
    <mergeCell ref="B63:C63"/>
    <mergeCell ref="B64:C64"/>
    <mergeCell ref="B65:C65"/>
    <mergeCell ref="B66:C66"/>
    <mergeCell ref="A67:C67"/>
    <mergeCell ref="A69:E69"/>
    <mergeCell ref="B54:C54"/>
    <mergeCell ref="B55:C55"/>
    <mergeCell ref="B58:C58"/>
    <mergeCell ref="A59:D59"/>
    <mergeCell ref="A61:E61"/>
    <mergeCell ref="A62:E62"/>
    <mergeCell ref="B77:C77"/>
    <mergeCell ref="A78:C78"/>
    <mergeCell ref="A80:E80"/>
    <mergeCell ref="A81:E81"/>
    <mergeCell ref="A82:D82"/>
    <mergeCell ref="B83:C83"/>
    <mergeCell ref="A70:E70"/>
    <mergeCell ref="B71:C71"/>
    <mergeCell ref="B72:C72"/>
    <mergeCell ref="B73:C73"/>
    <mergeCell ref="B75:C75"/>
    <mergeCell ref="B76:C76"/>
    <mergeCell ref="B74:C74"/>
    <mergeCell ref="A90:C90"/>
    <mergeCell ref="A92:E92"/>
    <mergeCell ref="B93:C93"/>
    <mergeCell ref="B94:C94"/>
    <mergeCell ref="A95:D95"/>
    <mergeCell ref="A96:E96"/>
    <mergeCell ref="B84:C84"/>
    <mergeCell ref="B85:C85"/>
    <mergeCell ref="B86:C86"/>
    <mergeCell ref="B87:C87"/>
    <mergeCell ref="B88:C88"/>
    <mergeCell ref="B89:C89"/>
    <mergeCell ref="B107:D107"/>
    <mergeCell ref="A108:D108"/>
    <mergeCell ref="A111:E111"/>
    <mergeCell ref="A97:E97"/>
    <mergeCell ref="B98:C98"/>
    <mergeCell ref="B99:C99"/>
    <mergeCell ref="B100:C100"/>
    <mergeCell ref="A101:C101"/>
    <mergeCell ref="A103:E103"/>
    <mergeCell ref="B127:D127"/>
    <mergeCell ref="B128:D128"/>
    <mergeCell ref="A129:D129"/>
    <mergeCell ref="B130:D130"/>
    <mergeCell ref="A131:D131"/>
    <mergeCell ref="B56:C56"/>
    <mergeCell ref="A120:C120"/>
    <mergeCell ref="A122:E122"/>
    <mergeCell ref="A123:D123"/>
    <mergeCell ref="B124:D124"/>
    <mergeCell ref="B125:D125"/>
    <mergeCell ref="B126:D126"/>
    <mergeCell ref="A112:E112"/>
    <mergeCell ref="B113:C113"/>
    <mergeCell ref="B114:C114"/>
    <mergeCell ref="B115:C115"/>
    <mergeCell ref="A116:A119"/>
    <mergeCell ref="B116:C116"/>
    <mergeCell ref="B117:C117"/>
    <mergeCell ref="B118:C118"/>
    <mergeCell ref="B119:C119"/>
    <mergeCell ref="A104:E104"/>
    <mergeCell ref="B105:D105"/>
    <mergeCell ref="B106:D106"/>
  </mergeCells>
  <pageMargins left="0.51181102362204722" right="0.51181102362204722" top="1.0629921259842521" bottom="0.98425196850393704" header="0.31496062992125984" footer="0.31496062992125984"/>
  <pageSetup paperSize="9" scale="70" fitToHeight="0" orientation="portrait" r:id="rId1"/>
  <headerFooter>
    <oddHeader>&amp;L&amp;G</oddHeader>
    <oddFooter>&amp;L&amp;G&amp;RPágina &amp;P</oddFooter>
  </headerFooter>
  <rowBreaks count="1" manualBreakCount="1">
    <brk id="67" max="4" man="1"/>
  </rowBreaks>
  <colBreaks count="1" manualBreakCount="1">
    <brk id="5" max="1048575" man="1"/>
  </colBreaks>
  <legacy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1555-30A0-47FE-94C9-ACABE3BA777B}">
  <sheetPr codeName="Planilha16">
    <tabColor theme="0"/>
  </sheetPr>
  <dimension ref="A2:M133"/>
  <sheetViews>
    <sheetView topLeftCell="A48" zoomScaleNormal="100" zoomScaleSheetLayoutView="100" workbookViewId="0">
      <selection activeCell="E57" sqref="E57"/>
    </sheetView>
  </sheetViews>
  <sheetFormatPr defaultColWidth="9.140625" defaultRowHeight="14.25"/>
  <cols>
    <col min="1" max="1" width="7.28515625" style="2" customWidth="1"/>
    <col min="2" max="2" width="31.5703125" style="1" customWidth="1"/>
    <col min="3" max="3" width="35.140625" style="1" customWidth="1"/>
    <col min="4" max="4" width="17.85546875" style="2" customWidth="1"/>
    <col min="5" max="5" width="23.5703125" style="6" customWidth="1"/>
    <col min="6" max="6" width="18.85546875" style="1" hidden="1" customWidth="1"/>
    <col min="7" max="7" width="12.28515625" style="1" customWidth="1"/>
    <col min="8" max="8" width="11.28515625" style="1" bestFit="1" customWidth="1"/>
    <col min="9" max="9" width="9.140625" style="1"/>
    <col min="10" max="10" width="11.5703125" style="1" bestFit="1" customWidth="1"/>
    <col min="11" max="11" width="9.140625" style="1"/>
    <col min="12" max="12" width="14.28515625" style="1" bestFit="1" customWidth="1"/>
    <col min="13" max="13" width="10.5703125" style="1" bestFit="1" customWidth="1"/>
    <col min="14" max="16384" width="9.140625" style="1"/>
  </cols>
  <sheetData>
    <row r="2" spans="1:5">
      <c r="A2" s="828" t="s">
        <v>352</v>
      </c>
      <c r="B2" s="829"/>
      <c r="C2" s="829"/>
      <c r="D2" s="829"/>
      <c r="E2" s="829"/>
    </row>
    <row r="3" spans="1:5">
      <c r="A3" s="29"/>
      <c r="B3" s="29"/>
      <c r="C3" s="29"/>
      <c r="D3" s="29"/>
      <c r="E3" s="29"/>
    </row>
    <row r="4" spans="1:5" ht="15.75">
      <c r="A4" s="816" t="s">
        <v>364</v>
      </c>
      <c r="B4" s="816"/>
      <c r="C4" s="816"/>
      <c r="D4" s="816"/>
      <c r="E4" s="816"/>
    </row>
    <row r="5" spans="1:5" ht="15.75">
      <c r="A5" s="868" t="str">
        <f>'Assistente Adm I'!A5:E5</f>
        <v>Pregão Eletrônico nº ******</v>
      </c>
      <c r="B5" s="868"/>
      <c r="C5" s="868"/>
      <c r="D5" s="868"/>
      <c r="E5" s="868"/>
    </row>
    <row r="6" spans="1:5">
      <c r="A6" s="837" t="s">
        <v>354</v>
      </c>
      <c r="B6" s="838"/>
      <c r="C6" s="838"/>
      <c r="D6" s="838"/>
      <c r="E6" s="838"/>
    </row>
    <row r="7" spans="1:5">
      <c r="A7" s="750" t="s">
        <v>150</v>
      </c>
      <c r="B7" s="750"/>
      <c r="C7" s="750"/>
      <c r="D7" s="750"/>
      <c r="E7" s="750"/>
    </row>
    <row r="8" spans="1:5">
      <c r="A8" s="295" t="s">
        <v>115</v>
      </c>
      <c r="B8" s="770" t="s">
        <v>151</v>
      </c>
      <c r="C8" s="770"/>
      <c r="D8" s="831"/>
      <c r="E8" s="832"/>
    </row>
    <row r="9" spans="1:5">
      <c r="A9" s="295" t="s">
        <v>116</v>
      </c>
      <c r="B9" s="770" t="s">
        <v>152</v>
      </c>
      <c r="C9" s="770"/>
      <c r="D9" s="813" t="s">
        <v>303</v>
      </c>
      <c r="E9" s="814"/>
    </row>
    <row r="10" spans="1:5">
      <c r="A10" s="295" t="s">
        <v>117</v>
      </c>
      <c r="B10" s="770" t="s">
        <v>154</v>
      </c>
      <c r="C10" s="770"/>
      <c r="D10" s="866" t="s">
        <v>355</v>
      </c>
      <c r="E10" s="867"/>
    </row>
    <row r="11" spans="1:5">
      <c r="A11" s="295" t="s">
        <v>156</v>
      </c>
      <c r="B11" s="770" t="s">
        <v>157</v>
      </c>
      <c r="C11" s="770"/>
      <c r="D11" s="815">
        <v>12</v>
      </c>
      <c r="E11" s="815"/>
    </row>
    <row r="12" spans="1:5">
      <c r="A12" s="14"/>
      <c r="B12" s="15"/>
      <c r="C12" s="15"/>
      <c r="D12" s="14"/>
      <c r="E12" s="14"/>
    </row>
    <row r="13" spans="1:5">
      <c r="A13" s="750" t="s">
        <v>305</v>
      </c>
      <c r="B13" s="750"/>
      <c r="C13" s="750"/>
      <c r="D13" s="750"/>
      <c r="E13" s="750"/>
    </row>
    <row r="14" spans="1:5" ht="28.5">
      <c r="A14" s="296" t="s">
        <v>158</v>
      </c>
      <c r="B14" s="800" t="s">
        <v>159</v>
      </c>
      <c r="C14" s="768"/>
      <c r="D14" s="353" t="s">
        <v>160</v>
      </c>
      <c r="E14" s="296" t="s">
        <v>161</v>
      </c>
    </row>
    <row r="15" spans="1:5">
      <c r="A15" s="297">
        <v>1</v>
      </c>
      <c r="B15" s="839" t="s">
        <v>365</v>
      </c>
      <c r="C15" s="840"/>
      <c r="D15" s="370" t="s">
        <v>307</v>
      </c>
      <c r="E15" s="505"/>
    </row>
    <row r="16" spans="1:5">
      <c r="A16" s="14"/>
      <c r="B16" s="15"/>
      <c r="C16" s="16"/>
      <c r="D16" s="16"/>
      <c r="E16" s="349"/>
    </row>
    <row r="17" spans="1:8" ht="15.75">
      <c r="A17" s="808" t="s">
        <v>164</v>
      </c>
      <c r="B17" s="808"/>
      <c r="C17" s="808"/>
      <c r="D17" s="808"/>
      <c r="E17" s="808"/>
    </row>
    <row r="18" spans="1:8">
      <c r="A18" s="750" t="s">
        <v>165</v>
      </c>
      <c r="B18" s="750"/>
      <c r="C18" s="750"/>
      <c r="D18" s="750"/>
      <c r="E18" s="750"/>
    </row>
    <row r="19" spans="1:8" ht="14.25" customHeight="1">
      <c r="A19" s="295">
        <v>1</v>
      </c>
      <c r="B19" s="770" t="s">
        <v>166</v>
      </c>
      <c r="C19" s="770"/>
      <c r="D19" s="835" t="s">
        <v>366</v>
      </c>
      <c r="E19" s="836"/>
    </row>
    <row r="20" spans="1:8">
      <c r="A20" s="295">
        <v>2</v>
      </c>
      <c r="B20" s="788" t="s">
        <v>168</v>
      </c>
      <c r="C20" s="789"/>
      <c r="D20" s="855" t="s">
        <v>358</v>
      </c>
      <c r="E20" s="857"/>
      <c r="G20" s="34"/>
    </row>
    <row r="21" spans="1:8">
      <c r="A21" s="295">
        <v>3</v>
      </c>
      <c r="B21" s="770" t="s">
        <v>170</v>
      </c>
      <c r="C21" s="770"/>
      <c r="D21" s="511"/>
      <c r="E21" s="512">
        <v>5930.48</v>
      </c>
    </row>
    <row r="22" spans="1:8">
      <c r="A22" s="295">
        <v>4</v>
      </c>
      <c r="B22" s="770" t="s">
        <v>310</v>
      </c>
      <c r="C22" s="770"/>
      <c r="D22" s="822">
        <v>1518</v>
      </c>
      <c r="E22" s="823"/>
    </row>
    <row r="23" spans="1:8">
      <c r="A23" s="295">
        <v>5</v>
      </c>
      <c r="B23" s="770" t="s">
        <v>171</v>
      </c>
      <c r="C23" s="770"/>
      <c r="D23" s="832"/>
      <c r="E23" s="832"/>
    </row>
    <row r="24" spans="1:8">
      <c r="A24" s="295">
        <v>6</v>
      </c>
      <c r="B24" s="770" t="s">
        <v>173</v>
      </c>
      <c r="C24" s="770"/>
      <c r="D24" s="831">
        <v>45658</v>
      </c>
      <c r="E24" s="831"/>
    </row>
    <row r="25" spans="1:8">
      <c r="A25" s="295">
        <v>7</v>
      </c>
      <c r="B25" s="770" t="s">
        <v>312</v>
      </c>
      <c r="C25" s="770"/>
      <c r="D25" s="827" t="str">
        <f>'Assistente Adm I'!D25:E25</f>
        <v>LUCRO PRESUMIDO</v>
      </c>
      <c r="E25" s="827"/>
    </row>
    <row r="26" spans="1:8">
      <c r="A26" s="802"/>
      <c r="B26" s="802"/>
      <c r="C26" s="802"/>
      <c r="D26" s="802"/>
      <c r="E26" s="802"/>
    </row>
    <row r="27" spans="1:8">
      <c r="A27" s="757" t="s">
        <v>174</v>
      </c>
      <c r="B27" s="758"/>
      <c r="C27" s="758"/>
      <c r="D27" s="758"/>
      <c r="E27" s="758"/>
    </row>
    <row r="28" spans="1:8">
      <c r="A28" s="296">
        <v>1</v>
      </c>
      <c r="B28" s="803" t="s">
        <v>175</v>
      </c>
      <c r="C28" s="803"/>
      <c r="D28" s="353" t="s">
        <v>176</v>
      </c>
      <c r="E28" s="53" t="s">
        <v>177</v>
      </c>
    </row>
    <row r="29" spans="1:8">
      <c r="A29" s="295" t="s">
        <v>178</v>
      </c>
      <c r="B29" s="746" t="s">
        <v>179</v>
      </c>
      <c r="C29" s="746"/>
      <c r="D29" s="352"/>
      <c r="E29" s="513">
        <f>E21</f>
        <v>5930.48</v>
      </c>
    </row>
    <row r="30" spans="1:8">
      <c r="A30" s="580" t="s">
        <v>116</v>
      </c>
      <c r="B30" s="825" t="s">
        <v>259</v>
      </c>
      <c r="C30" s="825"/>
      <c r="D30" s="585"/>
      <c r="E30" s="357">
        <v>0</v>
      </c>
    </row>
    <row r="31" spans="1:8" s="5" customFormat="1">
      <c r="A31" s="796" t="s">
        <v>187</v>
      </c>
      <c r="B31" s="796"/>
      <c r="C31" s="796"/>
      <c r="D31" s="796"/>
      <c r="E31" s="358">
        <f>SUM(E29:E30)</f>
        <v>5930.48</v>
      </c>
      <c r="F31" s="30"/>
      <c r="G31" s="30"/>
      <c r="H31" s="30"/>
    </row>
    <row r="32" spans="1:8" s="5" customFormat="1">
      <c r="A32" s="16"/>
      <c r="B32" s="16"/>
      <c r="C32" s="16"/>
      <c r="D32" s="16"/>
      <c r="E32" s="359"/>
    </row>
    <row r="33" spans="1:12" s="5" customFormat="1">
      <c r="A33" s="757" t="s">
        <v>188</v>
      </c>
      <c r="B33" s="758"/>
      <c r="C33" s="758"/>
      <c r="D33" s="758"/>
      <c r="E33" s="758"/>
    </row>
    <row r="34" spans="1:12" s="5" customFormat="1">
      <c r="A34" s="759" t="s">
        <v>315</v>
      </c>
      <c r="B34" s="759"/>
      <c r="C34" s="759"/>
      <c r="D34" s="759"/>
      <c r="E34" s="759"/>
    </row>
    <row r="35" spans="1:12" s="5" customFormat="1">
      <c r="A35" s="53" t="s">
        <v>190</v>
      </c>
      <c r="B35" s="760" t="s">
        <v>316</v>
      </c>
      <c r="C35" s="760"/>
      <c r="D35" s="53" t="s">
        <v>176</v>
      </c>
      <c r="E35" s="70" t="s">
        <v>177</v>
      </c>
    </row>
    <row r="36" spans="1:12" s="5" customFormat="1">
      <c r="A36" s="54" t="s">
        <v>178</v>
      </c>
      <c r="B36" s="786" t="s">
        <v>317</v>
      </c>
      <c r="C36" s="799"/>
      <c r="D36" s="94">
        <v>8.3299999999999999E-2</v>
      </c>
      <c r="E36" s="40">
        <f>D36*E31</f>
        <v>494.00898399999994</v>
      </c>
    </row>
    <row r="37" spans="1:12" s="5" customFormat="1">
      <c r="A37" s="86" t="s">
        <v>193</v>
      </c>
      <c r="B37" s="299" t="s">
        <v>194</v>
      </c>
      <c r="C37" s="318" t="s">
        <v>318</v>
      </c>
      <c r="D37" s="94">
        <v>0.1212</v>
      </c>
      <c r="E37" s="40">
        <f>D37*E31</f>
        <v>718.77417600000001</v>
      </c>
      <c r="G37" s="289"/>
    </row>
    <row r="38" spans="1:12" s="5" customFormat="1" ht="15" thickBot="1">
      <c r="A38" s="750" t="s">
        <v>195</v>
      </c>
      <c r="B38" s="750"/>
      <c r="C38" s="750"/>
      <c r="D38" s="17">
        <f>D36+D37</f>
        <v>0.20450000000000002</v>
      </c>
      <c r="E38" s="41">
        <f>SUM(E36:E37)</f>
        <v>1212.78316</v>
      </c>
    </row>
    <row r="39" spans="1:12" s="5" customFormat="1">
      <c r="A39" s="18"/>
      <c r="B39" s="18"/>
      <c r="C39" s="18"/>
      <c r="D39" s="19"/>
      <c r="E39" s="20"/>
    </row>
    <row r="40" spans="1:12" s="5" customFormat="1">
      <c r="A40" s="759" t="s">
        <v>196</v>
      </c>
      <c r="B40" s="759"/>
      <c r="C40" s="759"/>
      <c r="D40" s="759"/>
      <c r="E40" s="759"/>
    </row>
    <row r="41" spans="1:12" s="5" customFormat="1">
      <c r="A41" s="53" t="s">
        <v>197</v>
      </c>
      <c r="B41" s="761" t="s">
        <v>198</v>
      </c>
      <c r="C41" s="761"/>
      <c r="D41" s="53" t="s">
        <v>176</v>
      </c>
      <c r="E41" s="53" t="s">
        <v>177</v>
      </c>
    </row>
    <row r="42" spans="1:12" s="5" customFormat="1" ht="15">
      <c r="A42" s="36" t="s">
        <v>178</v>
      </c>
      <c r="B42" s="739" t="s">
        <v>319</v>
      </c>
      <c r="C42" s="739"/>
      <c r="D42" s="378">
        <v>0.2</v>
      </c>
      <c r="E42" s="44">
        <f>($E$31+$E$38)*D42</f>
        <v>1428.652632</v>
      </c>
      <c r="F42" s="736"/>
      <c r="G42" s="736"/>
      <c r="H42" s="736"/>
      <c r="I42" s="736"/>
      <c r="L42" s="30"/>
    </row>
    <row r="43" spans="1:12" s="5" customFormat="1" ht="15">
      <c r="A43" s="36" t="s">
        <v>193</v>
      </c>
      <c r="B43" s="739" t="s">
        <v>320</v>
      </c>
      <c r="C43" s="739"/>
      <c r="D43" s="378">
        <v>2.5000000000000001E-2</v>
      </c>
      <c r="E43" s="44">
        <f t="shared" ref="E43:E49" si="0">($E$31+$E$38)*D43</f>
        <v>178.581579</v>
      </c>
      <c r="L43" s="30"/>
    </row>
    <row r="44" spans="1:12" s="5" customFormat="1" ht="15">
      <c r="A44" s="36" t="s">
        <v>117</v>
      </c>
      <c r="B44" s="739" t="s">
        <v>321</v>
      </c>
      <c r="C44" s="739"/>
      <c r="D44" s="378">
        <v>0.02</v>
      </c>
      <c r="E44" s="44">
        <f t="shared" si="0"/>
        <v>142.86526319999999</v>
      </c>
      <c r="F44" s="736"/>
      <c r="G44" s="736"/>
      <c r="H44" s="736"/>
      <c r="I44" s="736"/>
      <c r="L44" s="30"/>
    </row>
    <row r="45" spans="1:12" s="5" customFormat="1" ht="15">
      <c r="A45" s="36" t="s">
        <v>156</v>
      </c>
      <c r="B45" s="739" t="s">
        <v>322</v>
      </c>
      <c r="C45" s="739"/>
      <c r="D45" s="378">
        <v>1.4999999999999999E-2</v>
      </c>
      <c r="E45" s="44">
        <f t="shared" si="0"/>
        <v>107.14894739999998</v>
      </c>
    </row>
    <row r="46" spans="1:12" s="5" customFormat="1" ht="15">
      <c r="A46" s="36" t="s">
        <v>183</v>
      </c>
      <c r="B46" s="739" t="s">
        <v>323</v>
      </c>
      <c r="C46" s="739"/>
      <c r="D46" s="378">
        <v>0.01</v>
      </c>
      <c r="E46" s="44">
        <f t="shared" si="0"/>
        <v>71.432631599999993</v>
      </c>
    </row>
    <row r="47" spans="1:12" s="5" customFormat="1" ht="15">
      <c r="A47" s="36" t="s">
        <v>205</v>
      </c>
      <c r="B47" s="739" t="s">
        <v>324</v>
      </c>
      <c r="C47" s="739"/>
      <c r="D47" s="378">
        <v>6.0000000000000001E-3</v>
      </c>
      <c r="E47" s="44">
        <f t="shared" si="0"/>
        <v>42.85957896</v>
      </c>
    </row>
    <row r="48" spans="1:12" s="5" customFormat="1" ht="15">
      <c r="A48" s="36" t="s">
        <v>207</v>
      </c>
      <c r="B48" s="739" t="s">
        <v>325</v>
      </c>
      <c r="C48" s="739"/>
      <c r="D48" s="378">
        <v>2E-3</v>
      </c>
      <c r="E48" s="44">
        <f t="shared" si="0"/>
        <v>14.28652632</v>
      </c>
    </row>
    <row r="49" spans="1:13" s="5" customFormat="1" ht="15">
      <c r="A49" s="36" t="s">
        <v>209</v>
      </c>
      <c r="B49" s="739" t="s">
        <v>326</v>
      </c>
      <c r="C49" s="739"/>
      <c r="D49" s="378">
        <v>0.08</v>
      </c>
      <c r="E49" s="44">
        <f t="shared" si="0"/>
        <v>571.46105279999995</v>
      </c>
    </row>
    <row r="50" spans="1:13" s="5" customFormat="1">
      <c r="A50" s="740" t="s">
        <v>211</v>
      </c>
      <c r="B50" s="740"/>
      <c r="C50" s="740"/>
      <c r="D50" s="72">
        <f>SUM(D42:D49)</f>
        <v>0.35800000000000004</v>
      </c>
      <c r="E50" s="45">
        <f>SUM(E42:E49)</f>
        <v>2557.2882112799998</v>
      </c>
    </row>
    <row r="51" spans="1:13" s="5" customFormat="1">
      <c r="A51" s="16"/>
      <c r="B51" s="16"/>
      <c r="C51" s="16"/>
      <c r="D51" s="16"/>
      <c r="E51" s="359"/>
    </row>
    <row r="52" spans="1:13" s="5" customFormat="1">
      <c r="A52" s="842" t="s">
        <v>212</v>
      </c>
      <c r="B52" s="842"/>
      <c r="C52" s="842"/>
      <c r="D52" s="842"/>
      <c r="E52" s="842"/>
    </row>
    <row r="53" spans="1:13" s="6" customFormat="1">
      <c r="A53" s="293" t="s">
        <v>213</v>
      </c>
      <c r="B53" s="843" t="s">
        <v>214</v>
      </c>
      <c r="C53" s="843"/>
      <c r="D53" s="293"/>
      <c r="E53" s="293" t="s">
        <v>177</v>
      </c>
    </row>
    <row r="54" spans="1:13" s="6" customFormat="1" ht="15">
      <c r="A54" s="36" t="s">
        <v>115</v>
      </c>
      <c r="B54" s="739" t="s">
        <v>215</v>
      </c>
      <c r="C54" s="739"/>
      <c r="D54" s="346">
        <f>'Assistente Adm I'!D54</f>
        <v>5.5</v>
      </c>
      <c r="E54" s="292">
        <f>IF((D54*2*21-(E29*6%))&gt;0, D54*2*21-(E29*6%), 0)</f>
        <v>0</v>
      </c>
      <c r="F54" s="37"/>
      <c r="G54"/>
      <c r="M54" s="31"/>
    </row>
    <row r="55" spans="1:13" s="6" customFormat="1" ht="15">
      <c r="A55" s="36" t="s">
        <v>116</v>
      </c>
      <c r="B55" s="739" t="s">
        <v>327</v>
      </c>
      <c r="C55" s="739"/>
      <c r="D55" s="346">
        <v>44.7</v>
      </c>
      <c r="E55" s="292">
        <f>D55*21-(21*0.7)</f>
        <v>924</v>
      </c>
      <c r="F55" s="37"/>
      <c r="G55"/>
      <c r="I55" s="31"/>
      <c r="M55" s="31"/>
    </row>
    <row r="56" spans="1:13" s="6" customFormat="1" ht="15">
      <c r="A56" s="36" t="s">
        <v>117</v>
      </c>
      <c r="B56" s="739" t="s">
        <v>359</v>
      </c>
      <c r="C56" s="739"/>
      <c r="D56" s="377"/>
      <c r="E56" s="292">
        <v>0</v>
      </c>
      <c r="G56"/>
      <c r="I56" s="31"/>
      <c r="M56" s="31"/>
    </row>
    <row r="57" spans="1:13" s="6" customFormat="1" ht="15">
      <c r="A57" s="36" t="s">
        <v>156</v>
      </c>
      <c r="B57" s="536" t="s">
        <v>329</v>
      </c>
      <c r="C57" s="537"/>
      <c r="D57" s="377"/>
      <c r="E57" s="292">
        <v>0</v>
      </c>
      <c r="G57"/>
      <c r="I57" s="31"/>
      <c r="M57" s="31"/>
    </row>
    <row r="58" spans="1:13" s="6" customFormat="1">
      <c r="A58" s="73" t="s">
        <v>205</v>
      </c>
      <c r="B58" s="846" t="s">
        <v>330</v>
      </c>
      <c r="C58" s="847"/>
      <c r="D58" s="47"/>
      <c r="E58" s="291"/>
    </row>
    <row r="59" spans="1:13" s="5" customFormat="1">
      <c r="A59" s="740" t="s">
        <v>223</v>
      </c>
      <c r="B59" s="740"/>
      <c r="C59" s="740"/>
      <c r="D59" s="740"/>
      <c r="E59" s="49">
        <f>SUM(E54:E58)</f>
        <v>924</v>
      </c>
    </row>
    <row r="60" spans="1:13" s="5" customFormat="1" ht="15" thickBot="1">
      <c r="A60" s="74"/>
      <c r="B60" s="75"/>
      <c r="C60" s="75"/>
      <c r="D60" s="75"/>
      <c r="E60" s="61"/>
    </row>
    <row r="61" spans="1:13" s="5" customFormat="1">
      <c r="A61" s="781"/>
      <c r="B61" s="782"/>
      <c r="C61" s="782"/>
      <c r="D61" s="782"/>
      <c r="E61" s="783"/>
    </row>
    <row r="62" spans="1:13" s="5" customFormat="1">
      <c r="A62" s="744" t="s">
        <v>230</v>
      </c>
      <c r="B62" s="744"/>
      <c r="C62" s="744"/>
      <c r="D62" s="744"/>
      <c r="E62" s="744"/>
    </row>
    <row r="63" spans="1:13" s="5" customFormat="1">
      <c r="A63" s="53"/>
      <c r="B63" s="761" t="s">
        <v>232</v>
      </c>
      <c r="C63" s="761"/>
      <c r="D63" s="53" t="s">
        <v>233</v>
      </c>
      <c r="E63" s="53" t="s">
        <v>177</v>
      </c>
    </row>
    <row r="64" spans="1:13" s="5" customFormat="1">
      <c r="A64" s="36" t="s">
        <v>190</v>
      </c>
      <c r="B64" s="844" t="s">
        <v>235</v>
      </c>
      <c r="C64" s="844"/>
      <c r="D64" s="364">
        <f>D38</f>
        <v>0.20450000000000002</v>
      </c>
      <c r="E64" s="44">
        <f>E38</f>
        <v>1212.78316</v>
      </c>
    </row>
    <row r="65" spans="1:7" s="5" customFormat="1">
      <c r="A65" s="36" t="s">
        <v>197</v>
      </c>
      <c r="B65" s="844" t="s">
        <v>236</v>
      </c>
      <c r="C65" s="844"/>
      <c r="D65" s="364">
        <f>D50</f>
        <v>0.35800000000000004</v>
      </c>
      <c r="E65" s="44">
        <f>E50</f>
        <v>2557.2882112799998</v>
      </c>
    </row>
    <row r="66" spans="1:7" s="5" customFormat="1">
      <c r="A66" s="36" t="s">
        <v>213</v>
      </c>
      <c r="B66" s="844" t="s">
        <v>237</v>
      </c>
      <c r="C66" s="844"/>
      <c r="D66" s="364">
        <v>0</v>
      </c>
      <c r="E66" s="44">
        <f>E59</f>
        <v>924</v>
      </c>
    </row>
    <row r="67" spans="1:7" s="5" customFormat="1">
      <c r="A67" s="845" t="s">
        <v>240</v>
      </c>
      <c r="B67" s="845"/>
      <c r="C67" s="845"/>
      <c r="D67" s="365">
        <f>SUM(D64:D66)</f>
        <v>0.5625</v>
      </c>
      <c r="E67" s="49">
        <f>SUM(E64:E66)</f>
        <v>4694.0713712799998</v>
      </c>
    </row>
    <row r="68" spans="1:7" s="5" customFormat="1">
      <c r="A68" s="18"/>
      <c r="B68" s="18"/>
      <c r="C68" s="18"/>
      <c r="D68" s="351"/>
      <c r="E68" s="359"/>
    </row>
    <row r="69" spans="1:7" s="5" customFormat="1">
      <c r="A69" s="757" t="s">
        <v>241</v>
      </c>
      <c r="B69" s="758"/>
      <c r="C69" s="758"/>
      <c r="D69" s="758"/>
      <c r="E69" s="758"/>
    </row>
    <row r="70" spans="1:7" s="5" customFormat="1">
      <c r="A70" s="759" t="s">
        <v>241</v>
      </c>
      <c r="B70" s="759"/>
      <c r="C70" s="759"/>
      <c r="D70" s="759"/>
      <c r="E70" s="759"/>
    </row>
    <row r="71" spans="1:7" s="5" customFormat="1">
      <c r="A71" s="53">
        <v>3</v>
      </c>
      <c r="B71" s="761" t="s">
        <v>242</v>
      </c>
      <c r="C71" s="761"/>
      <c r="D71" s="53" t="s">
        <v>233</v>
      </c>
      <c r="E71" s="53" t="s">
        <v>177</v>
      </c>
    </row>
    <row r="72" spans="1:7" s="5" customFormat="1">
      <c r="A72" s="36" t="s">
        <v>178</v>
      </c>
      <c r="B72" s="849" t="s">
        <v>331</v>
      </c>
      <c r="C72" s="848"/>
      <c r="D72" s="290">
        <f>'Assistente Adm I'!D72</f>
        <v>4.1666666666666666E-3</v>
      </c>
      <c r="E72" s="44">
        <f>D72*$E$31</f>
        <v>24.710333333333331</v>
      </c>
      <c r="G72" s="355"/>
    </row>
    <row r="73" spans="1:7" s="5" customFormat="1" ht="14.25" customHeight="1">
      <c r="A73" s="36" t="s">
        <v>193</v>
      </c>
      <c r="B73" s="848" t="s">
        <v>332</v>
      </c>
      <c r="C73" s="848"/>
      <c r="D73" s="71">
        <f>D49*D72</f>
        <v>3.3333333333333332E-4</v>
      </c>
      <c r="E73" s="44">
        <f>D49*E72</f>
        <v>1.9768266666666665</v>
      </c>
      <c r="G73" s="347"/>
    </row>
    <row r="74" spans="1:7" s="5" customFormat="1" ht="14.25" customHeight="1">
      <c r="A74" s="36" t="s">
        <v>117</v>
      </c>
      <c r="B74" s="858" t="s">
        <v>350</v>
      </c>
      <c r="C74" s="860"/>
      <c r="D74" s="71">
        <v>3.44E-2</v>
      </c>
      <c r="E74" s="44">
        <f>D74*$E$31</f>
        <v>204.008512</v>
      </c>
      <c r="G74" s="347"/>
    </row>
    <row r="75" spans="1:7" s="5" customFormat="1">
      <c r="A75" s="36" t="s">
        <v>156</v>
      </c>
      <c r="B75" s="869" t="s">
        <v>367</v>
      </c>
      <c r="C75" s="848"/>
      <c r="D75" s="290">
        <f>'Assistente Adm I'!D75</f>
        <v>1.9444444444444445E-2</v>
      </c>
      <c r="E75" s="44">
        <f>D75*$E$31</f>
        <v>115.31488888888889</v>
      </c>
      <c r="G75" s="348"/>
    </row>
    <row r="76" spans="1:7" s="5" customFormat="1" ht="27" customHeight="1">
      <c r="A76" s="36" t="s">
        <v>183</v>
      </c>
      <c r="B76" s="848" t="s">
        <v>335</v>
      </c>
      <c r="C76" s="848"/>
      <c r="D76" s="71">
        <f>D50*D75</f>
        <v>6.9611111111111124E-3</v>
      </c>
      <c r="E76" s="44">
        <f>D50*E75</f>
        <v>41.282730222222227</v>
      </c>
    </row>
    <row r="77" spans="1:7" s="5" customFormat="1" ht="27" customHeight="1">
      <c r="A77" s="36" t="s">
        <v>205</v>
      </c>
      <c r="B77" s="865" t="s">
        <v>346</v>
      </c>
      <c r="C77" s="848"/>
      <c r="D77" s="71">
        <v>5.5999999999999999E-3</v>
      </c>
      <c r="E77" s="44">
        <f>D77*$E$31</f>
        <v>33.210687999999998</v>
      </c>
    </row>
    <row r="78" spans="1:7" s="5" customFormat="1">
      <c r="A78" s="845" t="s">
        <v>250</v>
      </c>
      <c r="B78" s="845"/>
      <c r="C78" s="845"/>
      <c r="D78" s="365">
        <f>SUM(D72:D77)</f>
        <v>7.0905555555555555E-2</v>
      </c>
      <c r="E78" s="49">
        <f>SUM(E72:E77)</f>
        <v>420.50397911111111</v>
      </c>
    </row>
    <row r="79" spans="1:7" s="5" customFormat="1">
      <c r="A79" s="18"/>
      <c r="B79" s="18"/>
      <c r="C79" s="18"/>
      <c r="D79" s="351"/>
      <c r="E79" s="359"/>
    </row>
    <row r="80" spans="1:7" s="5" customFormat="1">
      <c r="A80" s="757" t="s">
        <v>251</v>
      </c>
      <c r="B80" s="758"/>
      <c r="C80" s="758"/>
      <c r="D80" s="758"/>
      <c r="E80" s="758"/>
    </row>
    <row r="81" spans="1:10" s="5" customFormat="1">
      <c r="A81" s="842" t="s">
        <v>252</v>
      </c>
      <c r="B81" s="842"/>
      <c r="C81" s="842"/>
      <c r="D81" s="842"/>
      <c r="E81" s="842"/>
    </row>
    <row r="82" spans="1:10" s="5" customFormat="1">
      <c r="A82" s="852" t="s">
        <v>337</v>
      </c>
      <c r="B82" s="853"/>
      <c r="C82" s="853"/>
      <c r="D82" s="854"/>
      <c r="E82" s="367">
        <f>(E31+E38+E50)</f>
        <v>9700.5513712799984</v>
      </c>
    </row>
    <row r="83" spans="1:10" s="5" customFormat="1">
      <c r="A83" s="293" t="s">
        <v>253</v>
      </c>
      <c r="B83" s="843" t="s">
        <v>254</v>
      </c>
      <c r="C83" s="843"/>
      <c r="D83" s="293" t="s">
        <v>233</v>
      </c>
      <c r="E83" s="293" t="s">
        <v>177</v>
      </c>
    </row>
    <row r="84" spans="1:10" s="5" customFormat="1">
      <c r="A84" s="36" t="s">
        <v>178</v>
      </c>
      <c r="B84" s="739" t="s">
        <v>338</v>
      </c>
      <c r="C84" s="739"/>
      <c r="D84" s="290">
        <f>((1/3*1/12)+1/12+1/12)/11</f>
        <v>1.7676767676767676E-2</v>
      </c>
      <c r="E84" s="44">
        <f>D84*(E31+E50)</f>
        <v>150.03630676505048</v>
      </c>
      <c r="G84" s="350"/>
      <c r="H84" s="30"/>
      <c r="I84" s="30"/>
      <c r="J84" s="30"/>
    </row>
    <row r="85" spans="1:10" s="5" customFormat="1">
      <c r="A85" s="36" t="s">
        <v>193</v>
      </c>
      <c r="B85" s="739" t="s">
        <v>254</v>
      </c>
      <c r="C85" s="739"/>
      <c r="D85" s="290">
        <f>'Assistente Adm I'!D85</f>
        <v>2.8E-3</v>
      </c>
      <c r="E85" s="44">
        <f>D85*$E$82</f>
        <v>27.161543839583995</v>
      </c>
      <c r="J85" s="350"/>
    </row>
    <row r="86" spans="1:10" s="5" customFormat="1">
      <c r="A86" s="36" t="s">
        <v>245</v>
      </c>
      <c r="B86" s="739" t="s">
        <v>362</v>
      </c>
      <c r="C86" s="739"/>
      <c r="D86" s="290">
        <f>'Assistente Adm I'!D86</f>
        <v>2.0000000000000001E-4</v>
      </c>
      <c r="E86" s="44">
        <f>D86*$E$82</f>
        <v>1.9401102742559997</v>
      </c>
    </row>
    <row r="87" spans="1:10" s="5" customFormat="1">
      <c r="A87" s="36" t="s">
        <v>118</v>
      </c>
      <c r="B87" s="739" t="s">
        <v>340</v>
      </c>
      <c r="C87" s="739"/>
      <c r="D87" s="290">
        <f>'Assistente Adm I'!D87</f>
        <v>6.9999999999999999E-4</v>
      </c>
      <c r="E87" s="44">
        <f>D87*$E$82</f>
        <v>6.7903859598959988</v>
      </c>
    </row>
    <row r="88" spans="1:10" s="5" customFormat="1">
      <c r="A88" s="36" t="s">
        <v>119</v>
      </c>
      <c r="B88" s="739" t="s">
        <v>258</v>
      </c>
      <c r="C88" s="739"/>
      <c r="D88" s="290">
        <f>'Assistente Adm I'!D88</f>
        <v>2E-3</v>
      </c>
      <c r="E88" s="44">
        <f>D88*$E$82</f>
        <v>19.401102742559996</v>
      </c>
    </row>
    <row r="89" spans="1:10" s="5" customFormat="1">
      <c r="A89" s="36" t="s">
        <v>185</v>
      </c>
      <c r="B89" s="844" t="s">
        <v>259</v>
      </c>
      <c r="C89" s="844"/>
      <c r="D89" s="71">
        <v>0</v>
      </c>
      <c r="E89" s="44">
        <f t="shared" ref="E89" si="1">D89*$E$31</f>
        <v>0</v>
      </c>
    </row>
    <row r="90" spans="1:10" s="5" customFormat="1">
      <c r="A90" s="796" t="s">
        <v>260</v>
      </c>
      <c r="B90" s="796"/>
      <c r="C90" s="796"/>
      <c r="D90" s="72">
        <f>SUM(D84:D89)</f>
        <v>2.3376767676767676E-2</v>
      </c>
      <c r="E90" s="49">
        <f>SUM(E84:E89)</f>
        <v>205.32944958134647</v>
      </c>
    </row>
    <row r="91" spans="1:10" s="5" customFormat="1">
      <c r="A91" s="18"/>
      <c r="B91" s="18"/>
      <c r="C91" s="18"/>
      <c r="D91" s="351"/>
      <c r="E91" s="359"/>
    </row>
    <row r="92" spans="1:10" s="5" customFormat="1">
      <c r="A92" s="759" t="s">
        <v>261</v>
      </c>
      <c r="B92" s="759"/>
      <c r="C92" s="759"/>
      <c r="D92" s="759"/>
      <c r="E92" s="759"/>
    </row>
    <row r="93" spans="1:10" s="5" customFormat="1">
      <c r="A93" s="53" t="s">
        <v>262</v>
      </c>
      <c r="B93" s="760" t="s">
        <v>263</v>
      </c>
      <c r="C93" s="760"/>
      <c r="D93" s="53" t="s">
        <v>233</v>
      </c>
      <c r="E93" s="53" t="s">
        <v>177</v>
      </c>
    </row>
    <row r="94" spans="1:10">
      <c r="A94" s="36" t="s">
        <v>178</v>
      </c>
      <c r="B94" s="739" t="s">
        <v>264</v>
      </c>
      <c r="C94" s="739"/>
      <c r="D94" s="76">
        <v>0</v>
      </c>
      <c r="E94" s="44">
        <f>(E31+E67+E78)/220*1*15*D94</f>
        <v>0</v>
      </c>
    </row>
    <row r="95" spans="1:10">
      <c r="A95" s="845" t="s">
        <v>265</v>
      </c>
      <c r="B95" s="845"/>
      <c r="C95" s="845"/>
      <c r="D95" s="845"/>
      <c r="E95" s="49">
        <f>E94</f>
        <v>0</v>
      </c>
    </row>
    <row r="96" spans="1:10">
      <c r="A96" s="855"/>
      <c r="B96" s="856"/>
      <c r="C96" s="856"/>
      <c r="D96" s="856"/>
      <c r="E96" s="857"/>
    </row>
    <row r="97" spans="1:5">
      <c r="A97" s="744" t="s">
        <v>266</v>
      </c>
      <c r="B97" s="744"/>
      <c r="C97" s="744"/>
      <c r="D97" s="744"/>
      <c r="E97" s="744"/>
    </row>
    <row r="98" spans="1:5">
      <c r="A98" s="53"/>
      <c r="B98" s="761" t="s">
        <v>267</v>
      </c>
      <c r="C98" s="761"/>
      <c r="D98" s="53" t="s">
        <v>233</v>
      </c>
      <c r="E98" s="53" t="s">
        <v>177</v>
      </c>
    </row>
    <row r="99" spans="1:5">
      <c r="A99" s="36" t="s">
        <v>253</v>
      </c>
      <c r="B99" s="844" t="s">
        <v>254</v>
      </c>
      <c r="C99" s="844"/>
      <c r="D99" s="364">
        <f>D90</f>
        <v>2.3376767676767676E-2</v>
      </c>
      <c r="E99" s="44">
        <f>E90</f>
        <v>205.32944958134647</v>
      </c>
    </row>
    <row r="100" spans="1:5">
      <c r="A100" s="36" t="s">
        <v>262</v>
      </c>
      <c r="B100" s="844" t="s">
        <v>263</v>
      </c>
      <c r="C100" s="844"/>
      <c r="D100" s="71">
        <v>0</v>
      </c>
      <c r="E100" s="44">
        <f>E95</f>
        <v>0</v>
      </c>
    </row>
    <row r="101" spans="1:5">
      <c r="A101" s="845" t="s">
        <v>268</v>
      </c>
      <c r="B101" s="845"/>
      <c r="C101" s="845"/>
      <c r="D101" s="365">
        <f>SUM(D99:D100)</f>
        <v>2.3376767676767676E-2</v>
      </c>
      <c r="E101" s="49">
        <f>E99+E100</f>
        <v>205.32944958134647</v>
      </c>
    </row>
    <row r="102" spans="1:5">
      <c r="A102" s="13"/>
      <c r="B102" s="18"/>
      <c r="C102" s="18"/>
      <c r="D102" s="351"/>
      <c r="E102" s="359"/>
    </row>
    <row r="103" spans="1:5">
      <c r="A103" s="757" t="s">
        <v>269</v>
      </c>
      <c r="B103" s="758"/>
      <c r="C103" s="758"/>
      <c r="D103" s="758"/>
      <c r="E103" s="758"/>
    </row>
    <row r="104" spans="1:5">
      <c r="A104" s="759" t="s">
        <v>269</v>
      </c>
      <c r="B104" s="759"/>
      <c r="C104" s="759"/>
      <c r="D104" s="759"/>
      <c r="E104" s="759"/>
    </row>
    <row r="105" spans="1:5">
      <c r="A105" s="53">
        <v>5</v>
      </c>
      <c r="B105" s="761" t="s">
        <v>270</v>
      </c>
      <c r="C105" s="761"/>
      <c r="D105" s="761"/>
      <c r="E105" s="53" t="s">
        <v>177</v>
      </c>
    </row>
    <row r="106" spans="1:5">
      <c r="A106" s="36" t="s">
        <v>178</v>
      </c>
      <c r="B106" s="844" t="s">
        <v>271</v>
      </c>
      <c r="C106" s="844"/>
      <c r="D106" s="844"/>
      <c r="E106" s="44">
        <v>0</v>
      </c>
    </row>
    <row r="107" spans="1:5">
      <c r="A107" s="36" t="s">
        <v>193</v>
      </c>
      <c r="B107" s="844" t="s">
        <v>363</v>
      </c>
      <c r="C107" s="844"/>
      <c r="D107" s="844"/>
      <c r="E107" s="44">
        <v>0</v>
      </c>
    </row>
    <row r="108" spans="1:5" s="5" customFormat="1">
      <c r="A108" s="845" t="s">
        <v>276</v>
      </c>
      <c r="B108" s="845"/>
      <c r="C108" s="845"/>
      <c r="D108" s="845"/>
      <c r="E108" s="49">
        <f>SUM(E106:E107)</f>
        <v>0</v>
      </c>
    </row>
    <row r="109" spans="1:5">
      <c r="E109" s="360">
        <f>D67+D78+D101</f>
        <v>0.65678232323232322</v>
      </c>
    </row>
    <row r="110" spans="1:5">
      <c r="A110" s="29"/>
      <c r="B110" s="29"/>
      <c r="C110" s="29"/>
      <c r="D110" s="29"/>
      <c r="E110" s="351"/>
    </row>
    <row r="111" spans="1:5">
      <c r="A111" s="861" t="s">
        <v>278</v>
      </c>
      <c r="B111" s="861"/>
      <c r="C111" s="861"/>
      <c r="D111" s="861"/>
      <c r="E111" s="861"/>
    </row>
    <row r="112" spans="1:5" s="6" customFormat="1">
      <c r="A112" s="759" t="s">
        <v>278</v>
      </c>
      <c r="B112" s="759"/>
      <c r="C112" s="759"/>
      <c r="D112" s="759"/>
      <c r="E112" s="759"/>
    </row>
    <row r="113" spans="1:12">
      <c r="A113" s="53">
        <v>6</v>
      </c>
      <c r="B113" s="760" t="s">
        <v>279</v>
      </c>
      <c r="C113" s="760"/>
      <c r="D113" s="53" t="s">
        <v>176</v>
      </c>
      <c r="E113" s="53" t="s">
        <v>177</v>
      </c>
      <c r="F113" s="380"/>
    </row>
    <row r="114" spans="1:12">
      <c r="A114" s="354" t="s">
        <v>178</v>
      </c>
      <c r="B114" s="844" t="s">
        <v>280</v>
      </c>
      <c r="C114" s="844"/>
      <c r="D114" s="290">
        <v>0.05</v>
      </c>
      <c r="E114" s="44">
        <f>D114*E129</f>
        <v>562.51923999862277</v>
      </c>
      <c r="F114" s="380" t="e">
        <f>#REF!</f>
        <v>#REF!</v>
      </c>
      <c r="L114" s="545"/>
    </row>
    <row r="115" spans="1:12">
      <c r="A115" s="354" t="s">
        <v>193</v>
      </c>
      <c r="B115" s="844" t="s">
        <v>281</v>
      </c>
      <c r="C115" s="844"/>
      <c r="D115" s="290">
        <v>0.05</v>
      </c>
      <c r="E115" s="44">
        <f>D115*(E114+E129)</f>
        <v>590.64520199855394</v>
      </c>
      <c r="F115" s="380" t="e">
        <f>#REF!</f>
        <v>#REF!</v>
      </c>
      <c r="L115" s="545"/>
    </row>
    <row r="116" spans="1:12">
      <c r="A116" s="862" t="s">
        <v>117</v>
      </c>
      <c r="B116" s="845" t="s">
        <v>282</v>
      </c>
      <c r="C116" s="845"/>
      <c r="D116" s="72"/>
      <c r="E116" s="49"/>
      <c r="F116" s="380" t="e">
        <f>F115-F114</f>
        <v>#REF!</v>
      </c>
    </row>
    <row r="117" spans="1:12">
      <c r="A117" s="862"/>
      <c r="B117" s="844" t="s">
        <v>283</v>
      </c>
      <c r="C117" s="844"/>
      <c r="D117" s="290">
        <f>'Assistente Adm I'!D117</f>
        <v>6.4999999999999997E-3</v>
      </c>
      <c r="E117" s="44">
        <f>($E$114+$E$115+$E$129)/(1-($D$117+$D$118+$D$119))*D117</f>
        <v>88.257329034266675</v>
      </c>
      <c r="F117" s="380"/>
    </row>
    <row r="118" spans="1:12">
      <c r="A118" s="862"/>
      <c r="B118" s="844" t="s">
        <v>284</v>
      </c>
      <c r="C118" s="844"/>
      <c r="D118" s="290">
        <f>'Assistente Adm I'!D118</f>
        <v>0.03</v>
      </c>
      <c r="E118" s="44">
        <f>($E$114+$E$115+$E$129)/(1-($D$117+$D$118+$D$119))*D118</f>
        <v>407.34151861969235</v>
      </c>
      <c r="F118" s="380"/>
    </row>
    <row r="119" spans="1:12" s="3" customFormat="1">
      <c r="A119" s="862"/>
      <c r="B119" s="844" t="s">
        <v>343</v>
      </c>
      <c r="C119" s="844"/>
      <c r="D119" s="290">
        <f>'Assistente Adm I'!D119</f>
        <v>0.05</v>
      </c>
      <c r="E119" s="44">
        <f>($E$114+$E$115+$E$129)/(1-($D$117+$D$118+$D$119))*D119</f>
        <v>678.90253103282066</v>
      </c>
      <c r="F119" s="380"/>
    </row>
    <row r="120" spans="1:12">
      <c r="A120" s="740" t="s">
        <v>286</v>
      </c>
      <c r="B120" s="740"/>
      <c r="C120" s="740"/>
      <c r="D120" s="72">
        <f>SUM(D114:D119)</f>
        <v>0.1865</v>
      </c>
      <c r="E120" s="49">
        <f>SUM(E114:E119)</f>
        <v>2327.6658206839566</v>
      </c>
      <c r="F120" s="380"/>
    </row>
    <row r="121" spans="1:12">
      <c r="D121" s="366"/>
      <c r="F121" s="380"/>
    </row>
    <row r="122" spans="1:12">
      <c r="A122" s="744" t="s">
        <v>287</v>
      </c>
      <c r="B122" s="744"/>
      <c r="C122" s="744"/>
      <c r="D122" s="744"/>
      <c r="E122" s="744"/>
      <c r="F122" s="380"/>
    </row>
    <row r="123" spans="1:12">
      <c r="A123" s="740" t="s">
        <v>288</v>
      </c>
      <c r="B123" s="740"/>
      <c r="C123" s="740"/>
      <c r="D123" s="740"/>
      <c r="E123" s="53" t="s">
        <v>289</v>
      </c>
    </row>
    <row r="124" spans="1:12">
      <c r="A124" s="36" t="s">
        <v>178</v>
      </c>
      <c r="B124" s="739" t="s">
        <v>290</v>
      </c>
      <c r="C124" s="739"/>
      <c r="D124" s="739"/>
      <c r="E124" s="361">
        <f>E31</f>
        <v>5930.48</v>
      </c>
    </row>
    <row r="125" spans="1:12">
      <c r="A125" s="36" t="s">
        <v>193</v>
      </c>
      <c r="B125" s="739" t="s">
        <v>291</v>
      </c>
      <c r="C125" s="739"/>
      <c r="D125" s="739"/>
      <c r="E125" s="362">
        <f>E67</f>
        <v>4694.0713712799998</v>
      </c>
    </row>
    <row r="126" spans="1:12">
      <c r="A126" s="36" t="s">
        <v>245</v>
      </c>
      <c r="B126" s="739" t="s">
        <v>292</v>
      </c>
      <c r="C126" s="739"/>
      <c r="D126" s="739"/>
      <c r="E126" s="362">
        <f>E78</f>
        <v>420.50397911111111</v>
      </c>
    </row>
    <row r="127" spans="1:12">
      <c r="A127" s="36" t="s">
        <v>118</v>
      </c>
      <c r="B127" s="739" t="s">
        <v>293</v>
      </c>
      <c r="C127" s="739"/>
      <c r="D127" s="739"/>
      <c r="E127" s="362">
        <f>E101</f>
        <v>205.32944958134647</v>
      </c>
    </row>
    <row r="128" spans="1:12">
      <c r="A128" s="36" t="s">
        <v>119</v>
      </c>
      <c r="B128" s="858" t="s">
        <v>294</v>
      </c>
      <c r="C128" s="859"/>
      <c r="D128" s="860"/>
      <c r="E128" s="361">
        <f>E108</f>
        <v>0</v>
      </c>
    </row>
    <row r="129" spans="1:12">
      <c r="A129" s="740" t="s">
        <v>295</v>
      </c>
      <c r="B129" s="740"/>
      <c r="C129" s="740"/>
      <c r="D129" s="740"/>
      <c r="E129" s="41">
        <f>SUM(E124:E128)</f>
        <v>11250.384799972455</v>
      </c>
      <c r="L129" s="380"/>
    </row>
    <row r="130" spans="1:12" s="5" customFormat="1">
      <c r="A130" s="36" t="s">
        <v>185</v>
      </c>
      <c r="B130" s="739" t="s">
        <v>296</v>
      </c>
      <c r="C130" s="739"/>
      <c r="D130" s="739"/>
      <c r="E130" s="362">
        <f>E120</f>
        <v>2327.6658206839566</v>
      </c>
    </row>
    <row r="131" spans="1:12">
      <c r="A131" s="740" t="s">
        <v>297</v>
      </c>
      <c r="B131" s="740"/>
      <c r="C131" s="740"/>
      <c r="D131" s="740"/>
      <c r="E131" s="41">
        <f>SUM(E129:E130)</f>
        <v>13578.050620656411</v>
      </c>
      <c r="L131" s="546"/>
    </row>
    <row r="132" spans="1:12">
      <c r="E132" s="363"/>
    </row>
    <row r="133" spans="1:12">
      <c r="E133" s="31"/>
    </row>
  </sheetData>
  <mergeCells count="127">
    <mergeCell ref="A2:E2"/>
    <mergeCell ref="A4:E4"/>
    <mergeCell ref="A5:E5"/>
    <mergeCell ref="A6:E6"/>
    <mergeCell ref="A7:E7"/>
    <mergeCell ref="B8:C8"/>
    <mergeCell ref="D8:E8"/>
    <mergeCell ref="A13:E13"/>
    <mergeCell ref="B14:C14"/>
    <mergeCell ref="B15:C15"/>
    <mergeCell ref="A17:E17"/>
    <mergeCell ref="A18:E18"/>
    <mergeCell ref="B19:C19"/>
    <mergeCell ref="D19:E19"/>
    <mergeCell ref="B9:C9"/>
    <mergeCell ref="D9:E9"/>
    <mergeCell ref="B10:C10"/>
    <mergeCell ref="D10:E10"/>
    <mergeCell ref="B11:C11"/>
    <mergeCell ref="D11:E11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B22:C22"/>
    <mergeCell ref="D22:E22"/>
    <mergeCell ref="A33:E33"/>
    <mergeCell ref="A34:E34"/>
    <mergeCell ref="B35:C35"/>
    <mergeCell ref="B36:C36"/>
    <mergeCell ref="A38:C38"/>
    <mergeCell ref="A40:E40"/>
    <mergeCell ref="A26:E26"/>
    <mergeCell ref="A27:E27"/>
    <mergeCell ref="B28:C28"/>
    <mergeCell ref="B29:C29"/>
    <mergeCell ref="B30:C30"/>
    <mergeCell ref="A31:D31"/>
    <mergeCell ref="B45:C45"/>
    <mergeCell ref="B46:C46"/>
    <mergeCell ref="B47:C47"/>
    <mergeCell ref="B48:C48"/>
    <mergeCell ref="B49:C49"/>
    <mergeCell ref="A50:C50"/>
    <mergeCell ref="B41:C41"/>
    <mergeCell ref="B42:C42"/>
    <mergeCell ref="F42:I42"/>
    <mergeCell ref="B43:C43"/>
    <mergeCell ref="B44:C44"/>
    <mergeCell ref="F44:I44"/>
    <mergeCell ref="A59:D59"/>
    <mergeCell ref="A61:E61"/>
    <mergeCell ref="A62:E62"/>
    <mergeCell ref="B63:C63"/>
    <mergeCell ref="B64:C64"/>
    <mergeCell ref="B65:C65"/>
    <mergeCell ref="A52:E52"/>
    <mergeCell ref="B53:C53"/>
    <mergeCell ref="B54:C54"/>
    <mergeCell ref="B55:C55"/>
    <mergeCell ref="B56:C56"/>
    <mergeCell ref="B58:C58"/>
    <mergeCell ref="B73:C73"/>
    <mergeCell ref="B75:C75"/>
    <mergeCell ref="B76:C76"/>
    <mergeCell ref="B77:C77"/>
    <mergeCell ref="A78:C78"/>
    <mergeCell ref="A80:E80"/>
    <mergeCell ref="B66:C66"/>
    <mergeCell ref="A67:C67"/>
    <mergeCell ref="A69:E69"/>
    <mergeCell ref="A70:E70"/>
    <mergeCell ref="B71:C71"/>
    <mergeCell ref="B72:C72"/>
    <mergeCell ref="B74:C74"/>
    <mergeCell ref="B87:C87"/>
    <mergeCell ref="B88:C88"/>
    <mergeCell ref="B89:C89"/>
    <mergeCell ref="A90:C90"/>
    <mergeCell ref="A92:E92"/>
    <mergeCell ref="B93:C93"/>
    <mergeCell ref="A81:E81"/>
    <mergeCell ref="A82:D82"/>
    <mergeCell ref="B83:C83"/>
    <mergeCell ref="B84:C84"/>
    <mergeCell ref="B85:C85"/>
    <mergeCell ref="B86:C86"/>
    <mergeCell ref="B100:C100"/>
    <mergeCell ref="A101:C101"/>
    <mergeCell ref="A103:E103"/>
    <mergeCell ref="A104:E104"/>
    <mergeCell ref="B105:D105"/>
    <mergeCell ref="B106:D106"/>
    <mergeCell ref="B94:C94"/>
    <mergeCell ref="A95:D95"/>
    <mergeCell ref="A96:E96"/>
    <mergeCell ref="A97:E97"/>
    <mergeCell ref="B98:C98"/>
    <mergeCell ref="B99:C99"/>
    <mergeCell ref="B115:C115"/>
    <mergeCell ref="A116:A119"/>
    <mergeCell ref="B116:C116"/>
    <mergeCell ref="B117:C117"/>
    <mergeCell ref="B118:C118"/>
    <mergeCell ref="B119:C119"/>
    <mergeCell ref="B107:D107"/>
    <mergeCell ref="A108:D108"/>
    <mergeCell ref="A111:E111"/>
    <mergeCell ref="A112:E112"/>
    <mergeCell ref="B113:C113"/>
    <mergeCell ref="B114:C114"/>
    <mergeCell ref="B127:D127"/>
    <mergeCell ref="B128:D128"/>
    <mergeCell ref="A129:D129"/>
    <mergeCell ref="B130:D130"/>
    <mergeCell ref="A131:D131"/>
    <mergeCell ref="A120:C120"/>
    <mergeCell ref="A122:E122"/>
    <mergeCell ref="A123:D123"/>
    <mergeCell ref="B124:D124"/>
    <mergeCell ref="B125:D125"/>
    <mergeCell ref="B126:D126"/>
  </mergeCells>
  <pageMargins left="0.51181102362204722" right="0.51181102362204722" top="1.0629921259842521" bottom="0.98425196850393704" header="0.31496062992125984" footer="0.31496062992125984"/>
  <pageSetup paperSize="9" scale="70" fitToHeight="0" orientation="portrait" r:id="rId1"/>
  <headerFooter>
    <oddHeader>&amp;L&amp;G</oddHeader>
    <oddFooter>&amp;L&amp;G&amp;RPágina &amp;P</oddFooter>
  </headerFooter>
  <rowBreaks count="1" manualBreakCount="1">
    <brk id="67" max="4" man="1"/>
  </rowBreaks>
  <colBreaks count="1" manualBreakCount="1">
    <brk id="5" max="1048575" man="1"/>
  </colBreaks>
  <legacy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FFCFC-BA6F-4A5A-A2D2-1873FF2EABAE}">
  <sheetPr codeName="Planilha17">
    <tabColor theme="0"/>
  </sheetPr>
  <dimension ref="A2:M133"/>
  <sheetViews>
    <sheetView topLeftCell="A44" zoomScaleNormal="100" zoomScaleSheetLayoutView="100" workbookViewId="0">
      <selection activeCell="L67" sqref="L67"/>
    </sheetView>
  </sheetViews>
  <sheetFormatPr defaultColWidth="9.140625" defaultRowHeight="14.25"/>
  <cols>
    <col min="1" max="1" width="7.28515625" style="2" customWidth="1"/>
    <col min="2" max="2" width="31.5703125" style="1" customWidth="1"/>
    <col min="3" max="3" width="35.140625" style="1" customWidth="1"/>
    <col min="4" max="4" width="17.85546875" style="2" customWidth="1"/>
    <col min="5" max="5" width="23.5703125" style="6" customWidth="1"/>
    <col min="6" max="6" width="18.85546875" style="1" hidden="1" customWidth="1"/>
    <col min="7" max="7" width="12.28515625" style="1" customWidth="1"/>
    <col min="8" max="8" width="11.28515625" style="1" bestFit="1" customWidth="1"/>
    <col min="9" max="9" width="9.140625" style="1"/>
    <col min="10" max="10" width="11.5703125" style="1" bestFit="1" customWidth="1"/>
    <col min="11" max="11" width="10.7109375" style="1" customWidth="1"/>
    <col min="12" max="12" width="14.28515625" style="1" bestFit="1" customWidth="1"/>
    <col min="13" max="13" width="13.140625" style="1" customWidth="1"/>
    <col min="14" max="16384" width="9.140625" style="1"/>
  </cols>
  <sheetData>
    <row r="2" spans="1:5">
      <c r="A2" s="828" t="s">
        <v>352</v>
      </c>
      <c r="B2" s="829"/>
      <c r="C2" s="829"/>
      <c r="D2" s="829"/>
      <c r="E2" s="829"/>
    </row>
    <row r="3" spans="1:5">
      <c r="A3" s="29"/>
      <c r="B3" s="29"/>
      <c r="C3" s="29"/>
      <c r="D3" s="29"/>
      <c r="E3" s="29"/>
    </row>
    <row r="4" spans="1:5" ht="15.75">
      <c r="A4" s="816" t="s">
        <v>364</v>
      </c>
      <c r="B4" s="816"/>
      <c r="C4" s="816"/>
      <c r="D4" s="816"/>
      <c r="E4" s="816"/>
    </row>
    <row r="5" spans="1:5" ht="15.75">
      <c r="A5" s="868" t="str">
        <f>'Assistente Adm I'!A5:E5</f>
        <v>Pregão Eletrônico nº ******</v>
      </c>
      <c r="B5" s="868"/>
      <c r="C5" s="868"/>
      <c r="D5" s="868"/>
      <c r="E5" s="868"/>
    </row>
    <row r="6" spans="1:5">
      <c r="A6" s="837" t="s">
        <v>354</v>
      </c>
      <c r="B6" s="838"/>
      <c r="C6" s="838"/>
      <c r="D6" s="838"/>
      <c r="E6" s="838"/>
    </row>
    <row r="7" spans="1:5">
      <c r="A7" s="750" t="s">
        <v>150</v>
      </c>
      <c r="B7" s="750"/>
      <c r="C7" s="750"/>
      <c r="D7" s="750"/>
      <c r="E7" s="750"/>
    </row>
    <row r="8" spans="1:5">
      <c r="A8" s="295" t="s">
        <v>115</v>
      </c>
      <c r="B8" s="770" t="s">
        <v>151</v>
      </c>
      <c r="C8" s="770"/>
      <c r="D8" s="831"/>
      <c r="E8" s="832"/>
    </row>
    <row r="9" spans="1:5">
      <c r="A9" s="295" t="s">
        <v>116</v>
      </c>
      <c r="B9" s="770" t="s">
        <v>152</v>
      </c>
      <c r="C9" s="770"/>
      <c r="D9" s="813" t="s">
        <v>303</v>
      </c>
      <c r="E9" s="814"/>
    </row>
    <row r="10" spans="1:5">
      <c r="A10" s="295" t="s">
        <v>117</v>
      </c>
      <c r="B10" s="770" t="s">
        <v>154</v>
      </c>
      <c r="C10" s="770"/>
      <c r="D10" s="866" t="s">
        <v>355</v>
      </c>
      <c r="E10" s="867"/>
    </row>
    <row r="11" spans="1:5">
      <c r="A11" s="295" t="s">
        <v>156</v>
      </c>
      <c r="B11" s="770" t="s">
        <v>157</v>
      </c>
      <c r="C11" s="770"/>
      <c r="D11" s="815">
        <v>12</v>
      </c>
      <c r="E11" s="815"/>
    </row>
    <row r="12" spans="1:5">
      <c r="A12" s="14"/>
      <c r="B12" s="15"/>
      <c r="C12" s="15"/>
      <c r="D12" s="14"/>
      <c r="E12" s="14"/>
    </row>
    <row r="13" spans="1:5">
      <c r="A13" s="750" t="s">
        <v>305</v>
      </c>
      <c r="B13" s="750"/>
      <c r="C13" s="750"/>
      <c r="D13" s="750"/>
      <c r="E13" s="750"/>
    </row>
    <row r="14" spans="1:5" ht="28.5">
      <c r="A14" s="296" t="s">
        <v>158</v>
      </c>
      <c r="B14" s="800" t="s">
        <v>159</v>
      </c>
      <c r="C14" s="768"/>
      <c r="D14" s="353" t="s">
        <v>160</v>
      </c>
      <c r="E14" s="296" t="s">
        <v>161</v>
      </c>
    </row>
    <row r="15" spans="1:5">
      <c r="A15" s="297">
        <v>1</v>
      </c>
      <c r="B15" s="839" t="s">
        <v>368</v>
      </c>
      <c r="C15" s="840"/>
      <c r="D15" s="370" t="s">
        <v>307</v>
      </c>
      <c r="E15" s="505"/>
    </row>
    <row r="16" spans="1:5">
      <c r="A16" s="14"/>
      <c r="B16" s="15"/>
      <c r="C16" s="16"/>
      <c r="D16" s="16"/>
      <c r="E16" s="349"/>
    </row>
    <row r="17" spans="1:8" ht="15.75">
      <c r="A17" s="808" t="s">
        <v>164</v>
      </c>
      <c r="B17" s="808"/>
      <c r="C17" s="808"/>
      <c r="D17" s="808"/>
      <c r="E17" s="808"/>
    </row>
    <row r="18" spans="1:8">
      <c r="A18" s="750" t="s">
        <v>165</v>
      </c>
      <c r="B18" s="750"/>
      <c r="C18" s="750"/>
      <c r="D18" s="750"/>
      <c r="E18" s="750"/>
    </row>
    <row r="19" spans="1:8" ht="14.25" customHeight="1">
      <c r="A19" s="295">
        <v>1</v>
      </c>
      <c r="B19" s="770" t="s">
        <v>166</v>
      </c>
      <c r="C19" s="770"/>
      <c r="D19" s="835" t="s">
        <v>369</v>
      </c>
      <c r="E19" s="836"/>
    </row>
    <row r="20" spans="1:8">
      <c r="A20" s="295">
        <v>2</v>
      </c>
      <c r="B20" s="788" t="s">
        <v>168</v>
      </c>
      <c r="C20" s="789"/>
      <c r="D20" s="855" t="s">
        <v>358</v>
      </c>
      <c r="E20" s="857"/>
      <c r="G20" s="34"/>
    </row>
    <row r="21" spans="1:8">
      <c r="A21" s="295">
        <v>3</v>
      </c>
      <c r="B21" s="770" t="s">
        <v>170</v>
      </c>
      <c r="C21" s="770"/>
      <c r="D21" s="511"/>
      <c r="E21" s="512">
        <v>6718.55</v>
      </c>
    </row>
    <row r="22" spans="1:8">
      <c r="A22" s="295">
        <v>4</v>
      </c>
      <c r="B22" s="770" t="s">
        <v>310</v>
      </c>
      <c r="C22" s="770"/>
      <c r="D22" s="822">
        <v>1518</v>
      </c>
      <c r="E22" s="823"/>
    </row>
    <row r="23" spans="1:8">
      <c r="A23" s="295">
        <v>5</v>
      </c>
      <c r="B23" s="770" t="s">
        <v>171</v>
      </c>
      <c r="C23" s="770"/>
      <c r="D23" s="832"/>
      <c r="E23" s="832"/>
    </row>
    <row r="24" spans="1:8">
      <c r="A24" s="295">
        <v>6</v>
      </c>
      <c r="B24" s="770" t="s">
        <v>173</v>
      </c>
      <c r="C24" s="770"/>
      <c r="D24" s="831">
        <v>45658</v>
      </c>
      <c r="E24" s="831"/>
    </row>
    <row r="25" spans="1:8">
      <c r="A25" s="295">
        <v>7</v>
      </c>
      <c r="B25" s="770" t="s">
        <v>312</v>
      </c>
      <c r="C25" s="770"/>
      <c r="D25" s="827" t="str">
        <f>'Assistente Adm I'!D25:E25</f>
        <v>LUCRO PRESUMIDO</v>
      </c>
      <c r="E25" s="827"/>
    </row>
    <row r="26" spans="1:8">
      <c r="A26" s="802"/>
      <c r="B26" s="802"/>
      <c r="C26" s="802"/>
      <c r="D26" s="802"/>
      <c r="E26" s="802"/>
    </row>
    <row r="27" spans="1:8">
      <c r="A27" s="757" t="s">
        <v>174</v>
      </c>
      <c r="B27" s="758"/>
      <c r="C27" s="758"/>
      <c r="D27" s="758"/>
      <c r="E27" s="758"/>
    </row>
    <row r="28" spans="1:8">
      <c r="A28" s="296">
        <v>1</v>
      </c>
      <c r="B28" s="803" t="s">
        <v>175</v>
      </c>
      <c r="C28" s="803"/>
      <c r="D28" s="353" t="s">
        <v>176</v>
      </c>
      <c r="E28" s="53" t="s">
        <v>177</v>
      </c>
    </row>
    <row r="29" spans="1:8">
      <c r="A29" s="295" t="s">
        <v>178</v>
      </c>
      <c r="B29" s="746" t="s">
        <v>179</v>
      </c>
      <c r="C29" s="746"/>
      <c r="D29" s="352"/>
      <c r="E29" s="513">
        <f>E21</f>
        <v>6718.55</v>
      </c>
    </row>
    <row r="30" spans="1:8">
      <c r="A30" s="580" t="s">
        <v>116</v>
      </c>
      <c r="B30" s="825" t="s">
        <v>259</v>
      </c>
      <c r="C30" s="825"/>
      <c r="D30" s="585"/>
      <c r="E30" s="357">
        <v>0</v>
      </c>
    </row>
    <row r="31" spans="1:8" s="5" customFormat="1">
      <c r="A31" s="796" t="s">
        <v>187</v>
      </c>
      <c r="B31" s="796"/>
      <c r="C31" s="796"/>
      <c r="D31" s="796"/>
      <c r="E31" s="358">
        <f>SUM(E29:E30)</f>
        <v>6718.55</v>
      </c>
      <c r="F31" s="30"/>
      <c r="G31" s="30"/>
      <c r="H31" s="30"/>
    </row>
    <row r="32" spans="1:8" s="5" customFormat="1">
      <c r="A32" s="16"/>
      <c r="B32" s="16"/>
      <c r="C32" s="16"/>
      <c r="D32" s="16"/>
      <c r="E32" s="359"/>
    </row>
    <row r="33" spans="1:12" s="5" customFormat="1">
      <c r="A33" s="757" t="s">
        <v>188</v>
      </c>
      <c r="B33" s="758"/>
      <c r="C33" s="758"/>
      <c r="D33" s="758"/>
      <c r="E33" s="758"/>
    </row>
    <row r="34" spans="1:12" s="5" customFormat="1">
      <c r="A34" s="759" t="s">
        <v>315</v>
      </c>
      <c r="B34" s="759"/>
      <c r="C34" s="759"/>
      <c r="D34" s="759"/>
      <c r="E34" s="759"/>
    </row>
    <row r="35" spans="1:12" s="5" customFormat="1">
      <c r="A35" s="53" t="s">
        <v>190</v>
      </c>
      <c r="B35" s="760" t="s">
        <v>316</v>
      </c>
      <c r="C35" s="760"/>
      <c r="D35" s="53" t="s">
        <v>176</v>
      </c>
      <c r="E35" s="70" t="s">
        <v>177</v>
      </c>
    </row>
    <row r="36" spans="1:12" s="5" customFormat="1">
      <c r="A36" s="54" t="s">
        <v>178</v>
      </c>
      <c r="B36" s="786" t="s">
        <v>317</v>
      </c>
      <c r="C36" s="799"/>
      <c r="D36" s="94">
        <v>8.3299999999999999E-2</v>
      </c>
      <c r="E36" s="40">
        <f>D36*E31</f>
        <v>559.655215</v>
      </c>
    </row>
    <row r="37" spans="1:12" s="5" customFormat="1">
      <c r="A37" s="86" t="s">
        <v>193</v>
      </c>
      <c r="B37" s="299" t="s">
        <v>194</v>
      </c>
      <c r="C37" s="318" t="s">
        <v>318</v>
      </c>
      <c r="D37" s="94">
        <v>0.1212</v>
      </c>
      <c r="E37" s="40">
        <f>D37*E31</f>
        <v>814.28826000000004</v>
      </c>
      <c r="G37" s="289"/>
    </row>
    <row r="38" spans="1:12" s="5" customFormat="1" ht="15" thickBot="1">
      <c r="A38" s="750" t="s">
        <v>195</v>
      </c>
      <c r="B38" s="750"/>
      <c r="C38" s="750"/>
      <c r="D38" s="17">
        <f>D36+D37</f>
        <v>0.20450000000000002</v>
      </c>
      <c r="E38" s="41">
        <f>SUM(E36:E37)</f>
        <v>1373.943475</v>
      </c>
    </row>
    <row r="39" spans="1:12" s="5" customFormat="1">
      <c r="A39" s="18"/>
      <c r="B39" s="18"/>
      <c r="C39" s="18"/>
      <c r="D39" s="19"/>
      <c r="E39" s="20"/>
    </row>
    <row r="40" spans="1:12" s="5" customFormat="1">
      <c r="A40" s="759" t="s">
        <v>196</v>
      </c>
      <c r="B40" s="759"/>
      <c r="C40" s="759"/>
      <c r="D40" s="759"/>
      <c r="E40" s="759"/>
    </row>
    <row r="41" spans="1:12" s="5" customFormat="1">
      <c r="A41" s="53" t="s">
        <v>197</v>
      </c>
      <c r="B41" s="761" t="s">
        <v>198</v>
      </c>
      <c r="C41" s="761"/>
      <c r="D41" s="53" t="s">
        <v>176</v>
      </c>
      <c r="E41" s="53" t="s">
        <v>177</v>
      </c>
    </row>
    <row r="42" spans="1:12" s="5" customFormat="1" ht="15">
      <c r="A42" s="36" t="s">
        <v>178</v>
      </c>
      <c r="B42" s="739" t="s">
        <v>319</v>
      </c>
      <c r="C42" s="739"/>
      <c r="D42" s="378">
        <v>0.2</v>
      </c>
      <c r="E42" s="44">
        <f>($E$31+$E$38)*D42</f>
        <v>1618.4986950000002</v>
      </c>
      <c r="F42" s="736"/>
      <c r="G42" s="736"/>
      <c r="H42" s="736"/>
      <c r="I42" s="736"/>
      <c r="K42" s="30"/>
      <c r="L42" s="30"/>
    </row>
    <row r="43" spans="1:12" s="5" customFormat="1" ht="15">
      <c r="A43" s="36" t="s">
        <v>193</v>
      </c>
      <c r="B43" s="739" t="s">
        <v>320</v>
      </c>
      <c r="C43" s="739"/>
      <c r="D43" s="378">
        <v>2.5000000000000001E-2</v>
      </c>
      <c r="E43" s="44">
        <f t="shared" ref="E43:E49" si="0">($E$31+$E$38)*D43</f>
        <v>202.31233687500003</v>
      </c>
      <c r="K43" s="30"/>
      <c r="L43" s="30"/>
    </row>
    <row r="44" spans="1:12" s="5" customFormat="1" ht="15">
      <c r="A44" s="36" t="s">
        <v>117</v>
      </c>
      <c r="B44" s="739" t="s">
        <v>321</v>
      </c>
      <c r="C44" s="739"/>
      <c r="D44" s="378">
        <v>0.02</v>
      </c>
      <c r="E44" s="44">
        <f t="shared" si="0"/>
        <v>161.84986950000001</v>
      </c>
      <c r="F44" s="736"/>
      <c r="G44" s="736"/>
      <c r="H44" s="736"/>
      <c r="I44" s="736"/>
      <c r="K44" s="30"/>
      <c r="L44" s="30"/>
    </row>
    <row r="45" spans="1:12" s="5" customFormat="1" ht="15">
      <c r="A45" s="36" t="s">
        <v>156</v>
      </c>
      <c r="B45" s="739" t="s">
        <v>322</v>
      </c>
      <c r="C45" s="739"/>
      <c r="D45" s="378">
        <v>1.4999999999999999E-2</v>
      </c>
      <c r="E45" s="44">
        <f t="shared" si="0"/>
        <v>121.38740212499999</v>
      </c>
    </row>
    <row r="46" spans="1:12" s="5" customFormat="1" ht="15">
      <c r="A46" s="36" t="s">
        <v>183</v>
      </c>
      <c r="B46" s="739" t="s">
        <v>323</v>
      </c>
      <c r="C46" s="739"/>
      <c r="D46" s="378">
        <v>0.01</v>
      </c>
      <c r="E46" s="44">
        <f t="shared" si="0"/>
        <v>80.924934750000006</v>
      </c>
    </row>
    <row r="47" spans="1:12" s="5" customFormat="1" ht="15">
      <c r="A47" s="36" t="s">
        <v>205</v>
      </c>
      <c r="B47" s="739" t="s">
        <v>324</v>
      </c>
      <c r="C47" s="739"/>
      <c r="D47" s="378">
        <v>6.0000000000000001E-3</v>
      </c>
      <c r="E47" s="44">
        <f t="shared" si="0"/>
        <v>48.554960850000001</v>
      </c>
    </row>
    <row r="48" spans="1:12" s="5" customFormat="1" ht="15">
      <c r="A48" s="36" t="s">
        <v>207</v>
      </c>
      <c r="B48" s="739" t="s">
        <v>325</v>
      </c>
      <c r="C48" s="739"/>
      <c r="D48" s="378">
        <v>2E-3</v>
      </c>
      <c r="E48" s="44">
        <f t="shared" si="0"/>
        <v>16.184986950000003</v>
      </c>
    </row>
    <row r="49" spans="1:13" s="5" customFormat="1" ht="15">
      <c r="A49" s="36" t="s">
        <v>209</v>
      </c>
      <c r="B49" s="739" t="s">
        <v>326</v>
      </c>
      <c r="C49" s="739"/>
      <c r="D49" s="378">
        <v>0.08</v>
      </c>
      <c r="E49" s="44">
        <f t="shared" si="0"/>
        <v>647.39947800000004</v>
      </c>
    </row>
    <row r="50" spans="1:13" s="5" customFormat="1">
      <c r="A50" s="740" t="s">
        <v>211</v>
      </c>
      <c r="B50" s="740"/>
      <c r="C50" s="740"/>
      <c r="D50" s="72">
        <f>SUM(D42:D49)</f>
        <v>0.35800000000000004</v>
      </c>
      <c r="E50" s="45">
        <f>SUM(E42:E49)</f>
        <v>2897.1126640500006</v>
      </c>
    </row>
    <row r="51" spans="1:13" s="5" customFormat="1">
      <c r="A51" s="16"/>
      <c r="B51" s="16"/>
      <c r="C51" s="16"/>
      <c r="D51" s="16"/>
      <c r="E51" s="359"/>
    </row>
    <row r="52" spans="1:13" s="5" customFormat="1">
      <c r="A52" s="870" t="s">
        <v>212</v>
      </c>
      <c r="B52" s="870"/>
      <c r="C52" s="870"/>
      <c r="D52" s="870"/>
      <c r="E52" s="870"/>
    </row>
    <row r="53" spans="1:13" s="6" customFormat="1">
      <c r="A53" s="293" t="s">
        <v>213</v>
      </c>
      <c r="B53" s="843" t="s">
        <v>214</v>
      </c>
      <c r="C53" s="843"/>
      <c r="D53" s="293"/>
      <c r="E53" s="293" t="s">
        <v>177</v>
      </c>
    </row>
    <row r="54" spans="1:13" s="6" customFormat="1" ht="15">
      <c r="A54" s="36" t="s">
        <v>115</v>
      </c>
      <c r="B54" s="739" t="s">
        <v>215</v>
      </c>
      <c r="C54" s="739"/>
      <c r="D54" s="346">
        <f>'Assistente Adm I'!D54</f>
        <v>5.5</v>
      </c>
      <c r="E54" s="292">
        <f>IF((D54*2*21-(E29*6%))&gt;0, D54*2*21-(E29*6%), 0)</f>
        <v>0</v>
      </c>
      <c r="F54" s="37"/>
      <c r="G54"/>
      <c r="M54" s="31"/>
    </row>
    <row r="55" spans="1:13" s="6" customFormat="1" ht="15">
      <c r="A55" s="36" t="s">
        <v>116</v>
      </c>
      <c r="B55" s="739" t="s">
        <v>327</v>
      </c>
      <c r="C55" s="739"/>
      <c r="D55" s="346">
        <v>44.7</v>
      </c>
      <c r="E55" s="292">
        <f>D55*21-(21*0.7)</f>
        <v>924</v>
      </c>
      <c r="F55" s="37"/>
      <c r="G55"/>
      <c r="I55" s="31"/>
      <c r="M55" s="31"/>
    </row>
    <row r="56" spans="1:13" s="6" customFormat="1" ht="15">
      <c r="A56" s="36" t="s">
        <v>117</v>
      </c>
      <c r="B56" s="739" t="s">
        <v>359</v>
      </c>
      <c r="C56" s="739"/>
      <c r="D56" s="377"/>
      <c r="E56" s="292">
        <v>0</v>
      </c>
      <c r="G56"/>
      <c r="I56" s="31"/>
      <c r="M56" s="31"/>
    </row>
    <row r="57" spans="1:13" s="6" customFormat="1" ht="15">
      <c r="A57" s="36" t="s">
        <v>156</v>
      </c>
      <c r="B57" s="536" t="s">
        <v>329</v>
      </c>
      <c r="C57" s="537"/>
      <c r="D57" s="377"/>
      <c r="E57" s="292">
        <v>0</v>
      </c>
      <c r="G57"/>
      <c r="I57" s="31"/>
      <c r="M57" s="31"/>
    </row>
    <row r="58" spans="1:13" s="6" customFormat="1">
      <c r="A58" s="73" t="s">
        <v>183</v>
      </c>
      <c r="B58" s="846" t="s">
        <v>330</v>
      </c>
      <c r="C58" s="847"/>
      <c r="D58" s="47"/>
      <c r="E58" s="291"/>
    </row>
    <row r="59" spans="1:13" s="5" customFormat="1">
      <c r="A59" s="740" t="s">
        <v>223</v>
      </c>
      <c r="B59" s="740"/>
      <c r="C59" s="740"/>
      <c r="D59" s="740"/>
      <c r="E59" s="49">
        <f>SUM(E54:E58)</f>
        <v>924</v>
      </c>
    </row>
    <row r="60" spans="1:13" s="5" customFormat="1" ht="15" thickBot="1">
      <c r="A60" s="74"/>
      <c r="B60" s="75"/>
      <c r="C60" s="75"/>
      <c r="D60" s="75"/>
      <c r="E60" s="61"/>
    </row>
    <row r="61" spans="1:13" s="5" customFormat="1">
      <c r="A61" s="781"/>
      <c r="B61" s="782"/>
      <c r="C61" s="782"/>
      <c r="D61" s="782"/>
      <c r="E61" s="783"/>
    </row>
    <row r="62" spans="1:13" s="5" customFormat="1">
      <c r="A62" s="744" t="s">
        <v>230</v>
      </c>
      <c r="B62" s="744"/>
      <c r="C62" s="744"/>
      <c r="D62" s="744"/>
      <c r="E62" s="744"/>
    </row>
    <row r="63" spans="1:13" s="5" customFormat="1">
      <c r="A63" s="53"/>
      <c r="B63" s="761" t="s">
        <v>232</v>
      </c>
      <c r="C63" s="761"/>
      <c r="D63" s="53" t="s">
        <v>233</v>
      </c>
      <c r="E63" s="53" t="s">
        <v>177</v>
      </c>
    </row>
    <row r="64" spans="1:13" s="5" customFormat="1">
      <c r="A64" s="36" t="s">
        <v>190</v>
      </c>
      <c r="B64" s="844" t="s">
        <v>235</v>
      </c>
      <c r="C64" s="844"/>
      <c r="D64" s="364">
        <f>D38</f>
        <v>0.20450000000000002</v>
      </c>
      <c r="E64" s="44">
        <f>E38</f>
        <v>1373.943475</v>
      </c>
    </row>
    <row r="65" spans="1:7" s="5" customFormat="1">
      <c r="A65" s="36" t="s">
        <v>197</v>
      </c>
      <c r="B65" s="844" t="s">
        <v>236</v>
      </c>
      <c r="C65" s="844"/>
      <c r="D65" s="364">
        <f>D50</f>
        <v>0.35800000000000004</v>
      </c>
      <c r="E65" s="44">
        <f>E50</f>
        <v>2897.1126640500006</v>
      </c>
    </row>
    <row r="66" spans="1:7" s="5" customFormat="1">
      <c r="A66" s="36" t="s">
        <v>213</v>
      </c>
      <c r="B66" s="844" t="s">
        <v>237</v>
      </c>
      <c r="C66" s="844"/>
      <c r="D66" s="364">
        <v>0</v>
      </c>
      <c r="E66" s="44">
        <f>E59</f>
        <v>924</v>
      </c>
    </row>
    <row r="67" spans="1:7" s="5" customFormat="1">
      <c r="A67" s="845" t="s">
        <v>240</v>
      </c>
      <c r="B67" s="845"/>
      <c r="C67" s="845"/>
      <c r="D67" s="365">
        <f>SUM(D64:D66)</f>
        <v>0.5625</v>
      </c>
      <c r="E67" s="49">
        <f>SUM(E64:E66)</f>
        <v>5195.0561390500006</v>
      </c>
    </row>
    <row r="68" spans="1:7" s="5" customFormat="1">
      <c r="A68" s="18"/>
      <c r="B68" s="18"/>
      <c r="C68" s="18"/>
      <c r="D68" s="351"/>
      <c r="E68" s="359"/>
    </row>
    <row r="69" spans="1:7" s="5" customFormat="1">
      <c r="A69" s="757" t="s">
        <v>241</v>
      </c>
      <c r="B69" s="758"/>
      <c r="C69" s="758"/>
      <c r="D69" s="758"/>
      <c r="E69" s="758"/>
    </row>
    <row r="70" spans="1:7" s="5" customFormat="1">
      <c r="A70" s="759" t="s">
        <v>241</v>
      </c>
      <c r="B70" s="759"/>
      <c r="C70" s="759"/>
      <c r="D70" s="759"/>
      <c r="E70" s="759"/>
    </row>
    <row r="71" spans="1:7" s="5" customFormat="1">
      <c r="A71" s="53">
        <v>3</v>
      </c>
      <c r="B71" s="761" t="s">
        <v>242</v>
      </c>
      <c r="C71" s="761"/>
      <c r="D71" s="53" t="s">
        <v>233</v>
      </c>
      <c r="E71" s="53" t="s">
        <v>177</v>
      </c>
    </row>
    <row r="72" spans="1:7" s="5" customFormat="1">
      <c r="A72" s="36" t="s">
        <v>178</v>
      </c>
      <c r="B72" s="849" t="s">
        <v>331</v>
      </c>
      <c r="C72" s="848"/>
      <c r="D72" s="290">
        <f>'Assistente Adm I'!D72</f>
        <v>4.1666666666666666E-3</v>
      </c>
      <c r="E72" s="44">
        <f>D72*$E$31</f>
        <v>27.993958333333335</v>
      </c>
      <c r="G72" s="355"/>
    </row>
    <row r="73" spans="1:7" s="5" customFormat="1" ht="14.25" customHeight="1">
      <c r="A73" s="36" t="s">
        <v>193</v>
      </c>
      <c r="B73" s="848" t="s">
        <v>332</v>
      </c>
      <c r="C73" s="848"/>
      <c r="D73" s="71">
        <f>D49*D72</f>
        <v>3.3333333333333332E-4</v>
      </c>
      <c r="E73" s="44">
        <f>D49*E72</f>
        <v>2.2395166666666668</v>
      </c>
      <c r="G73" s="347"/>
    </row>
    <row r="74" spans="1:7" s="5" customFormat="1" ht="14.25" customHeight="1">
      <c r="A74" s="36" t="s">
        <v>117</v>
      </c>
      <c r="B74" s="858" t="s">
        <v>350</v>
      </c>
      <c r="C74" s="860"/>
      <c r="D74" s="71">
        <v>3.44E-2</v>
      </c>
      <c r="E74" s="44">
        <f>D74*$E$31</f>
        <v>231.11812</v>
      </c>
      <c r="G74" s="347"/>
    </row>
    <row r="75" spans="1:7" s="5" customFormat="1" ht="22.5" customHeight="1">
      <c r="A75" s="36" t="s">
        <v>156</v>
      </c>
      <c r="B75" s="869" t="s">
        <v>334</v>
      </c>
      <c r="C75" s="848"/>
      <c r="D75" s="290">
        <f>'Assistente Adm I'!D75</f>
        <v>1.9444444444444445E-2</v>
      </c>
      <c r="E75" s="44">
        <f>D75*$E$31</f>
        <v>130.63847222222222</v>
      </c>
      <c r="G75" s="348"/>
    </row>
    <row r="76" spans="1:7" s="5" customFormat="1" ht="28.5" customHeight="1">
      <c r="A76" s="36" t="s">
        <v>183</v>
      </c>
      <c r="B76" s="848" t="s">
        <v>335</v>
      </c>
      <c r="C76" s="848"/>
      <c r="D76" s="71">
        <f>D50*D75</f>
        <v>6.9611111111111124E-3</v>
      </c>
      <c r="E76" s="44">
        <f>D50*E75</f>
        <v>46.768573055555557</v>
      </c>
    </row>
    <row r="77" spans="1:7" s="5" customFormat="1" ht="33" customHeight="1">
      <c r="A77" s="36" t="s">
        <v>205</v>
      </c>
      <c r="B77" s="865" t="s">
        <v>361</v>
      </c>
      <c r="C77" s="848"/>
      <c r="D77" s="71">
        <v>5.5999999999999999E-3</v>
      </c>
      <c r="E77" s="44">
        <f>D77*$E$31</f>
        <v>37.62388</v>
      </c>
    </row>
    <row r="78" spans="1:7" s="5" customFormat="1">
      <c r="A78" s="845" t="s">
        <v>250</v>
      </c>
      <c r="B78" s="845"/>
      <c r="C78" s="845"/>
      <c r="D78" s="365">
        <f>SUM(D72:D77)</f>
        <v>7.0905555555555555E-2</v>
      </c>
      <c r="E78" s="49">
        <f>SUM(E72:E77)</f>
        <v>476.38252027777781</v>
      </c>
    </row>
    <row r="79" spans="1:7" s="5" customFormat="1">
      <c r="A79" s="18"/>
      <c r="B79" s="18"/>
      <c r="C79" s="18"/>
      <c r="D79" s="351"/>
      <c r="E79" s="359"/>
    </row>
    <row r="80" spans="1:7" s="5" customFormat="1">
      <c r="A80" s="757" t="s">
        <v>251</v>
      </c>
      <c r="B80" s="758"/>
      <c r="C80" s="758"/>
      <c r="D80" s="758"/>
      <c r="E80" s="758"/>
    </row>
    <row r="81" spans="1:10" s="5" customFormat="1">
      <c r="A81" s="842" t="s">
        <v>252</v>
      </c>
      <c r="B81" s="842"/>
      <c r="C81" s="842"/>
      <c r="D81" s="842"/>
      <c r="E81" s="842"/>
    </row>
    <row r="82" spans="1:10" s="5" customFormat="1">
      <c r="A82" s="852" t="s">
        <v>337</v>
      </c>
      <c r="B82" s="853"/>
      <c r="C82" s="853"/>
      <c r="D82" s="854"/>
      <c r="E82" s="367">
        <f>(E31+E38+E50)</f>
        <v>10989.60613905</v>
      </c>
    </row>
    <row r="83" spans="1:10" s="5" customFormat="1">
      <c r="A83" s="293" t="s">
        <v>253</v>
      </c>
      <c r="B83" s="843" t="s">
        <v>254</v>
      </c>
      <c r="C83" s="843"/>
      <c r="D83" s="293" t="s">
        <v>233</v>
      </c>
      <c r="E83" s="293" t="s">
        <v>177</v>
      </c>
    </row>
    <row r="84" spans="1:10" s="5" customFormat="1">
      <c r="A84" s="36" t="s">
        <v>178</v>
      </c>
      <c r="B84" s="739" t="s">
        <v>338</v>
      </c>
      <c r="C84" s="739"/>
      <c r="D84" s="290">
        <f>((1/3*1/12)+1/12+1/12)/11</f>
        <v>1.7676767676767676E-2</v>
      </c>
      <c r="E84" s="44">
        <f>D84*(E31+E50)</f>
        <v>169.97383497058081</v>
      </c>
      <c r="G84" s="350"/>
      <c r="H84" s="30"/>
      <c r="I84" s="30"/>
      <c r="J84" s="30"/>
    </row>
    <row r="85" spans="1:10" s="5" customFormat="1">
      <c r="A85" s="36" t="s">
        <v>193</v>
      </c>
      <c r="B85" s="739" t="s">
        <v>254</v>
      </c>
      <c r="C85" s="739"/>
      <c r="D85" s="290">
        <f>'Assistente Adm I'!D85</f>
        <v>2.8E-3</v>
      </c>
      <c r="E85" s="44">
        <f>D85*$E$82</f>
        <v>30.770897189340001</v>
      </c>
      <c r="J85" s="350"/>
    </row>
    <row r="86" spans="1:10" s="5" customFormat="1">
      <c r="A86" s="36" t="s">
        <v>245</v>
      </c>
      <c r="B86" s="739" t="s">
        <v>362</v>
      </c>
      <c r="C86" s="739"/>
      <c r="D86" s="290">
        <f>'Assistente Adm I'!D86</f>
        <v>2.0000000000000001E-4</v>
      </c>
      <c r="E86" s="44">
        <f>D86*$E$82</f>
        <v>2.1979212278100002</v>
      </c>
    </row>
    <row r="87" spans="1:10" s="5" customFormat="1">
      <c r="A87" s="36" t="s">
        <v>118</v>
      </c>
      <c r="B87" s="739" t="s">
        <v>340</v>
      </c>
      <c r="C87" s="739"/>
      <c r="D87" s="290">
        <f>'Assistente Adm I'!D87</f>
        <v>6.9999999999999999E-4</v>
      </c>
      <c r="E87" s="44">
        <f>D87*$E$82</f>
        <v>7.6927242973350003</v>
      </c>
    </row>
    <row r="88" spans="1:10" s="5" customFormat="1">
      <c r="A88" s="36" t="s">
        <v>119</v>
      </c>
      <c r="B88" s="739" t="s">
        <v>258</v>
      </c>
      <c r="C88" s="739"/>
      <c r="D88" s="290">
        <f>'Assistente Adm I'!D88</f>
        <v>2E-3</v>
      </c>
      <c r="E88" s="44">
        <f>D88*$E$82</f>
        <v>21.9792122781</v>
      </c>
    </row>
    <row r="89" spans="1:10" s="5" customFormat="1">
      <c r="A89" s="36" t="s">
        <v>185</v>
      </c>
      <c r="B89" s="844" t="s">
        <v>259</v>
      </c>
      <c r="C89" s="844"/>
      <c r="D89" s="71">
        <v>0</v>
      </c>
      <c r="E89" s="44">
        <f t="shared" ref="E89" si="1">D89*$E$31</f>
        <v>0</v>
      </c>
    </row>
    <row r="90" spans="1:10" s="5" customFormat="1">
      <c r="A90" s="796" t="s">
        <v>260</v>
      </c>
      <c r="B90" s="796"/>
      <c r="C90" s="796"/>
      <c r="D90" s="72">
        <f>SUM(D84:D89)</f>
        <v>2.3376767676767676E-2</v>
      </c>
      <c r="E90" s="49">
        <f>SUM(E84:E89)</f>
        <v>232.6145899631658</v>
      </c>
    </row>
    <row r="91" spans="1:10" s="5" customFormat="1">
      <c r="A91" s="18"/>
      <c r="B91" s="18"/>
      <c r="C91" s="18"/>
      <c r="D91" s="351"/>
      <c r="E91" s="359"/>
    </row>
    <row r="92" spans="1:10" s="5" customFormat="1">
      <c r="A92" s="759" t="s">
        <v>261</v>
      </c>
      <c r="B92" s="759"/>
      <c r="C92" s="759"/>
      <c r="D92" s="759"/>
      <c r="E92" s="759"/>
    </row>
    <row r="93" spans="1:10" s="5" customFormat="1">
      <c r="A93" s="53" t="s">
        <v>262</v>
      </c>
      <c r="B93" s="760" t="s">
        <v>263</v>
      </c>
      <c r="C93" s="760"/>
      <c r="D93" s="53" t="s">
        <v>233</v>
      </c>
      <c r="E93" s="53" t="s">
        <v>177</v>
      </c>
    </row>
    <row r="94" spans="1:10">
      <c r="A94" s="36" t="s">
        <v>178</v>
      </c>
      <c r="B94" s="739" t="s">
        <v>264</v>
      </c>
      <c r="C94" s="739"/>
      <c r="D94" s="76">
        <v>0</v>
      </c>
      <c r="E94" s="44">
        <f>(E31+E67+E78)/220*1*15*D94</f>
        <v>0</v>
      </c>
    </row>
    <row r="95" spans="1:10">
      <c r="A95" s="845" t="s">
        <v>265</v>
      </c>
      <c r="B95" s="845"/>
      <c r="C95" s="845"/>
      <c r="D95" s="845"/>
      <c r="E95" s="49">
        <f>E94</f>
        <v>0</v>
      </c>
    </row>
    <row r="96" spans="1:10">
      <c r="A96" s="855"/>
      <c r="B96" s="856"/>
      <c r="C96" s="856"/>
      <c r="D96" s="856"/>
      <c r="E96" s="857"/>
    </row>
    <row r="97" spans="1:5">
      <c r="A97" s="744" t="s">
        <v>266</v>
      </c>
      <c r="B97" s="744"/>
      <c r="C97" s="744"/>
      <c r="D97" s="744"/>
      <c r="E97" s="744"/>
    </row>
    <row r="98" spans="1:5">
      <c r="A98" s="53"/>
      <c r="B98" s="761" t="s">
        <v>267</v>
      </c>
      <c r="C98" s="761"/>
      <c r="D98" s="53" t="s">
        <v>233</v>
      </c>
      <c r="E98" s="53" t="s">
        <v>177</v>
      </c>
    </row>
    <row r="99" spans="1:5">
      <c r="A99" s="36" t="s">
        <v>253</v>
      </c>
      <c r="B99" s="844" t="s">
        <v>254</v>
      </c>
      <c r="C99" s="844"/>
      <c r="D99" s="364">
        <f>D90</f>
        <v>2.3376767676767676E-2</v>
      </c>
      <c r="E99" s="44">
        <f>E90</f>
        <v>232.6145899631658</v>
      </c>
    </row>
    <row r="100" spans="1:5">
      <c r="A100" s="36" t="s">
        <v>262</v>
      </c>
      <c r="B100" s="844" t="s">
        <v>263</v>
      </c>
      <c r="C100" s="844"/>
      <c r="D100" s="71">
        <v>0</v>
      </c>
      <c r="E100" s="44">
        <f>E95</f>
        <v>0</v>
      </c>
    </row>
    <row r="101" spans="1:5">
      <c r="A101" s="845" t="s">
        <v>268</v>
      </c>
      <c r="B101" s="845"/>
      <c r="C101" s="845"/>
      <c r="D101" s="365">
        <f>SUM(D99:D100)</f>
        <v>2.3376767676767676E-2</v>
      </c>
      <c r="E101" s="49">
        <f>E99+E100</f>
        <v>232.6145899631658</v>
      </c>
    </row>
    <row r="102" spans="1:5">
      <c r="A102" s="13"/>
      <c r="B102" s="18"/>
      <c r="C102" s="18"/>
      <c r="D102" s="351"/>
      <c r="E102" s="359"/>
    </row>
    <row r="103" spans="1:5">
      <c r="A103" s="757" t="s">
        <v>269</v>
      </c>
      <c r="B103" s="758"/>
      <c r="C103" s="758"/>
      <c r="D103" s="758"/>
      <c r="E103" s="758"/>
    </row>
    <row r="104" spans="1:5">
      <c r="A104" s="759" t="s">
        <v>269</v>
      </c>
      <c r="B104" s="759"/>
      <c r="C104" s="759"/>
      <c r="D104" s="759"/>
      <c r="E104" s="759"/>
    </row>
    <row r="105" spans="1:5">
      <c r="A105" s="53">
        <v>5</v>
      </c>
      <c r="B105" s="761" t="s">
        <v>270</v>
      </c>
      <c r="C105" s="761"/>
      <c r="D105" s="761"/>
      <c r="E105" s="53" t="s">
        <v>177</v>
      </c>
    </row>
    <row r="106" spans="1:5">
      <c r="A106" s="36" t="s">
        <v>178</v>
      </c>
      <c r="B106" s="844" t="s">
        <v>271</v>
      </c>
      <c r="C106" s="844"/>
      <c r="D106" s="844"/>
      <c r="E106" s="44">
        <v>0</v>
      </c>
    </row>
    <row r="107" spans="1:5">
      <c r="A107" s="36" t="s">
        <v>193</v>
      </c>
      <c r="B107" s="844" t="s">
        <v>363</v>
      </c>
      <c r="C107" s="844"/>
      <c r="D107" s="844"/>
      <c r="E107" s="44">
        <v>0</v>
      </c>
    </row>
    <row r="108" spans="1:5" s="5" customFormat="1">
      <c r="A108" s="845" t="s">
        <v>276</v>
      </c>
      <c r="B108" s="845"/>
      <c r="C108" s="845"/>
      <c r="D108" s="845"/>
      <c r="E108" s="49">
        <f>SUM(E106:E107)</f>
        <v>0</v>
      </c>
    </row>
    <row r="109" spans="1:5">
      <c r="E109" s="360">
        <f>D67+D78+D101</f>
        <v>0.65678232323232322</v>
      </c>
    </row>
    <row r="110" spans="1:5">
      <c r="A110" s="29"/>
      <c r="B110" s="29"/>
      <c r="C110" s="29"/>
      <c r="D110" s="29"/>
      <c r="E110" s="351"/>
    </row>
    <row r="111" spans="1:5">
      <c r="A111" s="861" t="s">
        <v>278</v>
      </c>
      <c r="B111" s="861"/>
      <c r="C111" s="861"/>
      <c r="D111" s="861"/>
      <c r="E111" s="861"/>
    </row>
    <row r="112" spans="1:5" s="6" customFormat="1">
      <c r="A112" s="759" t="s">
        <v>278</v>
      </c>
      <c r="B112" s="759"/>
      <c r="C112" s="759"/>
      <c r="D112" s="759"/>
      <c r="E112" s="759"/>
    </row>
    <row r="113" spans="1:12">
      <c r="A113" s="53">
        <v>6</v>
      </c>
      <c r="B113" s="760" t="s">
        <v>279</v>
      </c>
      <c r="C113" s="760"/>
      <c r="D113" s="53" t="s">
        <v>176</v>
      </c>
      <c r="E113" s="53" t="s">
        <v>177</v>
      </c>
      <c r="F113" s="380"/>
    </row>
    <row r="114" spans="1:12">
      <c r="A114" s="354" t="s">
        <v>178</v>
      </c>
      <c r="B114" s="844" t="s">
        <v>280</v>
      </c>
      <c r="C114" s="844"/>
      <c r="D114" s="290">
        <v>0.05</v>
      </c>
      <c r="E114" s="44">
        <f>D114*E129</f>
        <v>631.1301624645472</v>
      </c>
      <c r="F114" s="380" t="e">
        <f>#REF!</f>
        <v>#REF!</v>
      </c>
      <c r="L114" s="545"/>
    </row>
    <row r="115" spans="1:12">
      <c r="A115" s="354" t="s">
        <v>193</v>
      </c>
      <c r="B115" s="844" t="s">
        <v>281</v>
      </c>
      <c r="C115" s="844"/>
      <c r="D115" s="290">
        <v>0.05</v>
      </c>
      <c r="E115" s="44">
        <f>D115*(E114+E129)</f>
        <v>662.68667058777464</v>
      </c>
      <c r="F115" s="380" t="e">
        <f>#REF!</f>
        <v>#REF!</v>
      </c>
      <c r="L115" s="545"/>
    </row>
    <row r="116" spans="1:12">
      <c r="A116" s="862" t="s">
        <v>117</v>
      </c>
      <c r="B116" s="845" t="s">
        <v>282</v>
      </c>
      <c r="C116" s="845"/>
      <c r="D116" s="72"/>
      <c r="E116" s="49"/>
      <c r="F116" s="380" t="e">
        <f>F115-F114</f>
        <v>#REF!</v>
      </c>
    </row>
    <row r="117" spans="1:12">
      <c r="A117" s="862"/>
      <c r="B117" s="844" t="s">
        <v>283</v>
      </c>
      <c r="C117" s="844"/>
      <c r="D117" s="290">
        <f>'Assistente Adm I'!D117</f>
        <v>6.4999999999999997E-3</v>
      </c>
      <c r="E117" s="44">
        <f>($E$114+$E$115+$E$129)/(1-($D$117+$D$118+$D$119))*D117</f>
        <v>99.022146179782396</v>
      </c>
      <c r="F117" s="380"/>
    </row>
    <row r="118" spans="1:12">
      <c r="A118" s="862"/>
      <c r="B118" s="844" t="s">
        <v>284</v>
      </c>
      <c r="C118" s="844"/>
      <c r="D118" s="290">
        <f>'Assistente Adm I'!D118</f>
        <v>0.03</v>
      </c>
      <c r="E118" s="44">
        <f>($E$114+$E$115+$E$129)/(1-($D$117+$D$118+$D$119))*D118</f>
        <v>457.02529006053419</v>
      </c>
      <c r="F118" s="380"/>
    </row>
    <row r="119" spans="1:12" s="3" customFormat="1">
      <c r="A119" s="862"/>
      <c r="B119" s="844" t="s">
        <v>343</v>
      </c>
      <c r="C119" s="844"/>
      <c r="D119" s="290">
        <f>'Assistente Adm I'!D119</f>
        <v>0.05</v>
      </c>
      <c r="E119" s="44">
        <f>($E$114+$E$115+$E$129)/(1-($D$117+$D$118+$D$119))*D119</f>
        <v>761.70881676755698</v>
      </c>
      <c r="F119" s="380"/>
    </row>
    <row r="120" spans="1:12">
      <c r="A120" s="740" t="s">
        <v>286</v>
      </c>
      <c r="B120" s="740"/>
      <c r="C120" s="740"/>
      <c r="D120" s="72">
        <f>SUM(D114:D119)</f>
        <v>0.1865</v>
      </c>
      <c r="E120" s="49">
        <f>SUM(E114:E119)</f>
        <v>2611.5730860601952</v>
      </c>
      <c r="F120" s="380"/>
    </row>
    <row r="121" spans="1:12">
      <c r="D121" s="366"/>
      <c r="F121" s="380"/>
    </row>
    <row r="122" spans="1:12">
      <c r="A122" s="744" t="s">
        <v>287</v>
      </c>
      <c r="B122" s="744"/>
      <c r="C122" s="744"/>
      <c r="D122" s="744"/>
      <c r="E122" s="744"/>
      <c r="F122" s="380"/>
    </row>
    <row r="123" spans="1:12">
      <c r="A123" s="740" t="s">
        <v>288</v>
      </c>
      <c r="B123" s="740"/>
      <c r="C123" s="740"/>
      <c r="D123" s="740"/>
      <c r="E123" s="53" t="s">
        <v>289</v>
      </c>
    </row>
    <row r="124" spans="1:12">
      <c r="A124" s="36" t="s">
        <v>178</v>
      </c>
      <c r="B124" s="739" t="s">
        <v>290</v>
      </c>
      <c r="C124" s="739"/>
      <c r="D124" s="739"/>
      <c r="E124" s="361">
        <f>E31</f>
        <v>6718.55</v>
      </c>
    </row>
    <row r="125" spans="1:12">
      <c r="A125" s="36" t="s">
        <v>193</v>
      </c>
      <c r="B125" s="739" t="s">
        <v>291</v>
      </c>
      <c r="C125" s="739"/>
      <c r="D125" s="739"/>
      <c r="E125" s="362">
        <f>E67</f>
        <v>5195.0561390500006</v>
      </c>
    </row>
    <row r="126" spans="1:12">
      <c r="A126" s="36" t="s">
        <v>245</v>
      </c>
      <c r="B126" s="739" t="s">
        <v>292</v>
      </c>
      <c r="C126" s="739"/>
      <c r="D126" s="739"/>
      <c r="E126" s="362">
        <f>E78</f>
        <v>476.38252027777781</v>
      </c>
    </row>
    <row r="127" spans="1:12">
      <c r="A127" s="36" t="s">
        <v>118</v>
      </c>
      <c r="B127" s="739" t="s">
        <v>293</v>
      </c>
      <c r="C127" s="739"/>
      <c r="D127" s="739"/>
      <c r="E127" s="362">
        <f>E101</f>
        <v>232.6145899631658</v>
      </c>
    </row>
    <row r="128" spans="1:12">
      <c r="A128" s="36" t="s">
        <v>119</v>
      </c>
      <c r="B128" s="858" t="s">
        <v>294</v>
      </c>
      <c r="C128" s="859"/>
      <c r="D128" s="860"/>
      <c r="E128" s="361">
        <f>E108</f>
        <v>0</v>
      </c>
    </row>
    <row r="129" spans="1:12">
      <c r="A129" s="740" t="s">
        <v>295</v>
      </c>
      <c r="B129" s="740"/>
      <c r="C129" s="740"/>
      <c r="D129" s="740"/>
      <c r="E129" s="41">
        <f>SUM(E124:E128)</f>
        <v>12622.603249290943</v>
      </c>
      <c r="L129" s="380"/>
    </row>
    <row r="130" spans="1:12" s="5" customFormat="1">
      <c r="A130" s="36" t="s">
        <v>185</v>
      </c>
      <c r="B130" s="739" t="s">
        <v>296</v>
      </c>
      <c r="C130" s="739"/>
      <c r="D130" s="739"/>
      <c r="E130" s="362">
        <f>E120</f>
        <v>2611.5730860601952</v>
      </c>
    </row>
    <row r="131" spans="1:12">
      <c r="A131" s="740" t="s">
        <v>297</v>
      </c>
      <c r="B131" s="740"/>
      <c r="C131" s="740"/>
      <c r="D131" s="740"/>
      <c r="E131" s="41">
        <f>SUM(E129:E130)</f>
        <v>15234.176335351138</v>
      </c>
      <c r="L131" s="546"/>
    </row>
    <row r="132" spans="1:12">
      <c r="E132" s="363"/>
    </row>
    <row r="133" spans="1:12">
      <c r="E133" s="31"/>
    </row>
  </sheetData>
  <mergeCells count="127">
    <mergeCell ref="A2:E2"/>
    <mergeCell ref="A4:E4"/>
    <mergeCell ref="A5:E5"/>
    <mergeCell ref="A6:E6"/>
    <mergeCell ref="A7:E7"/>
    <mergeCell ref="B8:C8"/>
    <mergeCell ref="D8:E8"/>
    <mergeCell ref="A13:E13"/>
    <mergeCell ref="B14:C14"/>
    <mergeCell ref="B15:C15"/>
    <mergeCell ref="A17:E17"/>
    <mergeCell ref="A18:E18"/>
    <mergeCell ref="B19:C19"/>
    <mergeCell ref="D19:E19"/>
    <mergeCell ref="B9:C9"/>
    <mergeCell ref="D9:E9"/>
    <mergeCell ref="B10:C10"/>
    <mergeCell ref="D10:E10"/>
    <mergeCell ref="B11:C11"/>
    <mergeCell ref="D11:E11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B22:C22"/>
    <mergeCell ref="D22:E22"/>
    <mergeCell ref="A33:E33"/>
    <mergeCell ref="A34:E34"/>
    <mergeCell ref="B35:C35"/>
    <mergeCell ref="B36:C36"/>
    <mergeCell ref="A38:C38"/>
    <mergeCell ref="A40:E40"/>
    <mergeCell ref="A26:E26"/>
    <mergeCell ref="A27:E27"/>
    <mergeCell ref="B28:C28"/>
    <mergeCell ref="B29:C29"/>
    <mergeCell ref="B30:C30"/>
    <mergeCell ref="A31:D31"/>
    <mergeCell ref="B45:C45"/>
    <mergeCell ref="B46:C46"/>
    <mergeCell ref="B47:C47"/>
    <mergeCell ref="B48:C48"/>
    <mergeCell ref="B49:C49"/>
    <mergeCell ref="A50:C50"/>
    <mergeCell ref="B41:C41"/>
    <mergeCell ref="B42:C42"/>
    <mergeCell ref="F42:I42"/>
    <mergeCell ref="B43:C43"/>
    <mergeCell ref="B44:C44"/>
    <mergeCell ref="F44:I44"/>
    <mergeCell ref="A59:D59"/>
    <mergeCell ref="A61:E61"/>
    <mergeCell ref="A62:E62"/>
    <mergeCell ref="B63:C63"/>
    <mergeCell ref="B64:C64"/>
    <mergeCell ref="B65:C65"/>
    <mergeCell ref="A52:E52"/>
    <mergeCell ref="B53:C53"/>
    <mergeCell ref="B54:C54"/>
    <mergeCell ref="B55:C55"/>
    <mergeCell ref="B56:C56"/>
    <mergeCell ref="B58:C58"/>
    <mergeCell ref="B73:C73"/>
    <mergeCell ref="B75:C75"/>
    <mergeCell ref="B76:C76"/>
    <mergeCell ref="B77:C77"/>
    <mergeCell ref="A78:C78"/>
    <mergeCell ref="A80:E80"/>
    <mergeCell ref="B66:C66"/>
    <mergeCell ref="A67:C67"/>
    <mergeCell ref="A69:E69"/>
    <mergeCell ref="A70:E70"/>
    <mergeCell ref="B71:C71"/>
    <mergeCell ref="B72:C72"/>
    <mergeCell ref="B74:C74"/>
    <mergeCell ref="B87:C87"/>
    <mergeCell ref="B88:C88"/>
    <mergeCell ref="B89:C89"/>
    <mergeCell ref="A90:C90"/>
    <mergeCell ref="A92:E92"/>
    <mergeCell ref="B93:C93"/>
    <mergeCell ref="A81:E81"/>
    <mergeCell ref="A82:D82"/>
    <mergeCell ref="B83:C83"/>
    <mergeCell ref="B84:C84"/>
    <mergeCell ref="B85:C85"/>
    <mergeCell ref="B86:C86"/>
    <mergeCell ref="B100:C100"/>
    <mergeCell ref="A101:C101"/>
    <mergeCell ref="A103:E103"/>
    <mergeCell ref="A104:E104"/>
    <mergeCell ref="B105:D105"/>
    <mergeCell ref="B106:D106"/>
    <mergeCell ref="B94:C94"/>
    <mergeCell ref="A95:D95"/>
    <mergeCell ref="A96:E96"/>
    <mergeCell ref="A97:E97"/>
    <mergeCell ref="B98:C98"/>
    <mergeCell ref="B99:C99"/>
    <mergeCell ref="B115:C115"/>
    <mergeCell ref="A116:A119"/>
    <mergeCell ref="B116:C116"/>
    <mergeCell ref="B117:C117"/>
    <mergeCell ref="B118:C118"/>
    <mergeCell ref="B119:C119"/>
    <mergeCell ref="B107:D107"/>
    <mergeCell ref="A108:D108"/>
    <mergeCell ref="A111:E111"/>
    <mergeCell ref="A112:E112"/>
    <mergeCell ref="B113:C113"/>
    <mergeCell ref="B114:C114"/>
    <mergeCell ref="B127:D127"/>
    <mergeCell ref="B128:D128"/>
    <mergeCell ref="A129:D129"/>
    <mergeCell ref="B130:D130"/>
    <mergeCell ref="A131:D131"/>
    <mergeCell ref="A120:C120"/>
    <mergeCell ref="A122:E122"/>
    <mergeCell ref="A123:D123"/>
    <mergeCell ref="B124:D124"/>
    <mergeCell ref="B125:D125"/>
    <mergeCell ref="B126:D126"/>
  </mergeCells>
  <pageMargins left="0.51181102362204722" right="0.51181102362204722" top="1.0629921259842521" bottom="0.98425196850393704" header="0.31496062992125984" footer="0.31496062992125984"/>
  <pageSetup paperSize="9" scale="70" fitToHeight="0" orientation="portrait" r:id="rId1"/>
  <headerFooter>
    <oddHeader>&amp;L&amp;G</oddHeader>
    <oddFooter>&amp;L&amp;G&amp;RPágina &amp;P</oddFooter>
  </headerFooter>
  <rowBreaks count="1" manualBreakCount="1">
    <brk id="67" max="4" man="1"/>
  </rowBreaks>
  <colBreaks count="1" manualBreakCount="1">
    <brk id="5" max="1048575" man="1"/>
  </colBreaks>
  <legacy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0FCE-0360-4236-8401-8405317ABDEE}">
  <sheetPr codeName="Planilha18">
    <tabColor theme="0"/>
  </sheetPr>
  <dimension ref="A2:M133"/>
  <sheetViews>
    <sheetView topLeftCell="A42" zoomScaleNormal="100" zoomScaleSheetLayoutView="110" workbookViewId="0">
      <selection activeCell="E57" sqref="E57"/>
    </sheetView>
  </sheetViews>
  <sheetFormatPr defaultColWidth="9.140625" defaultRowHeight="14.25"/>
  <cols>
    <col min="1" max="1" width="7.28515625" style="2" customWidth="1"/>
    <col min="2" max="2" width="31.5703125" style="1" customWidth="1"/>
    <col min="3" max="3" width="34.28515625" style="1" customWidth="1"/>
    <col min="4" max="4" width="16.28515625" style="2" customWidth="1"/>
    <col min="5" max="5" width="23.5703125" style="6" customWidth="1"/>
    <col min="6" max="6" width="18.42578125" style="1" hidden="1" customWidth="1"/>
    <col min="7" max="7" width="12.28515625" style="1" customWidth="1"/>
    <col min="8" max="8" width="11.28515625" style="1" bestFit="1" customWidth="1"/>
    <col min="9" max="9" width="9.140625" style="1"/>
    <col min="10" max="10" width="11.5703125" style="1" bestFit="1" customWidth="1"/>
    <col min="11" max="11" width="9.140625" style="1"/>
    <col min="12" max="12" width="14.28515625" style="1" bestFit="1" customWidth="1"/>
    <col min="13" max="13" width="10.5703125" style="1" bestFit="1" customWidth="1"/>
    <col min="14" max="16384" width="9.140625" style="1"/>
  </cols>
  <sheetData>
    <row r="2" spans="1:5">
      <c r="A2" s="828" t="s">
        <v>300</v>
      </c>
      <c r="B2" s="829"/>
      <c r="C2" s="829"/>
      <c r="D2" s="829"/>
      <c r="E2" s="829"/>
    </row>
    <row r="3" spans="1:5">
      <c r="A3" s="837"/>
      <c r="B3" s="838"/>
      <c r="C3" s="838"/>
      <c r="D3" s="838"/>
      <c r="E3" s="838"/>
    </row>
    <row r="4" spans="1:5" ht="15.75">
      <c r="A4" s="830" t="s">
        <v>301</v>
      </c>
      <c r="B4" s="830"/>
      <c r="C4" s="830"/>
      <c r="D4" s="830"/>
      <c r="E4" s="830"/>
    </row>
    <row r="5" spans="1:5" ht="15.75">
      <c r="A5" s="830" t="s">
        <v>302</v>
      </c>
      <c r="B5" s="830"/>
      <c r="C5" s="830"/>
      <c r="D5" s="830"/>
      <c r="E5" s="830"/>
    </row>
    <row r="6" spans="1:5">
      <c r="A6" s="93"/>
      <c r="B6" s="93"/>
      <c r="C6" s="93"/>
      <c r="D6" s="93"/>
      <c r="E6" s="93"/>
    </row>
    <row r="7" spans="1:5">
      <c r="A7" s="750" t="s">
        <v>150</v>
      </c>
      <c r="B7" s="750"/>
      <c r="C7" s="750"/>
      <c r="D7" s="750"/>
      <c r="E7" s="750"/>
    </row>
    <row r="8" spans="1:5">
      <c r="A8" s="295" t="s">
        <v>115</v>
      </c>
      <c r="B8" s="770" t="s">
        <v>151</v>
      </c>
      <c r="C8" s="770"/>
      <c r="D8" s="831"/>
      <c r="E8" s="832"/>
    </row>
    <row r="9" spans="1:5">
      <c r="A9" s="295" t="s">
        <v>116</v>
      </c>
      <c r="B9" s="770" t="s">
        <v>152</v>
      </c>
      <c r="C9" s="770"/>
      <c r="D9" s="813" t="s">
        <v>303</v>
      </c>
      <c r="E9" s="814"/>
    </row>
    <row r="10" spans="1:5">
      <c r="A10" s="295" t="s">
        <v>117</v>
      </c>
      <c r="B10" s="770" t="s">
        <v>154</v>
      </c>
      <c r="C10" s="770"/>
      <c r="D10" s="820" t="s">
        <v>304</v>
      </c>
      <c r="E10" s="821"/>
    </row>
    <row r="11" spans="1:5">
      <c r="A11" s="295" t="s">
        <v>156</v>
      </c>
      <c r="B11" s="770" t="s">
        <v>157</v>
      </c>
      <c r="C11" s="770"/>
      <c r="D11" s="815">
        <v>12</v>
      </c>
      <c r="E11" s="815"/>
    </row>
    <row r="12" spans="1:5">
      <c r="A12" s="14"/>
      <c r="B12" s="15"/>
      <c r="C12" s="15"/>
      <c r="D12" s="14"/>
      <c r="E12" s="14"/>
    </row>
    <row r="13" spans="1:5">
      <c r="A13" s="750" t="s">
        <v>305</v>
      </c>
      <c r="B13" s="750"/>
      <c r="C13" s="750"/>
      <c r="D13" s="750"/>
      <c r="E13" s="750"/>
    </row>
    <row r="14" spans="1:5" ht="28.5">
      <c r="A14" s="296" t="s">
        <v>158</v>
      </c>
      <c r="B14" s="800" t="s">
        <v>159</v>
      </c>
      <c r="C14" s="768"/>
      <c r="D14" s="353" t="s">
        <v>160</v>
      </c>
      <c r="E14" s="296" t="s">
        <v>161</v>
      </c>
    </row>
    <row r="15" spans="1:5">
      <c r="A15" s="297">
        <v>1</v>
      </c>
      <c r="B15" s="839" t="s">
        <v>575</v>
      </c>
      <c r="C15" s="840"/>
      <c r="D15" s="370" t="s">
        <v>307</v>
      </c>
      <c r="E15" s="376" t="s">
        <v>574</v>
      </c>
    </row>
    <row r="16" spans="1:5">
      <c r="A16" s="14"/>
      <c r="B16" s="15"/>
      <c r="C16" s="16"/>
      <c r="D16" s="16"/>
      <c r="E16" s="349"/>
    </row>
    <row r="17" spans="1:8" ht="15.75">
      <c r="A17" s="808" t="s">
        <v>164</v>
      </c>
      <c r="B17" s="808"/>
      <c r="C17" s="808"/>
      <c r="D17" s="808"/>
      <c r="E17" s="808"/>
    </row>
    <row r="18" spans="1:8">
      <c r="A18" s="750" t="s">
        <v>165</v>
      </c>
      <c r="B18" s="750"/>
      <c r="C18" s="750"/>
      <c r="D18" s="750"/>
      <c r="E18" s="750"/>
    </row>
    <row r="19" spans="1:8">
      <c r="A19" s="295">
        <v>1</v>
      </c>
      <c r="B19" s="770" t="s">
        <v>166</v>
      </c>
      <c r="C19" s="770"/>
      <c r="D19" s="835" t="s">
        <v>370</v>
      </c>
      <c r="E19" s="836"/>
    </row>
    <row r="20" spans="1:8">
      <c r="A20" s="295">
        <v>2</v>
      </c>
      <c r="B20" s="788" t="s">
        <v>168</v>
      </c>
      <c r="C20" s="789"/>
      <c r="D20" s="833" t="s">
        <v>308</v>
      </c>
      <c r="E20" s="834"/>
      <c r="G20" s="34"/>
    </row>
    <row r="21" spans="1:8">
      <c r="A21" s="295">
        <v>3</v>
      </c>
      <c r="B21" s="770" t="s">
        <v>309</v>
      </c>
      <c r="C21" s="788"/>
      <c r="D21" s="508"/>
      <c r="E21" s="509">
        <v>2538.29</v>
      </c>
    </row>
    <row r="22" spans="1:8">
      <c r="A22" s="295">
        <v>4</v>
      </c>
      <c r="B22" s="770" t="s">
        <v>310</v>
      </c>
      <c r="C22" s="770"/>
      <c r="D22" s="822">
        <v>1518</v>
      </c>
      <c r="E22" s="823"/>
    </row>
    <row r="23" spans="1:8">
      <c r="A23" s="295">
        <v>5</v>
      </c>
      <c r="B23" s="770" t="s">
        <v>171</v>
      </c>
      <c r="C23" s="770"/>
      <c r="D23" s="806" t="s">
        <v>311</v>
      </c>
      <c r="E23" s="806"/>
    </row>
    <row r="24" spans="1:8">
      <c r="A24" s="295">
        <v>6</v>
      </c>
      <c r="B24" s="770" t="s">
        <v>173</v>
      </c>
      <c r="C24" s="770"/>
      <c r="D24" s="826">
        <v>45658</v>
      </c>
      <c r="E24" s="826"/>
    </row>
    <row r="25" spans="1:8">
      <c r="A25" s="295">
        <v>7</v>
      </c>
      <c r="B25" s="770" t="s">
        <v>312</v>
      </c>
      <c r="C25" s="770"/>
      <c r="D25" s="827" t="s">
        <v>313</v>
      </c>
      <c r="E25" s="827"/>
    </row>
    <row r="26" spans="1:8">
      <c r="A26" s="802"/>
      <c r="B26" s="802"/>
      <c r="C26" s="802"/>
      <c r="D26" s="802"/>
      <c r="E26" s="802"/>
    </row>
    <row r="27" spans="1:8">
      <c r="A27" s="757" t="s">
        <v>174</v>
      </c>
      <c r="B27" s="758"/>
      <c r="C27" s="758"/>
      <c r="D27" s="758"/>
      <c r="E27" s="758"/>
    </row>
    <row r="28" spans="1:8">
      <c r="A28" s="296">
        <v>1</v>
      </c>
      <c r="B28" s="803" t="s">
        <v>175</v>
      </c>
      <c r="C28" s="803"/>
      <c r="D28" s="353" t="s">
        <v>176</v>
      </c>
      <c r="E28" s="53" t="s">
        <v>177</v>
      </c>
    </row>
    <row r="29" spans="1:8">
      <c r="A29" s="295" t="s">
        <v>178</v>
      </c>
      <c r="B29" s="824" t="s">
        <v>314</v>
      </c>
      <c r="C29" s="746"/>
      <c r="D29" s="352"/>
      <c r="E29" s="356">
        <f>E21</f>
        <v>2538.29</v>
      </c>
    </row>
    <row r="30" spans="1:8">
      <c r="A30" s="580" t="s">
        <v>116</v>
      </c>
      <c r="B30" s="825" t="s">
        <v>259</v>
      </c>
      <c r="C30" s="825"/>
      <c r="D30" s="585"/>
      <c r="E30" s="357">
        <v>0</v>
      </c>
    </row>
    <row r="31" spans="1:8" s="5" customFormat="1">
      <c r="A31" s="796" t="s">
        <v>187</v>
      </c>
      <c r="B31" s="796"/>
      <c r="C31" s="796"/>
      <c r="D31" s="796"/>
      <c r="E31" s="358">
        <f>SUM(E29:E30)</f>
        <v>2538.29</v>
      </c>
      <c r="F31" s="30"/>
      <c r="G31" s="30"/>
      <c r="H31" s="30"/>
    </row>
    <row r="32" spans="1:8" s="5" customFormat="1">
      <c r="A32" s="16"/>
      <c r="B32" s="16"/>
      <c r="C32" s="16"/>
      <c r="D32" s="16"/>
      <c r="E32" s="359"/>
    </row>
    <row r="33" spans="1:12" s="5" customFormat="1">
      <c r="A33" s="757" t="s">
        <v>188</v>
      </c>
      <c r="B33" s="758"/>
      <c r="C33" s="758"/>
      <c r="D33" s="758"/>
      <c r="E33" s="758"/>
    </row>
    <row r="34" spans="1:12" s="5" customFormat="1">
      <c r="A34" s="759" t="s">
        <v>315</v>
      </c>
      <c r="B34" s="759"/>
      <c r="C34" s="759"/>
      <c r="D34" s="759"/>
      <c r="E34" s="759"/>
    </row>
    <row r="35" spans="1:12" s="5" customFormat="1">
      <c r="A35" s="53" t="s">
        <v>190</v>
      </c>
      <c r="B35" s="760" t="s">
        <v>316</v>
      </c>
      <c r="C35" s="760"/>
      <c r="D35" s="53" t="s">
        <v>176</v>
      </c>
      <c r="E35" s="70" t="s">
        <v>177</v>
      </c>
    </row>
    <row r="36" spans="1:12" s="5" customFormat="1">
      <c r="A36" s="54" t="s">
        <v>178</v>
      </c>
      <c r="B36" s="786" t="s">
        <v>317</v>
      </c>
      <c r="C36" s="799"/>
      <c r="D36" s="94">
        <v>8.3299999999999999E-2</v>
      </c>
      <c r="E36" s="40">
        <f>D36*E31</f>
        <v>211.43955700000001</v>
      </c>
    </row>
    <row r="37" spans="1:12" s="5" customFormat="1">
      <c r="A37" s="86" t="s">
        <v>193</v>
      </c>
      <c r="B37" s="299" t="s">
        <v>194</v>
      </c>
      <c r="C37" s="318" t="s">
        <v>318</v>
      </c>
      <c r="D37" s="94">
        <v>0.1212</v>
      </c>
      <c r="E37" s="40">
        <f>D37*E31</f>
        <v>307.64074799999997</v>
      </c>
      <c r="G37" s="289"/>
    </row>
    <row r="38" spans="1:12" s="5" customFormat="1" ht="15" thickBot="1">
      <c r="A38" s="750" t="s">
        <v>195</v>
      </c>
      <c r="B38" s="750"/>
      <c r="C38" s="750"/>
      <c r="D38" s="17">
        <f>D36+D37</f>
        <v>0.20450000000000002</v>
      </c>
      <c r="E38" s="41">
        <f>SUM(E36:E37)</f>
        <v>519.08030499999995</v>
      </c>
    </row>
    <row r="39" spans="1:12" s="5" customFormat="1">
      <c r="A39" s="18"/>
      <c r="B39" s="18"/>
      <c r="C39" s="18"/>
      <c r="D39" s="19"/>
      <c r="E39" s="20"/>
    </row>
    <row r="40" spans="1:12" s="5" customFormat="1">
      <c r="A40" s="759" t="s">
        <v>196</v>
      </c>
      <c r="B40" s="759"/>
      <c r="C40" s="759"/>
      <c r="D40" s="759"/>
      <c r="E40" s="759"/>
    </row>
    <row r="41" spans="1:12" s="5" customFormat="1">
      <c r="A41" s="53" t="s">
        <v>197</v>
      </c>
      <c r="B41" s="761" t="s">
        <v>198</v>
      </c>
      <c r="C41" s="761"/>
      <c r="D41" s="53" t="s">
        <v>176</v>
      </c>
      <c r="E41" s="53" t="s">
        <v>177</v>
      </c>
    </row>
    <row r="42" spans="1:12" s="5" customFormat="1" ht="15">
      <c r="A42" s="36" t="s">
        <v>178</v>
      </c>
      <c r="B42" s="739" t="s">
        <v>319</v>
      </c>
      <c r="C42" s="739"/>
      <c r="D42" s="378">
        <v>0.2</v>
      </c>
      <c r="E42" s="44">
        <f>($E$31+$E$38)*D42</f>
        <v>611.47406100000001</v>
      </c>
      <c r="F42" s="736"/>
      <c r="G42" s="736"/>
      <c r="H42" s="736"/>
      <c r="I42" s="736"/>
      <c r="L42" s="30"/>
    </row>
    <row r="43" spans="1:12" s="5" customFormat="1" ht="15">
      <c r="A43" s="36" t="s">
        <v>193</v>
      </c>
      <c r="B43" s="739" t="s">
        <v>320</v>
      </c>
      <c r="C43" s="739"/>
      <c r="D43" s="378">
        <v>2.5000000000000001E-2</v>
      </c>
      <c r="E43" s="44">
        <f t="shared" ref="E43:E49" si="0">($E$31+$E$38)*D43</f>
        <v>76.434257625000001</v>
      </c>
      <c r="L43" s="30"/>
    </row>
    <row r="44" spans="1:12" s="5" customFormat="1" ht="15">
      <c r="A44" s="36" t="s">
        <v>117</v>
      </c>
      <c r="B44" s="739" t="s">
        <v>321</v>
      </c>
      <c r="C44" s="739"/>
      <c r="D44" s="378">
        <v>0.02</v>
      </c>
      <c r="E44" s="44">
        <f>($E$31+$E$38)*D44</f>
        <v>61.147406099999998</v>
      </c>
      <c r="F44" s="736"/>
      <c r="G44" s="736"/>
      <c r="H44" s="736"/>
      <c r="I44" s="736"/>
      <c r="L44" s="30"/>
    </row>
    <row r="45" spans="1:12" s="5" customFormat="1" ht="15">
      <c r="A45" s="36" t="s">
        <v>156</v>
      </c>
      <c r="B45" s="739" t="s">
        <v>322</v>
      </c>
      <c r="C45" s="739"/>
      <c r="D45" s="378">
        <v>1.4999999999999999E-2</v>
      </c>
      <c r="E45" s="44">
        <f t="shared" si="0"/>
        <v>45.860554574999995</v>
      </c>
    </row>
    <row r="46" spans="1:12" s="5" customFormat="1" ht="15">
      <c r="A46" s="36" t="s">
        <v>183</v>
      </c>
      <c r="B46" s="739" t="s">
        <v>323</v>
      </c>
      <c r="C46" s="739"/>
      <c r="D46" s="378">
        <v>0.01</v>
      </c>
      <c r="E46" s="44">
        <f t="shared" si="0"/>
        <v>30.573703049999999</v>
      </c>
    </row>
    <row r="47" spans="1:12" s="5" customFormat="1" ht="15">
      <c r="A47" s="36" t="s">
        <v>205</v>
      </c>
      <c r="B47" s="739" t="s">
        <v>324</v>
      </c>
      <c r="C47" s="739"/>
      <c r="D47" s="378">
        <v>6.0000000000000001E-3</v>
      </c>
      <c r="E47" s="44">
        <f t="shared" si="0"/>
        <v>18.344221829999999</v>
      </c>
    </row>
    <row r="48" spans="1:12" s="5" customFormat="1" ht="15">
      <c r="A48" s="36" t="s">
        <v>207</v>
      </c>
      <c r="B48" s="739" t="s">
        <v>325</v>
      </c>
      <c r="C48" s="739"/>
      <c r="D48" s="378">
        <v>2E-3</v>
      </c>
      <c r="E48" s="44">
        <f t="shared" si="0"/>
        <v>6.1147406100000001</v>
      </c>
    </row>
    <row r="49" spans="1:13" s="5" customFormat="1" ht="15">
      <c r="A49" s="36" t="s">
        <v>209</v>
      </c>
      <c r="B49" s="739" t="s">
        <v>326</v>
      </c>
      <c r="C49" s="739"/>
      <c r="D49" s="378">
        <v>0.08</v>
      </c>
      <c r="E49" s="44">
        <f t="shared" si="0"/>
        <v>244.58962439999999</v>
      </c>
    </row>
    <row r="50" spans="1:13" s="5" customFormat="1">
      <c r="A50" s="740" t="s">
        <v>211</v>
      </c>
      <c r="B50" s="740"/>
      <c r="C50" s="740"/>
      <c r="D50" s="72">
        <f>SUM(D42:D49)</f>
        <v>0.35800000000000004</v>
      </c>
      <c r="E50" s="45">
        <f>SUM(E42:E49)</f>
        <v>1094.5385691900001</v>
      </c>
    </row>
    <row r="51" spans="1:13" s="5" customFormat="1">
      <c r="A51" s="16"/>
      <c r="B51" s="16"/>
      <c r="C51" s="16"/>
      <c r="D51" s="16"/>
      <c r="E51" s="359"/>
      <c r="G51" s="6"/>
      <c r="H51" s="6"/>
    </row>
    <row r="52" spans="1:13" s="5" customFormat="1">
      <c r="A52" s="842" t="s">
        <v>212</v>
      </c>
      <c r="B52" s="842"/>
      <c r="C52" s="842"/>
      <c r="D52" s="842"/>
      <c r="E52" s="842"/>
      <c r="G52" s="6"/>
      <c r="H52" s="6"/>
    </row>
    <row r="53" spans="1:13" s="6" customFormat="1">
      <c r="A53" s="293" t="s">
        <v>213</v>
      </c>
      <c r="B53" s="843" t="s">
        <v>214</v>
      </c>
      <c r="C53" s="843"/>
      <c r="D53" s="293"/>
      <c r="E53" s="293" t="s">
        <v>177</v>
      </c>
    </row>
    <row r="54" spans="1:13" s="6" customFormat="1">
      <c r="A54" s="36" t="s">
        <v>115</v>
      </c>
      <c r="B54" s="739" t="s">
        <v>215</v>
      </c>
      <c r="C54" s="739"/>
      <c r="D54" s="346">
        <v>5.5</v>
      </c>
      <c r="E54" s="292">
        <f>IF((D54*2*21-(E29*6%))&gt;0, D54*2*21-(E29*6%), 0)</f>
        <v>78.702600000000018</v>
      </c>
      <c r="M54" s="31"/>
    </row>
    <row r="55" spans="1:13" s="6" customFormat="1">
      <c r="A55" s="36" t="s">
        <v>116</v>
      </c>
      <c r="B55" s="739" t="s">
        <v>327</v>
      </c>
      <c r="C55" s="739"/>
      <c r="D55" s="346">
        <v>44.3</v>
      </c>
      <c r="E55" s="292">
        <f>D55*21</f>
        <v>930.3</v>
      </c>
      <c r="F55" s="379"/>
      <c r="I55" s="31"/>
      <c r="M55" s="31"/>
    </row>
    <row r="56" spans="1:13" s="6" customFormat="1">
      <c r="A56" s="36" t="s">
        <v>117</v>
      </c>
      <c r="B56" s="739" t="s">
        <v>328</v>
      </c>
      <c r="C56" s="739"/>
      <c r="D56" s="377"/>
      <c r="E56" s="292">
        <v>0</v>
      </c>
      <c r="I56" s="31"/>
      <c r="M56" s="31"/>
    </row>
    <row r="57" spans="1:13" s="6" customFormat="1">
      <c r="A57" s="36" t="s">
        <v>156</v>
      </c>
      <c r="B57" s="536" t="s">
        <v>329</v>
      </c>
      <c r="C57" s="537"/>
      <c r="D57" s="377"/>
      <c r="E57" s="292">
        <v>0</v>
      </c>
      <c r="I57" s="31"/>
      <c r="M57" s="31"/>
    </row>
    <row r="58" spans="1:13" s="6" customFormat="1">
      <c r="A58" s="73"/>
      <c r="B58" s="846" t="s">
        <v>330</v>
      </c>
      <c r="C58" s="847"/>
      <c r="D58" s="47"/>
      <c r="E58" s="291"/>
    </row>
    <row r="59" spans="1:13" s="5" customFormat="1">
      <c r="A59" s="740" t="s">
        <v>223</v>
      </c>
      <c r="B59" s="740"/>
      <c r="C59" s="740"/>
      <c r="D59" s="740"/>
      <c r="E59" s="49">
        <f>SUM(E54:E58)</f>
        <v>1009.0026</v>
      </c>
      <c r="G59" s="6"/>
      <c r="H59" s="6"/>
    </row>
    <row r="60" spans="1:13" s="5" customFormat="1" ht="15" thickBot="1">
      <c r="A60" s="74"/>
      <c r="B60" s="75"/>
      <c r="C60" s="75"/>
      <c r="D60" s="75"/>
      <c r="E60" s="61"/>
      <c r="G60" s="6"/>
      <c r="H60" s="6"/>
    </row>
    <row r="61" spans="1:13" s="5" customFormat="1">
      <c r="A61" s="781"/>
      <c r="B61" s="782"/>
      <c r="C61" s="782"/>
      <c r="D61" s="782"/>
      <c r="E61" s="783"/>
      <c r="G61" s="6"/>
      <c r="H61" s="6"/>
    </row>
    <row r="62" spans="1:13" s="5" customFormat="1">
      <c r="A62" s="744" t="s">
        <v>230</v>
      </c>
      <c r="B62" s="744"/>
      <c r="C62" s="744"/>
      <c r="D62" s="744"/>
      <c r="E62" s="744"/>
      <c r="G62" s="6"/>
      <c r="H62" s="6"/>
    </row>
    <row r="63" spans="1:13" s="5" customFormat="1">
      <c r="A63" s="53"/>
      <c r="B63" s="761" t="s">
        <v>232</v>
      </c>
      <c r="C63" s="761"/>
      <c r="D63" s="53" t="s">
        <v>233</v>
      </c>
      <c r="E63" s="53" t="s">
        <v>177</v>
      </c>
    </row>
    <row r="64" spans="1:13" s="5" customFormat="1">
      <c r="A64" s="36" t="s">
        <v>190</v>
      </c>
      <c r="B64" s="844" t="s">
        <v>235</v>
      </c>
      <c r="C64" s="844"/>
      <c r="D64" s="364">
        <f>D38</f>
        <v>0.20450000000000002</v>
      </c>
      <c r="E64" s="44">
        <f>E38</f>
        <v>519.08030499999995</v>
      </c>
    </row>
    <row r="65" spans="1:7" s="5" customFormat="1">
      <c r="A65" s="36" t="s">
        <v>197</v>
      </c>
      <c r="B65" s="844" t="s">
        <v>236</v>
      </c>
      <c r="C65" s="844"/>
      <c r="D65" s="364">
        <f>D50</f>
        <v>0.35800000000000004</v>
      </c>
      <c r="E65" s="44">
        <f>E50</f>
        <v>1094.5385691900001</v>
      </c>
    </row>
    <row r="66" spans="1:7" s="5" customFormat="1">
      <c r="A66" s="36" t="s">
        <v>213</v>
      </c>
      <c r="B66" s="844" t="s">
        <v>237</v>
      </c>
      <c r="C66" s="844"/>
      <c r="D66" s="364">
        <v>0</v>
      </c>
      <c r="E66" s="44">
        <f>E59</f>
        <v>1009.0026</v>
      </c>
    </row>
    <row r="67" spans="1:7" s="5" customFormat="1">
      <c r="A67" s="845" t="s">
        <v>240</v>
      </c>
      <c r="B67" s="845"/>
      <c r="C67" s="845"/>
      <c r="D67" s="365">
        <f>SUM(D64:D66)</f>
        <v>0.5625</v>
      </c>
      <c r="E67" s="49">
        <f>SUM(E64:E66)</f>
        <v>2622.6214741900003</v>
      </c>
    </row>
    <row r="68" spans="1:7" s="5" customFormat="1">
      <c r="A68" s="18"/>
      <c r="B68" s="18"/>
      <c r="C68" s="18"/>
      <c r="D68" s="351"/>
      <c r="E68" s="359"/>
    </row>
    <row r="69" spans="1:7" s="5" customFormat="1">
      <c r="A69" s="757" t="s">
        <v>241</v>
      </c>
      <c r="B69" s="758"/>
      <c r="C69" s="758"/>
      <c r="D69" s="758"/>
      <c r="E69" s="758"/>
    </row>
    <row r="70" spans="1:7" s="5" customFormat="1">
      <c r="A70" s="759" t="s">
        <v>241</v>
      </c>
      <c r="B70" s="759"/>
      <c r="C70" s="759"/>
      <c r="D70" s="759"/>
      <c r="E70" s="759"/>
    </row>
    <row r="71" spans="1:7" s="5" customFormat="1">
      <c r="A71" s="53">
        <v>3</v>
      </c>
      <c r="B71" s="761" t="s">
        <v>242</v>
      </c>
      <c r="C71" s="761"/>
      <c r="D71" s="53" t="s">
        <v>233</v>
      </c>
      <c r="E71" s="53" t="s">
        <v>177</v>
      </c>
    </row>
    <row r="72" spans="1:7" s="5" customFormat="1">
      <c r="A72" s="36" t="s">
        <v>178</v>
      </c>
      <c r="B72" s="849" t="s">
        <v>331</v>
      </c>
      <c r="C72" s="848"/>
      <c r="D72" s="290">
        <f>(0.05*(1/12))</f>
        <v>4.1666666666666666E-3</v>
      </c>
      <c r="E72" s="44">
        <f>D72*$E$31</f>
        <v>10.576208333333334</v>
      </c>
      <c r="G72" s="355"/>
    </row>
    <row r="73" spans="1:7" s="5" customFormat="1">
      <c r="A73" s="36" t="s">
        <v>193</v>
      </c>
      <c r="B73" s="848" t="s">
        <v>332</v>
      </c>
      <c r="C73" s="848"/>
      <c r="D73" s="71">
        <f>D49*D72</f>
        <v>3.3333333333333332E-4</v>
      </c>
      <c r="E73" s="44">
        <f>D49*E72</f>
        <v>0.84609666666666672</v>
      </c>
      <c r="G73" s="347"/>
    </row>
    <row r="74" spans="1:7" s="5" customFormat="1" ht="15">
      <c r="A74" s="36" t="s">
        <v>117</v>
      </c>
      <c r="B74" s="539" t="s">
        <v>333</v>
      </c>
      <c r="C74" s="538"/>
      <c r="D74" s="71">
        <v>3.44E-2</v>
      </c>
      <c r="E74" s="44">
        <f>D74*$E$31</f>
        <v>87.317176000000003</v>
      </c>
      <c r="G74" s="347"/>
    </row>
    <row r="75" spans="1:7" s="5" customFormat="1" ht="15.75" customHeight="1">
      <c r="A75" s="36" t="s">
        <v>156</v>
      </c>
      <c r="B75" s="850" t="s">
        <v>334</v>
      </c>
      <c r="C75" s="851"/>
      <c r="D75" s="290">
        <f>((7/30)/12)</f>
        <v>1.9444444444444445E-2</v>
      </c>
      <c r="E75" s="44">
        <f>D75*$E$31</f>
        <v>49.35563888888889</v>
      </c>
      <c r="G75" s="348"/>
    </row>
    <row r="76" spans="1:7" s="5" customFormat="1" ht="21.75" customHeight="1">
      <c r="A76" s="36" t="s">
        <v>183</v>
      </c>
      <c r="B76" s="848" t="s">
        <v>335</v>
      </c>
      <c r="C76" s="848"/>
      <c r="D76" s="71">
        <f>D50*D75</f>
        <v>6.9611111111111124E-3</v>
      </c>
      <c r="E76" s="44">
        <f>D50*E75</f>
        <v>17.669318722222226</v>
      </c>
    </row>
    <row r="77" spans="1:7" s="5" customFormat="1" ht="29.25" customHeight="1">
      <c r="A77" s="36" t="s">
        <v>205</v>
      </c>
      <c r="B77" s="848" t="s">
        <v>336</v>
      </c>
      <c r="C77" s="848"/>
      <c r="D77" s="71">
        <v>5.5999999999999999E-3</v>
      </c>
      <c r="E77" s="44">
        <f>D77*$E$31</f>
        <v>14.214423999999999</v>
      </c>
    </row>
    <row r="78" spans="1:7" s="5" customFormat="1">
      <c r="A78" s="845" t="s">
        <v>250</v>
      </c>
      <c r="B78" s="845"/>
      <c r="C78" s="845"/>
      <c r="D78" s="365">
        <f>SUM(D72:D77)</f>
        <v>7.0905555555555555E-2</v>
      </c>
      <c r="E78" s="49">
        <f>SUM(E72:E77)</f>
        <v>179.97886261111111</v>
      </c>
    </row>
    <row r="79" spans="1:7" s="5" customFormat="1">
      <c r="A79" s="18"/>
      <c r="B79" s="18"/>
      <c r="C79" s="18"/>
      <c r="D79" s="351"/>
      <c r="E79" s="359"/>
    </row>
    <row r="80" spans="1:7" s="5" customFormat="1">
      <c r="A80" s="757" t="s">
        <v>251</v>
      </c>
      <c r="B80" s="758"/>
      <c r="C80" s="758"/>
      <c r="D80" s="758"/>
      <c r="E80" s="758"/>
    </row>
    <row r="81" spans="1:10" s="5" customFormat="1">
      <c r="A81" s="842" t="s">
        <v>252</v>
      </c>
      <c r="B81" s="842"/>
      <c r="C81" s="842"/>
      <c r="D81" s="842"/>
      <c r="E81" s="842"/>
    </row>
    <row r="82" spans="1:10" s="5" customFormat="1">
      <c r="A82" s="852" t="s">
        <v>337</v>
      </c>
      <c r="B82" s="853"/>
      <c r="C82" s="853"/>
      <c r="D82" s="854"/>
      <c r="E82" s="367">
        <f>(E31+E38+E50)</f>
        <v>4151.9088741899996</v>
      </c>
    </row>
    <row r="83" spans="1:10" s="5" customFormat="1">
      <c r="A83" s="293" t="s">
        <v>253</v>
      </c>
      <c r="B83" s="843" t="s">
        <v>254</v>
      </c>
      <c r="C83" s="843"/>
      <c r="D83" s="293" t="s">
        <v>233</v>
      </c>
      <c r="E83" s="293" t="s">
        <v>177</v>
      </c>
    </row>
    <row r="84" spans="1:10" s="5" customFormat="1">
      <c r="A84" s="36" t="s">
        <v>178</v>
      </c>
      <c r="B84" s="739" t="s">
        <v>338</v>
      </c>
      <c r="C84" s="739"/>
      <c r="D84" s="290">
        <f>((1/3*1/12)+1/12+1/12)/11</f>
        <v>1.7676767676767676E-2</v>
      </c>
      <c r="E84" s="44">
        <f>D84*(E31+E50)</f>
        <v>64.216666627095961</v>
      </c>
      <c r="G84" s="350"/>
      <c r="H84" s="30"/>
      <c r="I84" s="30"/>
      <c r="J84" s="30"/>
    </row>
    <row r="85" spans="1:10" s="5" customFormat="1">
      <c r="A85" s="36" t="s">
        <v>193</v>
      </c>
      <c r="B85" s="739" t="s">
        <v>254</v>
      </c>
      <c r="C85" s="739"/>
      <c r="D85" s="455">
        <v>2.8E-3</v>
      </c>
      <c r="E85" s="44">
        <f>D85*$E$82</f>
        <v>11.625344847731998</v>
      </c>
      <c r="J85" s="350"/>
    </row>
    <row r="86" spans="1:10" s="5" customFormat="1">
      <c r="A86" s="36" t="s">
        <v>245</v>
      </c>
      <c r="B86" s="739" t="s">
        <v>339</v>
      </c>
      <c r="C86" s="739"/>
      <c r="D86" s="290">
        <f>0.02%</f>
        <v>2.0000000000000001E-4</v>
      </c>
      <c r="E86" s="44">
        <f>D86*$E$82</f>
        <v>0.83038177483799991</v>
      </c>
    </row>
    <row r="87" spans="1:10" s="5" customFormat="1">
      <c r="A87" s="36" t="s">
        <v>118</v>
      </c>
      <c r="B87" s="739" t="s">
        <v>340</v>
      </c>
      <c r="C87" s="739"/>
      <c r="D87" s="290">
        <v>6.9999999999999999E-4</v>
      </c>
      <c r="E87" s="44">
        <f>D87*$E$82</f>
        <v>2.9063362119329996</v>
      </c>
    </row>
    <row r="88" spans="1:10" s="5" customFormat="1">
      <c r="A88" s="36" t="s">
        <v>119</v>
      </c>
      <c r="B88" s="739" t="s">
        <v>258</v>
      </c>
      <c r="C88" s="739"/>
      <c r="D88" s="290">
        <v>2E-3</v>
      </c>
      <c r="E88" s="44">
        <f>D88*$E$82</f>
        <v>8.3038177483799984</v>
      </c>
    </row>
    <row r="89" spans="1:10" s="5" customFormat="1">
      <c r="A89" s="36" t="s">
        <v>185</v>
      </c>
      <c r="B89" s="844" t="s">
        <v>341</v>
      </c>
      <c r="C89" s="844"/>
      <c r="D89" s="71">
        <v>0</v>
      </c>
      <c r="E89" s="44">
        <f t="shared" ref="E89" si="1">D89*$E$31</f>
        <v>0</v>
      </c>
    </row>
    <row r="90" spans="1:10" s="5" customFormat="1">
      <c r="A90" s="796" t="s">
        <v>260</v>
      </c>
      <c r="B90" s="796"/>
      <c r="C90" s="796"/>
      <c r="D90" s="72">
        <f>SUM(D84:D89)</f>
        <v>2.3376767676767676E-2</v>
      </c>
      <c r="E90" s="49">
        <f>SUM(E84:E89)</f>
        <v>87.882547209978952</v>
      </c>
    </row>
    <row r="91" spans="1:10" s="5" customFormat="1">
      <c r="A91" s="18"/>
      <c r="B91" s="18"/>
      <c r="C91" s="18"/>
      <c r="D91" s="351"/>
      <c r="E91" s="359"/>
    </row>
    <row r="92" spans="1:10" s="5" customFormat="1">
      <c r="A92" s="759" t="s">
        <v>261</v>
      </c>
      <c r="B92" s="759"/>
      <c r="C92" s="759"/>
      <c r="D92" s="759"/>
      <c r="E92" s="759"/>
    </row>
    <row r="93" spans="1:10" s="5" customFormat="1">
      <c r="A93" s="53" t="s">
        <v>262</v>
      </c>
      <c r="B93" s="760" t="s">
        <v>263</v>
      </c>
      <c r="C93" s="760"/>
      <c r="D93" s="53" t="s">
        <v>233</v>
      </c>
      <c r="E93" s="53" t="s">
        <v>177</v>
      </c>
    </row>
    <row r="94" spans="1:10">
      <c r="A94" s="36" t="s">
        <v>178</v>
      </c>
      <c r="B94" s="739" t="s">
        <v>264</v>
      </c>
      <c r="C94" s="739"/>
      <c r="D94" s="76">
        <v>0</v>
      </c>
      <c r="E94" s="44">
        <f>(E31+E67+E78)/220*1*15*D94</f>
        <v>0</v>
      </c>
    </row>
    <row r="95" spans="1:10">
      <c r="A95" s="845" t="s">
        <v>265</v>
      </c>
      <c r="B95" s="845"/>
      <c r="C95" s="845"/>
      <c r="D95" s="845"/>
      <c r="E95" s="49">
        <f>E94</f>
        <v>0</v>
      </c>
    </row>
    <row r="96" spans="1:10">
      <c r="A96" s="855"/>
      <c r="B96" s="856"/>
      <c r="C96" s="856"/>
      <c r="D96" s="856"/>
      <c r="E96" s="857"/>
    </row>
    <row r="97" spans="1:5">
      <c r="A97" s="744" t="s">
        <v>266</v>
      </c>
      <c r="B97" s="744"/>
      <c r="C97" s="744"/>
      <c r="D97" s="744"/>
      <c r="E97" s="744"/>
    </row>
    <row r="98" spans="1:5">
      <c r="A98" s="53"/>
      <c r="B98" s="761" t="s">
        <v>267</v>
      </c>
      <c r="C98" s="761"/>
      <c r="D98" s="53" t="s">
        <v>233</v>
      </c>
      <c r="E98" s="53" t="s">
        <v>177</v>
      </c>
    </row>
    <row r="99" spans="1:5">
      <c r="A99" s="36" t="s">
        <v>253</v>
      </c>
      <c r="B99" s="844" t="s">
        <v>254</v>
      </c>
      <c r="C99" s="844"/>
      <c r="D99" s="364">
        <f>D90</f>
        <v>2.3376767676767676E-2</v>
      </c>
      <c r="E99" s="44">
        <f>E90</f>
        <v>87.882547209978952</v>
      </c>
    </row>
    <row r="100" spans="1:5">
      <c r="A100" s="36" t="s">
        <v>262</v>
      </c>
      <c r="B100" s="844" t="s">
        <v>263</v>
      </c>
      <c r="C100" s="844"/>
      <c r="D100" s="71">
        <v>0</v>
      </c>
      <c r="E100" s="44">
        <f>E95</f>
        <v>0</v>
      </c>
    </row>
    <row r="101" spans="1:5">
      <c r="A101" s="845" t="s">
        <v>268</v>
      </c>
      <c r="B101" s="845"/>
      <c r="C101" s="845"/>
      <c r="D101" s="365">
        <f>SUM(D99:D100)</f>
        <v>2.3376767676767676E-2</v>
      </c>
      <c r="E101" s="49">
        <f>E99+E100</f>
        <v>87.882547209978952</v>
      </c>
    </row>
    <row r="102" spans="1:5">
      <c r="A102" s="13"/>
      <c r="B102" s="18"/>
      <c r="C102" s="18"/>
      <c r="D102" s="351"/>
      <c r="E102" s="359"/>
    </row>
    <row r="103" spans="1:5">
      <c r="A103" s="757" t="s">
        <v>269</v>
      </c>
      <c r="B103" s="758"/>
      <c r="C103" s="758"/>
      <c r="D103" s="758"/>
      <c r="E103" s="758"/>
    </row>
    <row r="104" spans="1:5">
      <c r="A104" s="759" t="s">
        <v>269</v>
      </c>
      <c r="B104" s="759"/>
      <c r="C104" s="759"/>
      <c r="D104" s="759"/>
      <c r="E104" s="759"/>
    </row>
    <row r="105" spans="1:5">
      <c r="A105" s="53">
        <v>5</v>
      </c>
      <c r="B105" s="761" t="s">
        <v>270</v>
      </c>
      <c r="C105" s="761"/>
      <c r="D105" s="761"/>
      <c r="E105" s="53" t="s">
        <v>177</v>
      </c>
    </row>
    <row r="106" spans="1:5">
      <c r="A106" s="36" t="s">
        <v>178</v>
      </c>
      <c r="B106" s="844" t="s">
        <v>271</v>
      </c>
      <c r="C106" s="844"/>
      <c r="D106" s="844"/>
      <c r="E106" s="44">
        <f>UNIFOME!F23</f>
        <v>61.228475000000003</v>
      </c>
    </row>
    <row r="107" spans="1:5">
      <c r="A107" s="36" t="s">
        <v>193</v>
      </c>
      <c r="B107" s="739" t="s">
        <v>342</v>
      </c>
      <c r="C107" s="739"/>
      <c r="D107" s="739"/>
      <c r="E107" s="44">
        <v>0</v>
      </c>
    </row>
    <row r="108" spans="1:5" s="5" customFormat="1">
      <c r="A108" s="845" t="s">
        <v>276</v>
      </c>
      <c r="B108" s="845"/>
      <c r="C108" s="845"/>
      <c r="D108" s="845"/>
      <c r="E108" s="49">
        <f>SUM(E106:E107)</f>
        <v>61.228475000000003</v>
      </c>
    </row>
    <row r="109" spans="1:5">
      <c r="E109" s="360">
        <f>D67+D78+D101</f>
        <v>0.65678232323232322</v>
      </c>
    </row>
    <row r="110" spans="1:5">
      <c r="A110" s="29"/>
      <c r="B110" s="29"/>
      <c r="C110" s="29"/>
      <c r="D110" s="29"/>
      <c r="E110" s="351"/>
    </row>
    <row r="111" spans="1:5">
      <c r="A111" s="861" t="s">
        <v>278</v>
      </c>
      <c r="B111" s="861"/>
      <c r="C111" s="861"/>
      <c r="D111" s="861"/>
      <c r="E111" s="861"/>
    </row>
    <row r="112" spans="1:5" s="6" customFormat="1">
      <c r="A112" s="759" t="s">
        <v>278</v>
      </c>
      <c r="B112" s="759"/>
      <c r="C112" s="759"/>
      <c r="D112" s="759"/>
      <c r="E112" s="759"/>
    </row>
    <row r="113" spans="1:12">
      <c r="A113" s="53">
        <v>6</v>
      </c>
      <c r="B113" s="760" t="s">
        <v>279</v>
      </c>
      <c r="C113" s="760"/>
      <c r="D113" s="53" t="s">
        <v>176</v>
      </c>
      <c r="E113" s="53" t="s">
        <v>177</v>
      </c>
    </row>
    <row r="114" spans="1:12">
      <c r="A114" s="354" t="s">
        <v>178</v>
      </c>
      <c r="B114" s="844" t="s">
        <v>280</v>
      </c>
      <c r="C114" s="844"/>
      <c r="D114" s="506">
        <v>0.05</v>
      </c>
      <c r="E114" s="44">
        <f>D114*E129</f>
        <v>274.50006795055452</v>
      </c>
      <c r="F114" s="380" t="e">
        <f>#REF!</f>
        <v>#REF!</v>
      </c>
      <c r="L114" s="545"/>
    </row>
    <row r="115" spans="1:12">
      <c r="A115" s="354" t="s">
        <v>193</v>
      </c>
      <c r="B115" s="844" t="s">
        <v>281</v>
      </c>
      <c r="C115" s="844"/>
      <c r="D115" s="506">
        <v>0.05</v>
      </c>
      <c r="E115" s="44">
        <f>D115*(E114+E129)</f>
        <v>288.22507134808228</v>
      </c>
      <c r="F115" s="380" t="e">
        <f>#REF!</f>
        <v>#REF!</v>
      </c>
      <c r="L115" s="545"/>
    </row>
    <row r="116" spans="1:12">
      <c r="A116" s="862" t="s">
        <v>117</v>
      </c>
      <c r="B116" s="845" t="s">
        <v>282</v>
      </c>
      <c r="C116" s="845"/>
      <c r="D116" s="72"/>
      <c r="E116" s="49"/>
      <c r="F116" s="380" t="e">
        <f>F115-F114</f>
        <v>#REF!</v>
      </c>
    </row>
    <row r="117" spans="1:12">
      <c r="A117" s="862"/>
      <c r="B117" s="844" t="s">
        <v>283</v>
      </c>
      <c r="C117" s="844"/>
      <c r="D117" s="290">
        <v>6.4999999999999997E-3</v>
      </c>
      <c r="E117" s="44">
        <f>($E$114+$E$115+$E$129)/(1-($D$117+$D$118+$D$119))*D117</f>
        <v>43.068114109483552</v>
      </c>
      <c r="F117" s="380"/>
    </row>
    <row r="118" spans="1:12">
      <c r="A118" s="862"/>
      <c r="B118" s="844" t="s">
        <v>284</v>
      </c>
      <c r="C118" s="844"/>
      <c r="D118" s="290">
        <v>0.03</v>
      </c>
      <c r="E118" s="44">
        <f>($E$114+$E$115+$E$129)/(1-($D$117+$D$118+$D$119))*D118</f>
        <v>198.77591127453945</v>
      </c>
    </row>
    <row r="119" spans="1:12" s="3" customFormat="1">
      <c r="A119" s="862"/>
      <c r="B119" s="844" t="s">
        <v>343</v>
      </c>
      <c r="C119" s="844"/>
      <c r="D119" s="290">
        <v>0.05</v>
      </c>
      <c r="E119" s="44">
        <f>($E$114+$E$115+$E$129)/(1-($D$117+$D$118+$D$119))*D119</f>
        <v>331.29318545756581</v>
      </c>
    </row>
    <row r="120" spans="1:12">
      <c r="A120" s="740" t="s">
        <v>286</v>
      </c>
      <c r="B120" s="740"/>
      <c r="C120" s="740"/>
      <c r="D120" s="72">
        <f>SUM(D114:D119)</f>
        <v>0.1865</v>
      </c>
      <c r="E120" s="49">
        <f>SUM(E114:E119)</f>
        <v>1135.8623501402255</v>
      </c>
    </row>
    <row r="121" spans="1:12">
      <c r="D121" s="366"/>
    </row>
    <row r="122" spans="1:12">
      <c r="A122" s="744" t="s">
        <v>287</v>
      </c>
      <c r="B122" s="744"/>
      <c r="C122" s="744"/>
      <c r="D122" s="744"/>
      <c r="E122" s="744"/>
    </row>
    <row r="123" spans="1:12">
      <c r="A123" s="740" t="s">
        <v>288</v>
      </c>
      <c r="B123" s="740"/>
      <c r="C123" s="740"/>
      <c r="D123" s="740"/>
      <c r="E123" s="53" t="s">
        <v>289</v>
      </c>
    </row>
    <row r="124" spans="1:12">
      <c r="A124" s="36" t="s">
        <v>178</v>
      </c>
      <c r="B124" s="739" t="s">
        <v>290</v>
      </c>
      <c r="C124" s="739"/>
      <c r="D124" s="739"/>
      <c r="E124" s="361">
        <f>E31</f>
        <v>2538.29</v>
      </c>
    </row>
    <row r="125" spans="1:12">
      <c r="A125" s="36" t="s">
        <v>193</v>
      </c>
      <c r="B125" s="739" t="s">
        <v>291</v>
      </c>
      <c r="C125" s="739"/>
      <c r="D125" s="739"/>
      <c r="E125" s="362">
        <f>E67</f>
        <v>2622.6214741900003</v>
      </c>
    </row>
    <row r="126" spans="1:12">
      <c r="A126" s="36" t="s">
        <v>245</v>
      </c>
      <c r="B126" s="739" t="s">
        <v>292</v>
      </c>
      <c r="C126" s="739"/>
      <c r="D126" s="739"/>
      <c r="E126" s="362">
        <f>E78</f>
        <v>179.97886261111111</v>
      </c>
    </row>
    <row r="127" spans="1:12">
      <c r="A127" s="36" t="s">
        <v>118</v>
      </c>
      <c r="B127" s="739" t="s">
        <v>293</v>
      </c>
      <c r="C127" s="739"/>
      <c r="D127" s="739"/>
      <c r="E127" s="362">
        <f>E101</f>
        <v>87.882547209978952</v>
      </c>
    </row>
    <row r="128" spans="1:12">
      <c r="A128" s="36" t="s">
        <v>119</v>
      </c>
      <c r="B128" s="858" t="s">
        <v>294</v>
      </c>
      <c r="C128" s="859"/>
      <c r="D128" s="860"/>
      <c r="E128" s="361">
        <f>E108</f>
        <v>61.228475000000003</v>
      </c>
    </row>
    <row r="129" spans="1:12">
      <c r="A129" s="740" t="s">
        <v>295</v>
      </c>
      <c r="B129" s="740"/>
      <c r="C129" s="740"/>
      <c r="D129" s="740"/>
      <c r="E129" s="41">
        <f>SUM(E124:E128)</f>
        <v>5490.0013590110902</v>
      </c>
      <c r="L129" s="380"/>
    </row>
    <row r="130" spans="1:12" s="5" customFormat="1">
      <c r="A130" s="36" t="s">
        <v>185</v>
      </c>
      <c r="B130" s="739" t="s">
        <v>296</v>
      </c>
      <c r="C130" s="739"/>
      <c r="D130" s="739"/>
      <c r="E130" s="362">
        <f>E120</f>
        <v>1135.8623501402255</v>
      </c>
    </row>
    <row r="131" spans="1:12">
      <c r="A131" s="740" t="s">
        <v>297</v>
      </c>
      <c r="B131" s="740"/>
      <c r="C131" s="740"/>
      <c r="D131" s="740"/>
      <c r="E131" s="41">
        <f>SUM(E129:E130)</f>
        <v>6625.8637091513156</v>
      </c>
      <c r="L131" s="546"/>
    </row>
    <row r="132" spans="1:12">
      <c r="E132" s="363"/>
    </row>
    <row r="133" spans="1:12">
      <c r="E133" s="31"/>
    </row>
  </sheetData>
  <mergeCells count="126">
    <mergeCell ref="B127:D127"/>
    <mergeCell ref="B128:D128"/>
    <mergeCell ref="A129:D129"/>
    <mergeCell ref="B130:D130"/>
    <mergeCell ref="A131:D131"/>
    <mergeCell ref="A120:C120"/>
    <mergeCell ref="A122:E122"/>
    <mergeCell ref="A123:D123"/>
    <mergeCell ref="B124:D124"/>
    <mergeCell ref="B125:D125"/>
    <mergeCell ref="B126:D126"/>
    <mergeCell ref="A111:E111"/>
    <mergeCell ref="A112:E112"/>
    <mergeCell ref="B113:C113"/>
    <mergeCell ref="B114:C114"/>
    <mergeCell ref="B115:C115"/>
    <mergeCell ref="A116:A119"/>
    <mergeCell ref="B116:C116"/>
    <mergeCell ref="B117:C117"/>
    <mergeCell ref="B118:C118"/>
    <mergeCell ref="B119:C119"/>
    <mergeCell ref="A103:E103"/>
    <mergeCell ref="A104:E104"/>
    <mergeCell ref="B105:D105"/>
    <mergeCell ref="B106:D106"/>
    <mergeCell ref="B107:D107"/>
    <mergeCell ref="A108:D108"/>
    <mergeCell ref="A96:E96"/>
    <mergeCell ref="A97:E97"/>
    <mergeCell ref="B98:C98"/>
    <mergeCell ref="B99:C99"/>
    <mergeCell ref="B100:C100"/>
    <mergeCell ref="A101:C101"/>
    <mergeCell ref="B89:C89"/>
    <mergeCell ref="A90:C90"/>
    <mergeCell ref="A92:E92"/>
    <mergeCell ref="B93:C93"/>
    <mergeCell ref="B94:C94"/>
    <mergeCell ref="A95:D95"/>
    <mergeCell ref="B83:C83"/>
    <mergeCell ref="B84:C84"/>
    <mergeCell ref="B85:C85"/>
    <mergeCell ref="B86:C86"/>
    <mergeCell ref="B87:C87"/>
    <mergeCell ref="B88:C88"/>
    <mergeCell ref="B76:C76"/>
    <mergeCell ref="B77:C77"/>
    <mergeCell ref="A78:C78"/>
    <mergeCell ref="A80:E80"/>
    <mergeCell ref="A81:E81"/>
    <mergeCell ref="A82:D82"/>
    <mergeCell ref="A69:E69"/>
    <mergeCell ref="A70:E70"/>
    <mergeCell ref="B71:C71"/>
    <mergeCell ref="B72:C72"/>
    <mergeCell ref="B73:C73"/>
    <mergeCell ref="B75:C75"/>
    <mergeCell ref="A62:E62"/>
    <mergeCell ref="B63:C63"/>
    <mergeCell ref="B64:C64"/>
    <mergeCell ref="B65:C65"/>
    <mergeCell ref="B66:C66"/>
    <mergeCell ref="A67:C67"/>
    <mergeCell ref="B54:C54"/>
    <mergeCell ref="B55:C55"/>
    <mergeCell ref="B56:C56"/>
    <mergeCell ref="B58:C58"/>
    <mergeCell ref="A59:D59"/>
    <mergeCell ref="A61:E61"/>
    <mergeCell ref="B47:C47"/>
    <mergeCell ref="B48:C48"/>
    <mergeCell ref="B49:C49"/>
    <mergeCell ref="A50:C50"/>
    <mergeCell ref="A52:E52"/>
    <mergeCell ref="B53:C53"/>
    <mergeCell ref="F42:I42"/>
    <mergeCell ref="B43:C43"/>
    <mergeCell ref="B44:C44"/>
    <mergeCell ref="F44:I44"/>
    <mergeCell ref="B45:C45"/>
    <mergeCell ref="B46:C46"/>
    <mergeCell ref="B35:C35"/>
    <mergeCell ref="B36:C36"/>
    <mergeCell ref="A38:C38"/>
    <mergeCell ref="A40:E40"/>
    <mergeCell ref="B41:C41"/>
    <mergeCell ref="B42:C42"/>
    <mergeCell ref="B28:C28"/>
    <mergeCell ref="B29:C29"/>
    <mergeCell ref="B30:C30"/>
    <mergeCell ref="A31:D31"/>
    <mergeCell ref="A33:E33"/>
    <mergeCell ref="A34:E34"/>
    <mergeCell ref="B24:C24"/>
    <mergeCell ref="D24:E24"/>
    <mergeCell ref="B25:C25"/>
    <mergeCell ref="D25:E25"/>
    <mergeCell ref="A26:E26"/>
    <mergeCell ref="A27:E27"/>
    <mergeCell ref="B20:C20"/>
    <mergeCell ref="D20:E20"/>
    <mergeCell ref="B21:C21"/>
    <mergeCell ref="B22:C22"/>
    <mergeCell ref="D22:E22"/>
    <mergeCell ref="B23:C23"/>
    <mergeCell ref="D23:E23"/>
    <mergeCell ref="B15:C15"/>
    <mergeCell ref="A17:E17"/>
    <mergeCell ref="A18:E18"/>
    <mergeCell ref="B19:C19"/>
    <mergeCell ref="D19:E19"/>
    <mergeCell ref="B9:C9"/>
    <mergeCell ref="D9:E9"/>
    <mergeCell ref="B10:C10"/>
    <mergeCell ref="D10:E10"/>
    <mergeCell ref="B11:C11"/>
    <mergeCell ref="D11:E11"/>
    <mergeCell ref="A2:E2"/>
    <mergeCell ref="A3:E3"/>
    <mergeCell ref="A4:E4"/>
    <mergeCell ref="A5:E5"/>
    <mergeCell ref="A7:E7"/>
    <mergeCell ref="B8:C8"/>
    <mergeCell ref="D8:E8"/>
    <mergeCell ref="A13:E13"/>
    <mergeCell ref="B14:C14"/>
  </mergeCells>
  <pageMargins left="0.51181102362204722" right="0.51181102362204722" top="1.0629921259842521" bottom="0.98425196850393704" header="0.31496062992125984" footer="0.31496062992125984"/>
  <pageSetup paperSize="9" scale="70" fitToHeight="0" orientation="portrait" r:id="rId1"/>
  <headerFooter>
    <oddHeader>&amp;L&amp;G</oddHeader>
    <oddFooter>&amp;L&amp;G&amp;RPágina &amp;P</oddFooter>
  </headerFooter>
  <rowBreaks count="1" manualBreakCount="1">
    <brk id="67" max="4" man="1"/>
  </rowBreaks>
  <colBreaks count="1" manualBreakCount="1">
    <brk id="5" max="1048575" man="1"/>
  </colBreaks>
  <legacy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D2E4-8C05-4651-BE7B-B70883CA4DB1}">
  <sheetPr codeName="Planilha19">
    <tabColor theme="0"/>
  </sheetPr>
  <dimension ref="A2:M133"/>
  <sheetViews>
    <sheetView topLeftCell="A56" zoomScaleNormal="100" zoomScaleSheetLayoutView="110" workbookViewId="0">
      <selection activeCell="H75" sqref="H75"/>
    </sheetView>
  </sheetViews>
  <sheetFormatPr defaultColWidth="9.140625" defaultRowHeight="14.25"/>
  <cols>
    <col min="1" max="1" width="7.28515625" style="2" customWidth="1"/>
    <col min="2" max="2" width="31.5703125" style="1" customWidth="1"/>
    <col min="3" max="3" width="31.28515625" style="1" customWidth="1"/>
    <col min="4" max="4" width="16.28515625" style="2" customWidth="1"/>
    <col min="5" max="5" width="23.5703125" style="6" customWidth="1"/>
    <col min="6" max="6" width="18.42578125" style="1" hidden="1" customWidth="1"/>
    <col min="7" max="7" width="12.28515625" style="1" customWidth="1"/>
    <col min="8" max="8" width="11.28515625" style="1" bestFit="1" customWidth="1"/>
    <col min="9" max="9" width="9.140625" style="1"/>
    <col min="10" max="10" width="11.5703125" style="1" bestFit="1" customWidth="1"/>
    <col min="11" max="11" width="9.140625" style="1"/>
    <col min="12" max="12" width="14.28515625" style="1" bestFit="1" customWidth="1"/>
    <col min="13" max="13" width="10.5703125" style="1" bestFit="1" customWidth="1"/>
    <col min="14" max="16384" width="9.140625" style="1"/>
  </cols>
  <sheetData>
    <row r="2" spans="1:5">
      <c r="A2" s="828" t="s">
        <v>300</v>
      </c>
      <c r="B2" s="829"/>
      <c r="C2" s="829"/>
      <c r="D2" s="829"/>
      <c r="E2" s="829"/>
    </row>
    <row r="3" spans="1:5">
      <c r="A3" s="837"/>
      <c r="B3" s="838"/>
      <c r="C3" s="838"/>
      <c r="D3" s="838"/>
      <c r="E3" s="838"/>
    </row>
    <row r="4" spans="1:5" ht="15.75">
      <c r="A4" s="830" t="s">
        <v>301</v>
      </c>
      <c r="B4" s="830"/>
      <c r="C4" s="830"/>
      <c r="D4" s="830"/>
      <c r="E4" s="830"/>
    </row>
    <row r="5" spans="1:5" ht="15.75">
      <c r="A5" s="830" t="s">
        <v>302</v>
      </c>
      <c r="B5" s="830"/>
      <c r="C5" s="830"/>
      <c r="D5" s="830"/>
      <c r="E5" s="830"/>
    </row>
    <row r="6" spans="1:5">
      <c r="A6" s="93"/>
      <c r="B6" s="93"/>
      <c r="C6" s="93"/>
      <c r="D6" s="93"/>
      <c r="E6" s="93"/>
    </row>
    <row r="7" spans="1:5">
      <c r="A7" s="750" t="s">
        <v>150</v>
      </c>
      <c r="B7" s="750"/>
      <c r="C7" s="750"/>
      <c r="D7" s="750"/>
      <c r="E7" s="750"/>
    </row>
    <row r="8" spans="1:5">
      <c r="A8" s="295" t="s">
        <v>115</v>
      </c>
      <c r="B8" s="770" t="s">
        <v>151</v>
      </c>
      <c r="C8" s="770"/>
      <c r="D8" s="831"/>
      <c r="E8" s="832"/>
    </row>
    <row r="9" spans="1:5">
      <c r="A9" s="295" t="s">
        <v>116</v>
      </c>
      <c r="B9" s="770" t="s">
        <v>152</v>
      </c>
      <c r="C9" s="770"/>
      <c r="D9" s="813" t="s">
        <v>303</v>
      </c>
      <c r="E9" s="814"/>
    </row>
    <row r="10" spans="1:5">
      <c r="A10" s="295" t="s">
        <v>117</v>
      </c>
      <c r="B10" s="770" t="s">
        <v>154</v>
      </c>
      <c r="C10" s="770"/>
      <c r="D10" s="820" t="s">
        <v>304</v>
      </c>
      <c r="E10" s="821"/>
    </row>
    <row r="11" spans="1:5">
      <c r="A11" s="295" t="s">
        <v>156</v>
      </c>
      <c r="B11" s="770" t="s">
        <v>157</v>
      </c>
      <c r="C11" s="770"/>
      <c r="D11" s="815">
        <v>12</v>
      </c>
      <c r="E11" s="815"/>
    </row>
    <row r="12" spans="1:5">
      <c r="A12" s="14"/>
      <c r="B12" s="15"/>
      <c r="C12" s="15"/>
      <c r="D12" s="14"/>
      <c r="E12" s="14"/>
    </row>
    <row r="13" spans="1:5">
      <c r="A13" s="750" t="s">
        <v>305</v>
      </c>
      <c r="B13" s="750"/>
      <c r="C13" s="750"/>
      <c r="D13" s="750"/>
      <c r="E13" s="750"/>
    </row>
    <row r="14" spans="1:5" ht="28.5">
      <c r="A14" s="296" t="s">
        <v>158</v>
      </c>
      <c r="B14" s="800" t="s">
        <v>159</v>
      </c>
      <c r="C14" s="768"/>
      <c r="D14" s="353" t="s">
        <v>160</v>
      </c>
      <c r="E14" s="296" t="s">
        <v>161</v>
      </c>
    </row>
    <row r="15" spans="1:5">
      <c r="A15" s="297">
        <v>1</v>
      </c>
      <c r="B15" s="839" t="s">
        <v>576</v>
      </c>
      <c r="C15" s="840"/>
      <c r="D15" s="370" t="s">
        <v>307</v>
      </c>
      <c r="E15" s="376"/>
    </row>
    <row r="16" spans="1:5">
      <c r="A16" s="14"/>
      <c r="B16" s="15"/>
      <c r="C16" s="16"/>
      <c r="D16" s="16"/>
      <c r="E16" s="349"/>
    </row>
    <row r="17" spans="1:8" ht="15.75">
      <c r="A17" s="808" t="s">
        <v>164</v>
      </c>
      <c r="B17" s="808"/>
      <c r="C17" s="808"/>
      <c r="D17" s="808"/>
      <c r="E17" s="808"/>
    </row>
    <row r="18" spans="1:8">
      <c r="A18" s="750" t="s">
        <v>165</v>
      </c>
      <c r="B18" s="750"/>
      <c r="C18" s="750"/>
      <c r="D18" s="750"/>
      <c r="E18" s="750"/>
    </row>
    <row r="19" spans="1:8">
      <c r="A19" s="295">
        <v>1</v>
      </c>
      <c r="B19" s="770" t="s">
        <v>166</v>
      </c>
      <c r="C19" s="770"/>
      <c r="D19" s="835" t="s">
        <v>371</v>
      </c>
      <c r="E19" s="836"/>
    </row>
    <row r="20" spans="1:8">
      <c r="A20" s="295">
        <v>2</v>
      </c>
      <c r="B20" s="788" t="s">
        <v>168</v>
      </c>
      <c r="C20" s="789"/>
      <c r="D20" s="855" t="s">
        <v>308</v>
      </c>
      <c r="E20" s="857"/>
      <c r="G20" s="34"/>
    </row>
    <row r="21" spans="1:8">
      <c r="A21" s="295">
        <v>3</v>
      </c>
      <c r="B21" s="770" t="s">
        <v>309</v>
      </c>
      <c r="C21" s="770"/>
      <c r="D21" s="510"/>
      <c r="E21" s="507">
        <v>4220.33</v>
      </c>
    </row>
    <row r="22" spans="1:8">
      <c r="A22" s="295">
        <v>4</v>
      </c>
      <c r="B22" s="770" t="s">
        <v>310</v>
      </c>
      <c r="C22" s="770"/>
      <c r="D22" s="822">
        <v>1518</v>
      </c>
      <c r="E22" s="823"/>
    </row>
    <row r="23" spans="1:8">
      <c r="A23" s="295">
        <v>5</v>
      </c>
      <c r="B23" s="770" t="s">
        <v>171</v>
      </c>
      <c r="C23" s="770"/>
      <c r="D23" s="806" t="s">
        <v>311</v>
      </c>
      <c r="E23" s="806"/>
    </row>
    <row r="24" spans="1:8">
      <c r="A24" s="295">
        <v>6</v>
      </c>
      <c r="B24" s="770" t="s">
        <v>173</v>
      </c>
      <c r="C24" s="770"/>
      <c r="D24" s="826">
        <v>45658</v>
      </c>
      <c r="E24" s="826"/>
    </row>
    <row r="25" spans="1:8">
      <c r="A25" s="295">
        <v>7</v>
      </c>
      <c r="B25" s="770" t="s">
        <v>312</v>
      </c>
      <c r="C25" s="770"/>
      <c r="D25" s="827" t="s">
        <v>313</v>
      </c>
      <c r="E25" s="827"/>
    </row>
    <row r="26" spans="1:8">
      <c r="A26" s="802"/>
      <c r="B26" s="802"/>
      <c r="C26" s="802"/>
      <c r="D26" s="802"/>
      <c r="E26" s="802"/>
    </row>
    <row r="27" spans="1:8">
      <c r="A27" s="757" t="s">
        <v>174</v>
      </c>
      <c r="B27" s="758"/>
      <c r="C27" s="758"/>
      <c r="D27" s="758"/>
      <c r="E27" s="758"/>
    </row>
    <row r="28" spans="1:8">
      <c r="A28" s="296">
        <v>1</v>
      </c>
      <c r="B28" s="803" t="s">
        <v>175</v>
      </c>
      <c r="C28" s="803"/>
      <c r="D28" s="353" t="s">
        <v>176</v>
      </c>
      <c r="E28" s="53" t="s">
        <v>177</v>
      </c>
    </row>
    <row r="29" spans="1:8">
      <c r="A29" s="295" t="s">
        <v>178</v>
      </c>
      <c r="B29" s="824" t="s">
        <v>314</v>
      </c>
      <c r="C29" s="746"/>
      <c r="D29" s="352"/>
      <c r="E29" s="513">
        <f>E21</f>
        <v>4220.33</v>
      </c>
    </row>
    <row r="30" spans="1:8">
      <c r="A30" s="580" t="s">
        <v>116</v>
      </c>
      <c r="B30" s="825" t="s">
        <v>259</v>
      </c>
      <c r="C30" s="825"/>
      <c r="D30" s="585"/>
      <c r="E30" s="357">
        <v>0</v>
      </c>
    </row>
    <row r="31" spans="1:8" s="5" customFormat="1">
      <c r="A31" s="796" t="s">
        <v>187</v>
      </c>
      <c r="B31" s="796"/>
      <c r="C31" s="796"/>
      <c r="D31" s="796"/>
      <c r="E31" s="358">
        <f>SUM(E29:E30)</f>
        <v>4220.33</v>
      </c>
      <c r="F31" s="30"/>
      <c r="G31" s="30"/>
      <c r="H31" s="30"/>
    </row>
    <row r="32" spans="1:8" s="5" customFormat="1">
      <c r="A32" s="16"/>
      <c r="B32" s="16"/>
      <c r="C32" s="16"/>
      <c r="D32" s="16"/>
      <c r="E32" s="359"/>
    </row>
    <row r="33" spans="1:12" s="5" customFormat="1">
      <c r="A33" s="757" t="s">
        <v>188</v>
      </c>
      <c r="B33" s="758"/>
      <c r="C33" s="758"/>
      <c r="D33" s="758"/>
      <c r="E33" s="758"/>
    </row>
    <row r="34" spans="1:12" s="5" customFormat="1">
      <c r="A34" s="759" t="s">
        <v>315</v>
      </c>
      <c r="B34" s="759"/>
      <c r="C34" s="759"/>
      <c r="D34" s="759"/>
      <c r="E34" s="759"/>
    </row>
    <row r="35" spans="1:12" s="5" customFormat="1">
      <c r="A35" s="53" t="s">
        <v>190</v>
      </c>
      <c r="B35" s="760" t="s">
        <v>316</v>
      </c>
      <c r="C35" s="760"/>
      <c r="D35" s="53" t="s">
        <v>176</v>
      </c>
      <c r="E35" s="70" t="s">
        <v>177</v>
      </c>
    </row>
    <row r="36" spans="1:12" s="5" customFormat="1">
      <c r="A36" s="54" t="s">
        <v>178</v>
      </c>
      <c r="B36" s="786" t="s">
        <v>317</v>
      </c>
      <c r="C36" s="799"/>
      <c r="D36" s="94">
        <v>8.3299999999999999E-2</v>
      </c>
      <c r="E36" s="40">
        <f>D36*E31</f>
        <v>351.55348900000001</v>
      </c>
    </row>
    <row r="37" spans="1:12" s="5" customFormat="1">
      <c r="A37" s="86" t="s">
        <v>193</v>
      </c>
      <c r="B37" s="299" t="s">
        <v>194</v>
      </c>
      <c r="C37" s="318" t="s">
        <v>318</v>
      </c>
      <c r="D37" s="94">
        <v>0.1212</v>
      </c>
      <c r="E37" s="40">
        <f>D37*E31</f>
        <v>511.50399599999997</v>
      </c>
      <c r="G37" s="289"/>
    </row>
    <row r="38" spans="1:12" s="5" customFormat="1" ht="15" thickBot="1">
      <c r="A38" s="750" t="s">
        <v>195</v>
      </c>
      <c r="B38" s="750"/>
      <c r="C38" s="750"/>
      <c r="D38" s="17">
        <f>D36+D37</f>
        <v>0.20450000000000002</v>
      </c>
      <c r="E38" s="41">
        <f>SUM(E36:E37)</f>
        <v>863.05748500000004</v>
      </c>
    </row>
    <row r="39" spans="1:12" s="5" customFormat="1">
      <c r="A39" s="18"/>
      <c r="B39" s="18"/>
      <c r="C39" s="18"/>
      <c r="D39" s="19"/>
      <c r="E39" s="20"/>
    </row>
    <row r="40" spans="1:12" s="5" customFormat="1">
      <c r="A40" s="759" t="s">
        <v>196</v>
      </c>
      <c r="B40" s="759"/>
      <c r="C40" s="759"/>
      <c r="D40" s="759"/>
      <c r="E40" s="759"/>
    </row>
    <row r="41" spans="1:12" s="5" customFormat="1">
      <c r="A41" s="53" t="s">
        <v>197</v>
      </c>
      <c r="B41" s="761" t="s">
        <v>198</v>
      </c>
      <c r="C41" s="761"/>
      <c r="D41" s="53" t="s">
        <v>176</v>
      </c>
      <c r="E41" s="53" t="s">
        <v>177</v>
      </c>
    </row>
    <row r="42" spans="1:12" s="5" customFormat="1" ht="15">
      <c r="A42" s="36" t="s">
        <v>178</v>
      </c>
      <c r="B42" s="739" t="s">
        <v>319</v>
      </c>
      <c r="C42" s="739"/>
      <c r="D42" s="378">
        <v>0.2</v>
      </c>
      <c r="E42" s="44">
        <f>($E$31+$E$38)*D42</f>
        <v>1016.6774970000001</v>
      </c>
      <c r="F42" s="736"/>
      <c r="G42" s="736"/>
      <c r="H42" s="736"/>
      <c r="I42" s="736"/>
      <c r="L42" s="30"/>
    </row>
    <row r="43" spans="1:12" s="5" customFormat="1" ht="15">
      <c r="A43" s="36" t="s">
        <v>193</v>
      </c>
      <c r="B43" s="739" t="s">
        <v>320</v>
      </c>
      <c r="C43" s="739"/>
      <c r="D43" s="378">
        <v>2.5000000000000001E-2</v>
      </c>
      <c r="E43" s="44">
        <f t="shared" ref="E43:E49" si="0">($E$31+$E$38)*D43</f>
        <v>127.08468712500002</v>
      </c>
      <c r="L43" s="30"/>
    </row>
    <row r="44" spans="1:12" s="5" customFormat="1" ht="15">
      <c r="A44" s="36" t="s">
        <v>117</v>
      </c>
      <c r="B44" s="739" t="s">
        <v>321</v>
      </c>
      <c r="C44" s="739"/>
      <c r="D44" s="378">
        <v>0.02</v>
      </c>
      <c r="E44" s="44">
        <f>($E$31+$E$38)*D44</f>
        <v>101.6677497</v>
      </c>
      <c r="F44" s="736"/>
      <c r="G44" s="736"/>
      <c r="H44" s="736"/>
      <c r="I44" s="736"/>
      <c r="L44" s="30"/>
    </row>
    <row r="45" spans="1:12" s="5" customFormat="1" ht="15">
      <c r="A45" s="36" t="s">
        <v>156</v>
      </c>
      <c r="B45" s="739" t="s">
        <v>322</v>
      </c>
      <c r="C45" s="739"/>
      <c r="D45" s="378">
        <v>1.4999999999999999E-2</v>
      </c>
      <c r="E45" s="44">
        <f t="shared" si="0"/>
        <v>76.250812275000001</v>
      </c>
    </row>
    <row r="46" spans="1:12" s="5" customFormat="1" ht="15">
      <c r="A46" s="36" t="s">
        <v>183</v>
      </c>
      <c r="B46" s="739" t="s">
        <v>323</v>
      </c>
      <c r="C46" s="739"/>
      <c r="D46" s="378">
        <v>0.01</v>
      </c>
      <c r="E46" s="44">
        <f t="shared" si="0"/>
        <v>50.833874850000001</v>
      </c>
    </row>
    <row r="47" spans="1:12" s="5" customFormat="1" ht="15">
      <c r="A47" s="36" t="s">
        <v>205</v>
      </c>
      <c r="B47" s="739" t="s">
        <v>324</v>
      </c>
      <c r="C47" s="739"/>
      <c r="D47" s="378">
        <v>6.0000000000000001E-3</v>
      </c>
      <c r="E47" s="44">
        <f t="shared" si="0"/>
        <v>30.500324910000003</v>
      </c>
    </row>
    <row r="48" spans="1:12" s="5" customFormat="1" ht="15">
      <c r="A48" s="36" t="s">
        <v>207</v>
      </c>
      <c r="B48" s="739" t="s">
        <v>325</v>
      </c>
      <c r="C48" s="739"/>
      <c r="D48" s="378">
        <v>2E-3</v>
      </c>
      <c r="E48" s="44">
        <f t="shared" si="0"/>
        <v>10.166774970000001</v>
      </c>
    </row>
    <row r="49" spans="1:13" s="5" customFormat="1" ht="15">
      <c r="A49" s="36" t="s">
        <v>209</v>
      </c>
      <c r="B49" s="739" t="s">
        <v>326</v>
      </c>
      <c r="C49" s="739"/>
      <c r="D49" s="378">
        <v>0.08</v>
      </c>
      <c r="E49" s="44">
        <f t="shared" si="0"/>
        <v>406.67099880000001</v>
      </c>
    </row>
    <row r="50" spans="1:13" s="5" customFormat="1">
      <c r="A50" s="740" t="s">
        <v>211</v>
      </c>
      <c r="B50" s="740"/>
      <c r="C50" s="740"/>
      <c r="D50" s="72">
        <f>SUM(D42:D49)</f>
        <v>0.35800000000000004</v>
      </c>
      <c r="E50" s="45">
        <f>SUM(E42:E49)</f>
        <v>1819.8527196300004</v>
      </c>
    </row>
    <row r="51" spans="1:13" s="5" customFormat="1">
      <c r="A51" s="16"/>
      <c r="B51" s="16"/>
      <c r="C51" s="16"/>
      <c r="D51" s="16"/>
      <c r="E51" s="359"/>
      <c r="G51" s="6"/>
      <c r="H51" s="6"/>
    </row>
    <row r="52" spans="1:13" s="5" customFormat="1">
      <c r="A52" s="842" t="s">
        <v>212</v>
      </c>
      <c r="B52" s="842"/>
      <c r="C52" s="842"/>
      <c r="D52" s="842"/>
      <c r="E52" s="842"/>
      <c r="G52" s="6"/>
      <c r="H52" s="6"/>
    </row>
    <row r="53" spans="1:13" s="6" customFormat="1">
      <c r="A53" s="293" t="s">
        <v>213</v>
      </c>
      <c r="B53" s="843" t="s">
        <v>214</v>
      </c>
      <c r="C53" s="843"/>
      <c r="D53" s="293"/>
      <c r="E53" s="293" t="s">
        <v>177</v>
      </c>
    </row>
    <row r="54" spans="1:13" s="6" customFormat="1">
      <c r="A54" s="36" t="s">
        <v>115</v>
      </c>
      <c r="B54" s="739" t="s">
        <v>215</v>
      </c>
      <c r="C54" s="739"/>
      <c r="D54" s="346">
        <f>'Assistente Adm I'!D54</f>
        <v>5.5</v>
      </c>
      <c r="E54" s="292">
        <f>IF((D54*2*21-(E29*6%))&gt;0, D54*2*21-(E29*6%), 0)</f>
        <v>0</v>
      </c>
      <c r="M54" s="31"/>
    </row>
    <row r="55" spans="1:13" s="6" customFormat="1">
      <c r="A55" s="36" t="s">
        <v>116</v>
      </c>
      <c r="B55" s="739" t="s">
        <v>327</v>
      </c>
      <c r="C55" s="739"/>
      <c r="D55" s="346">
        <v>44.3</v>
      </c>
      <c r="E55" s="292">
        <f>D55*21</f>
        <v>930.3</v>
      </c>
      <c r="F55" s="379"/>
      <c r="I55" s="31"/>
      <c r="M55" s="31"/>
    </row>
    <row r="56" spans="1:13" s="6" customFormat="1">
      <c r="A56" s="36" t="s">
        <v>117</v>
      </c>
      <c r="B56" s="739" t="s">
        <v>328</v>
      </c>
      <c r="C56" s="739"/>
      <c r="D56" s="377"/>
      <c r="E56" s="292">
        <v>0</v>
      </c>
      <c r="I56" s="31"/>
      <c r="M56" s="31"/>
    </row>
    <row r="57" spans="1:13" s="6" customFormat="1">
      <c r="A57" s="36" t="s">
        <v>156</v>
      </c>
      <c r="B57" s="536"/>
      <c r="C57" s="537"/>
      <c r="D57" s="377"/>
      <c r="E57" s="292">
        <v>0</v>
      </c>
      <c r="I57" s="31"/>
      <c r="M57" s="31"/>
    </row>
    <row r="58" spans="1:13" s="6" customFormat="1">
      <c r="A58" s="73" t="s">
        <v>183</v>
      </c>
      <c r="B58" s="846" t="s">
        <v>330</v>
      </c>
      <c r="C58" s="847"/>
      <c r="D58" s="47"/>
      <c r="E58" s="291"/>
    </row>
    <row r="59" spans="1:13" s="5" customFormat="1">
      <c r="A59" s="740" t="s">
        <v>223</v>
      </c>
      <c r="B59" s="740"/>
      <c r="C59" s="740"/>
      <c r="D59" s="740"/>
      <c r="E59" s="49">
        <f>SUM(E54:E58)</f>
        <v>930.3</v>
      </c>
      <c r="G59" s="6"/>
      <c r="H59" s="6"/>
    </row>
    <row r="60" spans="1:13" s="5" customFormat="1" ht="15" thickBot="1">
      <c r="A60" s="74"/>
      <c r="B60" s="75"/>
      <c r="C60" s="75"/>
      <c r="D60" s="75"/>
      <c r="E60" s="61"/>
      <c r="G60" s="6"/>
      <c r="H60" s="6"/>
    </row>
    <row r="61" spans="1:13" s="5" customFormat="1">
      <c r="A61" s="781"/>
      <c r="B61" s="782"/>
      <c r="C61" s="782"/>
      <c r="D61" s="782"/>
      <c r="E61" s="783"/>
      <c r="G61" s="6"/>
      <c r="H61" s="6"/>
    </row>
    <row r="62" spans="1:13" s="5" customFormat="1">
      <c r="A62" s="744" t="s">
        <v>230</v>
      </c>
      <c r="B62" s="744"/>
      <c r="C62" s="744"/>
      <c r="D62" s="744"/>
      <c r="E62" s="744"/>
      <c r="G62" s="6"/>
      <c r="H62" s="6"/>
    </row>
    <row r="63" spans="1:13" s="5" customFormat="1">
      <c r="A63" s="53"/>
      <c r="B63" s="761" t="s">
        <v>232</v>
      </c>
      <c r="C63" s="761"/>
      <c r="D63" s="53" t="s">
        <v>233</v>
      </c>
      <c r="E63" s="53" t="s">
        <v>177</v>
      </c>
    </row>
    <row r="64" spans="1:13" s="5" customFormat="1">
      <c r="A64" s="36" t="s">
        <v>190</v>
      </c>
      <c r="B64" s="844" t="s">
        <v>235</v>
      </c>
      <c r="C64" s="844"/>
      <c r="D64" s="364">
        <f>D38</f>
        <v>0.20450000000000002</v>
      </c>
      <c r="E64" s="44">
        <f>E38</f>
        <v>863.05748500000004</v>
      </c>
    </row>
    <row r="65" spans="1:7" s="5" customFormat="1">
      <c r="A65" s="36" t="s">
        <v>197</v>
      </c>
      <c r="B65" s="844" t="s">
        <v>236</v>
      </c>
      <c r="C65" s="844"/>
      <c r="D65" s="364">
        <f>D50</f>
        <v>0.35800000000000004</v>
      </c>
      <c r="E65" s="44">
        <f>E50</f>
        <v>1819.8527196300004</v>
      </c>
    </row>
    <row r="66" spans="1:7" s="5" customFormat="1">
      <c r="A66" s="36" t="s">
        <v>213</v>
      </c>
      <c r="B66" s="844" t="s">
        <v>237</v>
      </c>
      <c r="C66" s="844"/>
      <c r="D66" s="364">
        <v>0</v>
      </c>
      <c r="E66" s="44">
        <f>E59</f>
        <v>930.3</v>
      </c>
    </row>
    <row r="67" spans="1:7" s="5" customFormat="1">
      <c r="A67" s="845" t="s">
        <v>240</v>
      </c>
      <c r="B67" s="845"/>
      <c r="C67" s="845"/>
      <c r="D67" s="365">
        <f>SUM(D64:D66)</f>
        <v>0.5625</v>
      </c>
      <c r="E67" s="49">
        <f>SUM(E64:E66)</f>
        <v>3613.2102046300006</v>
      </c>
    </row>
    <row r="68" spans="1:7" s="5" customFormat="1">
      <c r="A68" s="18"/>
      <c r="B68" s="18"/>
      <c r="C68" s="18"/>
      <c r="D68" s="351"/>
      <c r="E68" s="359"/>
    </row>
    <row r="69" spans="1:7" s="5" customFormat="1">
      <c r="A69" s="757" t="s">
        <v>241</v>
      </c>
      <c r="B69" s="758"/>
      <c r="C69" s="758"/>
      <c r="D69" s="758"/>
      <c r="E69" s="758"/>
    </row>
    <row r="70" spans="1:7" s="5" customFormat="1">
      <c r="A70" s="759" t="s">
        <v>241</v>
      </c>
      <c r="B70" s="759"/>
      <c r="C70" s="759"/>
      <c r="D70" s="759"/>
      <c r="E70" s="759"/>
    </row>
    <row r="71" spans="1:7" s="5" customFormat="1">
      <c r="A71" s="53">
        <v>3</v>
      </c>
      <c r="B71" s="761" t="s">
        <v>242</v>
      </c>
      <c r="C71" s="761"/>
      <c r="D71" s="53" t="s">
        <v>233</v>
      </c>
      <c r="E71" s="53" t="s">
        <v>177</v>
      </c>
    </row>
    <row r="72" spans="1:7" s="5" customFormat="1">
      <c r="A72" s="36" t="s">
        <v>178</v>
      </c>
      <c r="B72" s="849" t="s">
        <v>331</v>
      </c>
      <c r="C72" s="848"/>
      <c r="D72" s="290">
        <f>(0.05*(1/12))</f>
        <v>4.1666666666666666E-3</v>
      </c>
      <c r="E72" s="44">
        <f>D72*$E$31</f>
        <v>17.584708333333332</v>
      </c>
      <c r="G72" s="355"/>
    </row>
    <row r="73" spans="1:7" s="5" customFormat="1">
      <c r="A73" s="36" t="s">
        <v>193</v>
      </c>
      <c r="B73" s="848" t="s">
        <v>332</v>
      </c>
      <c r="C73" s="848"/>
      <c r="D73" s="71">
        <f>D49*D72</f>
        <v>3.3333333333333332E-4</v>
      </c>
      <c r="E73" s="44">
        <f>D49*E72</f>
        <v>1.4067766666666666</v>
      </c>
      <c r="G73" s="347"/>
    </row>
    <row r="74" spans="1:7" s="5" customFormat="1" ht="29.25" customHeight="1">
      <c r="A74" s="36" t="s">
        <v>117</v>
      </c>
      <c r="B74" s="858" t="s">
        <v>350</v>
      </c>
      <c r="C74" s="860"/>
      <c r="D74" s="71">
        <v>3.44E-2</v>
      </c>
      <c r="E74" s="44">
        <f>D74*$E$31</f>
        <v>145.17935199999999</v>
      </c>
      <c r="G74" s="347"/>
    </row>
    <row r="75" spans="1:7" s="5" customFormat="1" ht="57.75" customHeight="1">
      <c r="A75" s="36" t="s">
        <v>156</v>
      </c>
      <c r="B75" s="849" t="s">
        <v>351</v>
      </c>
      <c r="C75" s="848"/>
      <c r="D75" s="290">
        <f>((7/30)/12)</f>
        <v>1.9444444444444445E-2</v>
      </c>
      <c r="E75" s="44">
        <f>D75*$E$31</f>
        <v>82.061972222222224</v>
      </c>
      <c r="G75" s="348"/>
    </row>
    <row r="76" spans="1:7" s="5" customFormat="1" ht="26.25" customHeight="1">
      <c r="A76" s="36" t="s">
        <v>183</v>
      </c>
      <c r="B76" s="848" t="s">
        <v>335</v>
      </c>
      <c r="C76" s="848"/>
      <c r="D76" s="71">
        <f>D50*D75</f>
        <v>6.9611111111111124E-3</v>
      </c>
      <c r="E76" s="44">
        <f>D50*E75</f>
        <v>29.37818605555556</v>
      </c>
    </row>
    <row r="77" spans="1:7" s="5" customFormat="1" ht="27" customHeight="1">
      <c r="A77" s="36" t="s">
        <v>205</v>
      </c>
      <c r="B77" s="865" t="s">
        <v>361</v>
      </c>
      <c r="C77" s="848"/>
      <c r="D77" s="71">
        <v>5.5999999999999999E-3</v>
      </c>
      <c r="E77" s="44">
        <f>D77*$E$31</f>
        <v>23.633848</v>
      </c>
    </row>
    <row r="78" spans="1:7" s="5" customFormat="1">
      <c r="A78" s="845" t="s">
        <v>250</v>
      </c>
      <c r="B78" s="845"/>
      <c r="C78" s="845"/>
      <c r="D78" s="365">
        <f>SUM(D72:D77)</f>
        <v>7.0905555555555555E-2</v>
      </c>
      <c r="E78" s="49">
        <f>SUM(E72:E77)</f>
        <v>299.24484327777776</v>
      </c>
    </row>
    <row r="79" spans="1:7" s="5" customFormat="1">
      <c r="A79" s="18"/>
      <c r="B79" s="18"/>
      <c r="C79" s="18"/>
      <c r="D79" s="351"/>
      <c r="E79" s="359"/>
    </row>
    <row r="80" spans="1:7" s="5" customFormat="1">
      <c r="A80" s="757" t="s">
        <v>251</v>
      </c>
      <c r="B80" s="758"/>
      <c r="C80" s="758"/>
      <c r="D80" s="758"/>
      <c r="E80" s="758"/>
    </row>
    <row r="81" spans="1:10" s="5" customFormat="1">
      <c r="A81" s="842" t="s">
        <v>252</v>
      </c>
      <c r="B81" s="842"/>
      <c r="C81" s="842"/>
      <c r="D81" s="842"/>
      <c r="E81" s="842"/>
    </row>
    <row r="82" spans="1:10" s="5" customFormat="1">
      <c r="A82" s="852" t="s">
        <v>337</v>
      </c>
      <c r="B82" s="853"/>
      <c r="C82" s="853"/>
      <c r="D82" s="854"/>
      <c r="E82" s="367">
        <f>(E31+E38+E50)</f>
        <v>6903.2402046300003</v>
      </c>
    </row>
    <row r="83" spans="1:10" s="5" customFormat="1">
      <c r="A83" s="293" t="s">
        <v>253</v>
      </c>
      <c r="B83" s="843" t="s">
        <v>254</v>
      </c>
      <c r="C83" s="843"/>
      <c r="D83" s="293" t="s">
        <v>233</v>
      </c>
      <c r="E83" s="293" t="s">
        <v>177</v>
      </c>
    </row>
    <row r="84" spans="1:10" s="5" customFormat="1">
      <c r="A84" s="36" t="s">
        <v>178</v>
      </c>
      <c r="B84" s="739" t="s">
        <v>338</v>
      </c>
      <c r="C84" s="739"/>
      <c r="D84" s="290">
        <v>0</v>
      </c>
      <c r="E84" s="44">
        <f>D84*(E31+E50)</f>
        <v>0</v>
      </c>
      <c r="G84" s="350"/>
      <c r="H84" s="30"/>
      <c r="I84" s="30"/>
      <c r="J84" s="30"/>
    </row>
    <row r="85" spans="1:10" s="5" customFormat="1">
      <c r="A85" s="36" t="s">
        <v>193</v>
      </c>
      <c r="B85" s="739" t="s">
        <v>254</v>
      </c>
      <c r="C85" s="739"/>
      <c r="D85" s="455">
        <v>2.8E-3</v>
      </c>
      <c r="E85" s="44">
        <f>D85*$E$82</f>
        <v>19.329072572964002</v>
      </c>
      <c r="J85" s="350"/>
    </row>
    <row r="86" spans="1:10" s="5" customFormat="1">
      <c r="A86" s="36" t="s">
        <v>245</v>
      </c>
      <c r="B86" s="739" t="s">
        <v>339</v>
      </c>
      <c r="C86" s="739"/>
      <c r="D86" s="290">
        <f>0.02%</f>
        <v>2.0000000000000001E-4</v>
      </c>
      <c r="E86" s="44">
        <f>D86*$E$82</f>
        <v>1.3806480409260002</v>
      </c>
    </row>
    <row r="87" spans="1:10" s="5" customFormat="1">
      <c r="A87" s="36" t="s">
        <v>118</v>
      </c>
      <c r="B87" s="739" t="s">
        <v>340</v>
      </c>
      <c r="C87" s="739"/>
      <c r="D87" s="290">
        <v>6.9999999999999999E-4</v>
      </c>
      <c r="E87" s="44">
        <f>D87*$E$82</f>
        <v>4.8322681432410004</v>
      </c>
    </row>
    <row r="88" spans="1:10" s="5" customFormat="1">
      <c r="A88" s="36" t="s">
        <v>119</v>
      </c>
      <c r="B88" s="739" t="s">
        <v>258</v>
      </c>
      <c r="C88" s="739"/>
      <c r="D88" s="290">
        <v>2E-3</v>
      </c>
      <c r="E88" s="44">
        <f>D88*$E$82</f>
        <v>13.806480409260001</v>
      </c>
    </row>
    <row r="89" spans="1:10" s="5" customFormat="1">
      <c r="A89" s="36" t="s">
        <v>185</v>
      </c>
      <c r="B89" s="844" t="s">
        <v>341</v>
      </c>
      <c r="C89" s="844"/>
      <c r="D89" s="71">
        <v>0</v>
      </c>
      <c r="E89" s="44">
        <f t="shared" ref="E89" si="1">D89*$E$31</f>
        <v>0</v>
      </c>
    </row>
    <row r="90" spans="1:10" s="5" customFormat="1">
      <c r="A90" s="796" t="s">
        <v>260</v>
      </c>
      <c r="B90" s="796"/>
      <c r="C90" s="796"/>
      <c r="D90" s="72">
        <f>SUM(D84:D89)</f>
        <v>5.7000000000000002E-3</v>
      </c>
      <c r="E90" s="49">
        <f>SUM(E84:E89)</f>
        <v>39.348469166390998</v>
      </c>
    </row>
    <row r="91" spans="1:10" s="5" customFormat="1">
      <c r="A91" s="18"/>
      <c r="B91" s="18"/>
      <c r="C91" s="18"/>
      <c r="D91" s="351"/>
      <c r="E91" s="359"/>
    </row>
    <row r="92" spans="1:10" s="5" customFormat="1">
      <c r="A92" s="759" t="s">
        <v>261</v>
      </c>
      <c r="B92" s="759"/>
      <c r="C92" s="759"/>
      <c r="D92" s="759"/>
      <c r="E92" s="759"/>
    </row>
    <row r="93" spans="1:10" s="5" customFormat="1">
      <c r="A93" s="53" t="s">
        <v>262</v>
      </c>
      <c r="B93" s="760" t="s">
        <v>263</v>
      </c>
      <c r="C93" s="760"/>
      <c r="D93" s="53" t="s">
        <v>233</v>
      </c>
      <c r="E93" s="53" t="s">
        <v>177</v>
      </c>
    </row>
    <row r="94" spans="1:10">
      <c r="A94" s="36" t="s">
        <v>178</v>
      </c>
      <c r="B94" s="739" t="s">
        <v>264</v>
      </c>
      <c r="C94" s="739"/>
      <c r="D94" s="76">
        <v>0</v>
      </c>
      <c r="E94" s="44">
        <f>(E31+E67+E78)/220*1*15*D94</f>
        <v>0</v>
      </c>
    </row>
    <row r="95" spans="1:10">
      <c r="A95" s="845" t="s">
        <v>265</v>
      </c>
      <c r="B95" s="845"/>
      <c r="C95" s="845"/>
      <c r="D95" s="845"/>
      <c r="E95" s="49">
        <f>E94</f>
        <v>0</v>
      </c>
    </row>
    <row r="96" spans="1:10">
      <c r="A96" s="855"/>
      <c r="B96" s="856"/>
      <c r="C96" s="856"/>
      <c r="D96" s="856"/>
      <c r="E96" s="857"/>
    </row>
    <row r="97" spans="1:5">
      <c r="A97" s="744" t="s">
        <v>266</v>
      </c>
      <c r="B97" s="744"/>
      <c r="C97" s="744"/>
      <c r="D97" s="744"/>
      <c r="E97" s="744"/>
    </row>
    <row r="98" spans="1:5">
      <c r="A98" s="53"/>
      <c r="B98" s="761" t="s">
        <v>267</v>
      </c>
      <c r="C98" s="761"/>
      <c r="D98" s="53" t="s">
        <v>233</v>
      </c>
      <c r="E98" s="53" t="s">
        <v>177</v>
      </c>
    </row>
    <row r="99" spans="1:5">
      <c r="A99" s="36" t="s">
        <v>253</v>
      </c>
      <c r="B99" s="844" t="s">
        <v>254</v>
      </c>
      <c r="C99" s="844"/>
      <c r="D99" s="364">
        <f>D90</f>
        <v>5.7000000000000002E-3</v>
      </c>
      <c r="E99" s="44">
        <f>E90</f>
        <v>39.348469166390998</v>
      </c>
    </row>
    <row r="100" spans="1:5">
      <c r="A100" s="36" t="s">
        <v>262</v>
      </c>
      <c r="B100" s="844" t="s">
        <v>263</v>
      </c>
      <c r="C100" s="844"/>
      <c r="D100" s="71">
        <v>0</v>
      </c>
      <c r="E100" s="44">
        <f>E95</f>
        <v>0</v>
      </c>
    </row>
    <row r="101" spans="1:5">
      <c r="A101" s="845" t="s">
        <v>268</v>
      </c>
      <c r="B101" s="845"/>
      <c r="C101" s="845"/>
      <c r="D101" s="365">
        <f>SUM(D99:D100)</f>
        <v>5.7000000000000002E-3</v>
      </c>
      <c r="E101" s="49">
        <f>E99+E100</f>
        <v>39.348469166390998</v>
      </c>
    </row>
    <row r="102" spans="1:5">
      <c r="A102" s="13"/>
      <c r="B102" s="18"/>
      <c r="C102" s="18"/>
      <c r="D102" s="351"/>
      <c r="E102" s="359"/>
    </row>
    <row r="103" spans="1:5">
      <c r="A103" s="757" t="s">
        <v>269</v>
      </c>
      <c r="B103" s="758"/>
      <c r="C103" s="758"/>
      <c r="D103" s="758"/>
      <c r="E103" s="758"/>
    </row>
    <row r="104" spans="1:5">
      <c r="A104" s="759" t="s">
        <v>269</v>
      </c>
      <c r="B104" s="759"/>
      <c r="C104" s="759"/>
      <c r="D104" s="759"/>
      <c r="E104" s="759"/>
    </row>
    <row r="105" spans="1:5">
      <c r="A105" s="53">
        <v>5</v>
      </c>
      <c r="B105" s="761" t="s">
        <v>270</v>
      </c>
      <c r="C105" s="761"/>
      <c r="D105" s="761"/>
      <c r="E105" s="53" t="s">
        <v>177</v>
      </c>
    </row>
    <row r="106" spans="1:5">
      <c r="A106" s="36" t="s">
        <v>178</v>
      </c>
      <c r="B106" s="844" t="s">
        <v>271</v>
      </c>
      <c r="C106" s="844"/>
      <c r="D106" s="844"/>
      <c r="E106" s="44">
        <v>0</v>
      </c>
    </row>
    <row r="107" spans="1:5">
      <c r="A107" s="36" t="s">
        <v>193</v>
      </c>
      <c r="B107" s="739" t="s">
        <v>342</v>
      </c>
      <c r="C107" s="739"/>
      <c r="D107" s="739"/>
      <c r="E107" s="44">
        <v>0</v>
      </c>
    </row>
    <row r="108" spans="1:5" s="5" customFormat="1">
      <c r="A108" s="845" t="s">
        <v>276</v>
      </c>
      <c r="B108" s="845"/>
      <c r="C108" s="845"/>
      <c r="D108" s="845"/>
      <c r="E108" s="49">
        <f>SUM(E106:E107)</f>
        <v>0</v>
      </c>
    </row>
    <row r="109" spans="1:5">
      <c r="E109" s="360">
        <f>D67+D78+D101</f>
        <v>0.63910555555555559</v>
      </c>
    </row>
    <row r="110" spans="1:5">
      <c r="A110" s="29"/>
      <c r="B110" s="29"/>
      <c r="C110" s="29"/>
      <c r="D110" s="29"/>
      <c r="E110" s="351"/>
    </row>
    <row r="111" spans="1:5">
      <c r="A111" s="861" t="s">
        <v>278</v>
      </c>
      <c r="B111" s="861"/>
      <c r="C111" s="861"/>
      <c r="D111" s="861"/>
      <c r="E111" s="861"/>
    </row>
    <row r="112" spans="1:5" s="6" customFormat="1">
      <c r="A112" s="759" t="s">
        <v>278</v>
      </c>
      <c r="B112" s="759"/>
      <c r="C112" s="759"/>
      <c r="D112" s="759"/>
      <c r="E112" s="759"/>
    </row>
    <row r="113" spans="1:12">
      <c r="A113" s="53">
        <v>6</v>
      </c>
      <c r="B113" s="760" t="s">
        <v>279</v>
      </c>
      <c r="C113" s="760"/>
      <c r="D113" s="53" t="s">
        <v>176</v>
      </c>
      <c r="E113" s="53" t="s">
        <v>177</v>
      </c>
    </row>
    <row r="114" spans="1:12">
      <c r="A114" s="354" t="s">
        <v>178</v>
      </c>
      <c r="B114" s="844" t="s">
        <v>280</v>
      </c>
      <c r="C114" s="844"/>
      <c r="D114" s="506">
        <v>0.05</v>
      </c>
      <c r="E114" s="44">
        <f>D114*E129</f>
        <v>408.60667585370845</v>
      </c>
      <c r="F114" s="380" t="e">
        <f>#REF!</f>
        <v>#REF!</v>
      </c>
      <c r="L114" s="545"/>
    </row>
    <row r="115" spans="1:12">
      <c r="A115" s="354" t="s">
        <v>193</v>
      </c>
      <c r="B115" s="844" t="s">
        <v>281</v>
      </c>
      <c r="C115" s="844"/>
      <c r="D115" s="506">
        <v>0.05</v>
      </c>
      <c r="E115" s="44">
        <f>D115*(E114+E129)</f>
        <v>429.03700964639387</v>
      </c>
      <c r="F115" s="380" t="e">
        <f>#REF!</f>
        <v>#REF!</v>
      </c>
      <c r="L115" s="545"/>
    </row>
    <row r="116" spans="1:12">
      <c r="A116" s="862" t="s">
        <v>117</v>
      </c>
      <c r="B116" s="845" t="s">
        <v>282</v>
      </c>
      <c r="C116" s="845"/>
      <c r="D116" s="72"/>
      <c r="E116" s="49"/>
      <c r="F116" s="380" t="e">
        <f>F115-F114</f>
        <v>#REF!</v>
      </c>
    </row>
    <row r="117" spans="1:12">
      <c r="A117" s="862"/>
      <c r="B117" s="844" t="s">
        <v>283</v>
      </c>
      <c r="C117" s="844"/>
      <c r="D117" s="290">
        <v>6.4999999999999997E-3</v>
      </c>
      <c r="E117" s="44">
        <f>($E$114+$E$115+$E$129)/(1-($D$117+$D$118+$D$119))*D117</f>
        <v>64.108978452909426</v>
      </c>
      <c r="F117" s="380"/>
    </row>
    <row r="118" spans="1:12">
      <c r="A118" s="862"/>
      <c r="B118" s="844" t="s">
        <v>284</v>
      </c>
      <c r="C118" s="844"/>
      <c r="D118" s="290">
        <v>0.03</v>
      </c>
      <c r="E118" s="44">
        <f>($E$114+$E$115+$E$129)/(1-($D$117+$D$118+$D$119))*D118</f>
        <v>295.88759285958196</v>
      </c>
    </row>
    <row r="119" spans="1:12" s="3" customFormat="1">
      <c r="A119" s="862"/>
      <c r="B119" s="844" t="s">
        <v>343</v>
      </c>
      <c r="C119" s="844"/>
      <c r="D119" s="290">
        <v>0.05</v>
      </c>
      <c r="E119" s="44">
        <f>($E$114+$E$115+$E$129)/(1-($D$117+$D$118+$D$119))*D119</f>
        <v>493.14598809930334</v>
      </c>
    </row>
    <row r="120" spans="1:12">
      <c r="A120" s="740" t="s">
        <v>286</v>
      </c>
      <c r="B120" s="740"/>
      <c r="C120" s="740"/>
      <c r="D120" s="72">
        <f>SUM(D114:D119)</f>
        <v>0.1865</v>
      </c>
      <c r="E120" s="49">
        <f>SUM(E114:E119)</f>
        <v>1690.786244911897</v>
      </c>
    </row>
    <row r="121" spans="1:12">
      <c r="D121" s="366"/>
    </row>
    <row r="122" spans="1:12">
      <c r="A122" s="744" t="s">
        <v>287</v>
      </c>
      <c r="B122" s="744"/>
      <c r="C122" s="744"/>
      <c r="D122" s="744"/>
      <c r="E122" s="744"/>
    </row>
    <row r="123" spans="1:12">
      <c r="A123" s="740" t="s">
        <v>288</v>
      </c>
      <c r="B123" s="740"/>
      <c r="C123" s="740"/>
      <c r="D123" s="740"/>
      <c r="E123" s="53" t="s">
        <v>289</v>
      </c>
    </row>
    <row r="124" spans="1:12">
      <c r="A124" s="36" t="s">
        <v>178</v>
      </c>
      <c r="B124" s="739" t="s">
        <v>290</v>
      </c>
      <c r="C124" s="739"/>
      <c r="D124" s="739"/>
      <c r="E124" s="361">
        <f>E31</f>
        <v>4220.33</v>
      </c>
    </row>
    <row r="125" spans="1:12">
      <c r="A125" s="36" t="s">
        <v>193</v>
      </c>
      <c r="B125" s="739" t="s">
        <v>291</v>
      </c>
      <c r="C125" s="739"/>
      <c r="D125" s="739"/>
      <c r="E125" s="362">
        <f>E67</f>
        <v>3613.2102046300006</v>
      </c>
    </row>
    <row r="126" spans="1:12">
      <c r="A126" s="36" t="s">
        <v>245</v>
      </c>
      <c r="B126" s="739" t="s">
        <v>292</v>
      </c>
      <c r="C126" s="739"/>
      <c r="D126" s="739"/>
      <c r="E126" s="362">
        <f>E78</f>
        <v>299.24484327777776</v>
      </c>
    </row>
    <row r="127" spans="1:12">
      <c r="A127" s="36" t="s">
        <v>118</v>
      </c>
      <c r="B127" s="739" t="s">
        <v>293</v>
      </c>
      <c r="C127" s="739"/>
      <c r="D127" s="739"/>
      <c r="E127" s="362">
        <f>E101</f>
        <v>39.348469166390998</v>
      </c>
    </row>
    <row r="128" spans="1:12">
      <c r="A128" s="36" t="s">
        <v>119</v>
      </c>
      <c r="B128" s="858" t="s">
        <v>294</v>
      </c>
      <c r="C128" s="859"/>
      <c r="D128" s="860"/>
      <c r="E128" s="361">
        <f>E108</f>
        <v>0</v>
      </c>
    </row>
    <row r="129" spans="1:12">
      <c r="A129" s="740" t="s">
        <v>295</v>
      </c>
      <c r="B129" s="740"/>
      <c r="C129" s="740"/>
      <c r="D129" s="740"/>
      <c r="E129" s="41">
        <f>SUM(E124:E128)</f>
        <v>8172.1335170741686</v>
      </c>
      <c r="L129" s="380"/>
    </row>
    <row r="130" spans="1:12" s="5" customFormat="1">
      <c r="A130" s="36" t="s">
        <v>185</v>
      </c>
      <c r="B130" s="739" t="s">
        <v>296</v>
      </c>
      <c r="C130" s="739"/>
      <c r="D130" s="739"/>
      <c r="E130" s="362">
        <f>E120</f>
        <v>1690.786244911897</v>
      </c>
    </row>
    <row r="131" spans="1:12">
      <c r="A131" s="740" t="s">
        <v>297</v>
      </c>
      <c r="B131" s="740"/>
      <c r="C131" s="740"/>
      <c r="D131" s="740"/>
      <c r="E131" s="41">
        <f>SUM(E129:E130)</f>
        <v>9862.9197619860661</v>
      </c>
      <c r="L131" s="546"/>
    </row>
    <row r="132" spans="1:12">
      <c r="E132" s="363"/>
    </row>
    <row r="133" spans="1:12">
      <c r="E133" s="31"/>
    </row>
  </sheetData>
  <mergeCells count="127">
    <mergeCell ref="A2:E2"/>
    <mergeCell ref="A3:E3"/>
    <mergeCell ref="A4:E4"/>
    <mergeCell ref="A5:E5"/>
    <mergeCell ref="A7:E7"/>
    <mergeCell ref="B8:C8"/>
    <mergeCell ref="D8:E8"/>
    <mergeCell ref="A13:E13"/>
    <mergeCell ref="B14:C14"/>
    <mergeCell ref="B15:C15"/>
    <mergeCell ref="A17:E17"/>
    <mergeCell ref="A18:E18"/>
    <mergeCell ref="B19:C19"/>
    <mergeCell ref="D19:E19"/>
    <mergeCell ref="B9:C9"/>
    <mergeCell ref="D9:E9"/>
    <mergeCell ref="B10:C10"/>
    <mergeCell ref="D10:E10"/>
    <mergeCell ref="B11:C11"/>
    <mergeCell ref="D11:E11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B22:C22"/>
    <mergeCell ref="D22:E22"/>
    <mergeCell ref="A33:E33"/>
    <mergeCell ref="A34:E34"/>
    <mergeCell ref="B35:C35"/>
    <mergeCell ref="B36:C36"/>
    <mergeCell ref="A38:C38"/>
    <mergeCell ref="A40:E40"/>
    <mergeCell ref="A26:E26"/>
    <mergeCell ref="A27:E27"/>
    <mergeCell ref="B28:C28"/>
    <mergeCell ref="B29:C29"/>
    <mergeCell ref="B30:C30"/>
    <mergeCell ref="A31:D31"/>
    <mergeCell ref="B45:C45"/>
    <mergeCell ref="B46:C46"/>
    <mergeCell ref="B47:C47"/>
    <mergeCell ref="B48:C48"/>
    <mergeCell ref="B49:C49"/>
    <mergeCell ref="A50:C50"/>
    <mergeCell ref="B41:C41"/>
    <mergeCell ref="B42:C42"/>
    <mergeCell ref="F42:I42"/>
    <mergeCell ref="B43:C43"/>
    <mergeCell ref="B44:C44"/>
    <mergeCell ref="F44:I44"/>
    <mergeCell ref="A59:D59"/>
    <mergeCell ref="A61:E61"/>
    <mergeCell ref="A62:E62"/>
    <mergeCell ref="B63:C63"/>
    <mergeCell ref="B64:C64"/>
    <mergeCell ref="B65:C65"/>
    <mergeCell ref="A52:E52"/>
    <mergeCell ref="B53:C53"/>
    <mergeCell ref="B54:C54"/>
    <mergeCell ref="B55:C55"/>
    <mergeCell ref="B56:C56"/>
    <mergeCell ref="B58:C58"/>
    <mergeCell ref="B73:C73"/>
    <mergeCell ref="B75:C75"/>
    <mergeCell ref="B76:C76"/>
    <mergeCell ref="B77:C77"/>
    <mergeCell ref="A78:C78"/>
    <mergeCell ref="A80:E80"/>
    <mergeCell ref="B66:C66"/>
    <mergeCell ref="A67:C67"/>
    <mergeCell ref="A69:E69"/>
    <mergeCell ref="A70:E70"/>
    <mergeCell ref="B71:C71"/>
    <mergeCell ref="B72:C72"/>
    <mergeCell ref="B74:C74"/>
    <mergeCell ref="B87:C87"/>
    <mergeCell ref="B88:C88"/>
    <mergeCell ref="B89:C89"/>
    <mergeCell ref="A90:C90"/>
    <mergeCell ref="A92:E92"/>
    <mergeCell ref="B93:C93"/>
    <mergeCell ref="A81:E81"/>
    <mergeCell ref="A82:D82"/>
    <mergeCell ref="B83:C83"/>
    <mergeCell ref="B84:C84"/>
    <mergeCell ref="B85:C85"/>
    <mergeCell ref="B86:C86"/>
    <mergeCell ref="B100:C100"/>
    <mergeCell ref="A101:C101"/>
    <mergeCell ref="A103:E103"/>
    <mergeCell ref="A104:E104"/>
    <mergeCell ref="B105:D105"/>
    <mergeCell ref="B106:D106"/>
    <mergeCell ref="B94:C94"/>
    <mergeCell ref="A95:D95"/>
    <mergeCell ref="A96:E96"/>
    <mergeCell ref="A97:E97"/>
    <mergeCell ref="B98:C98"/>
    <mergeCell ref="B99:C99"/>
    <mergeCell ref="B115:C115"/>
    <mergeCell ref="A116:A119"/>
    <mergeCell ref="B116:C116"/>
    <mergeCell ref="B117:C117"/>
    <mergeCell ref="B118:C118"/>
    <mergeCell ref="B119:C119"/>
    <mergeCell ref="B107:D107"/>
    <mergeCell ref="A108:D108"/>
    <mergeCell ref="A111:E111"/>
    <mergeCell ref="A112:E112"/>
    <mergeCell ref="B113:C113"/>
    <mergeCell ref="B114:C114"/>
    <mergeCell ref="B127:D127"/>
    <mergeCell ref="B128:D128"/>
    <mergeCell ref="A129:D129"/>
    <mergeCell ref="B130:D130"/>
    <mergeCell ref="A131:D131"/>
    <mergeCell ref="A120:C120"/>
    <mergeCell ref="A122:E122"/>
    <mergeCell ref="A123:D123"/>
    <mergeCell ref="B124:D124"/>
    <mergeCell ref="B125:D125"/>
    <mergeCell ref="B126:D126"/>
  </mergeCells>
  <pageMargins left="0.51181102362204722" right="0.51181102362204722" top="1.0629921259842521" bottom="0.98425196850393704" header="0.31496062992125984" footer="0.31496062992125984"/>
  <pageSetup paperSize="9" scale="70" fitToHeight="0" orientation="portrait" r:id="rId1"/>
  <headerFooter>
    <oddHeader>&amp;L&amp;G</oddHeader>
    <oddFooter>&amp;L&amp;G&amp;RPágina &amp;P</oddFooter>
  </headerFooter>
  <rowBreaks count="1" manualBreakCount="1">
    <brk id="67" max="4" man="1"/>
  </rowBreaks>
  <colBreaks count="1" manualBreakCount="1">
    <brk id="5" max="1048575" man="1"/>
  </colBreaks>
  <legacy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23D28-29D4-4026-BF33-92C5E3050FFB}">
  <sheetPr codeName="Planilha20"/>
  <dimension ref="A1:F23"/>
  <sheetViews>
    <sheetView showGridLines="0" topLeftCell="A4" zoomScaleNormal="100" zoomScaleSheetLayoutView="100" workbookViewId="0">
      <selection activeCell="J18" sqref="J18"/>
    </sheetView>
  </sheetViews>
  <sheetFormatPr defaultRowHeight="15"/>
  <cols>
    <col min="1" max="1" width="24.7109375" style="553" customWidth="1"/>
    <col min="2" max="2" width="42.7109375" style="553" bestFit="1" customWidth="1"/>
    <col min="3" max="3" width="16.28515625" style="553" bestFit="1" customWidth="1"/>
    <col min="4" max="4" width="19.42578125" style="569" bestFit="1" customWidth="1"/>
    <col min="5" max="5" width="14.28515625" style="553" bestFit="1" customWidth="1"/>
    <col min="6" max="6" width="27.140625" style="553" bestFit="1" customWidth="1"/>
    <col min="7" max="16384" width="9.140625" style="553"/>
  </cols>
  <sheetData>
    <row r="1" spans="1:6" ht="25.5" customHeight="1" thickBot="1">
      <c r="A1" s="875" t="s">
        <v>372</v>
      </c>
      <c r="B1" s="876"/>
      <c r="C1" s="876"/>
      <c r="D1" s="876"/>
      <c r="E1" s="876"/>
      <c r="F1" s="877"/>
    </row>
    <row r="2" spans="1:6" ht="32.25" thickBot="1">
      <c r="A2" s="550" t="s">
        <v>69</v>
      </c>
      <c r="B2" s="551" t="s">
        <v>373</v>
      </c>
      <c r="C2" s="551" t="s">
        <v>72</v>
      </c>
      <c r="D2" s="565" t="s">
        <v>374</v>
      </c>
      <c r="E2" s="551" t="s">
        <v>375</v>
      </c>
      <c r="F2" s="552" t="s">
        <v>376</v>
      </c>
    </row>
    <row r="3" spans="1:6" ht="94.5">
      <c r="A3" s="561" t="s">
        <v>377</v>
      </c>
      <c r="B3" s="564" t="s">
        <v>378</v>
      </c>
      <c r="C3" s="560" t="s">
        <v>72</v>
      </c>
      <c r="D3" s="566">
        <v>50.603299999999997</v>
      </c>
      <c r="E3" s="554">
        <v>2</v>
      </c>
      <c r="F3" s="555">
        <f>E3*D3</f>
        <v>101.20659999999999</v>
      </c>
    </row>
    <row r="4" spans="1:6" ht="94.5">
      <c r="A4" s="562" t="s">
        <v>379</v>
      </c>
      <c r="B4" s="559" t="s">
        <v>380</v>
      </c>
      <c r="C4" s="560" t="s">
        <v>72</v>
      </c>
      <c r="D4" s="567">
        <v>59.6081</v>
      </c>
      <c r="E4" s="556">
        <v>2</v>
      </c>
      <c r="F4" s="555">
        <f t="shared" ref="F4:F8" si="0">E4*D4</f>
        <v>119.2162</v>
      </c>
    </row>
    <row r="5" spans="1:6" ht="47.25" customHeight="1">
      <c r="A5" s="562" t="s">
        <v>381</v>
      </c>
      <c r="B5" s="878" t="s">
        <v>382</v>
      </c>
      <c r="C5" s="560" t="s">
        <v>72</v>
      </c>
      <c r="D5" s="567">
        <v>67.31</v>
      </c>
      <c r="E5" s="556">
        <v>2</v>
      </c>
      <c r="F5" s="555">
        <f t="shared" si="0"/>
        <v>134.62</v>
      </c>
    </row>
    <row r="6" spans="1:6" ht="15.75">
      <c r="A6" s="562" t="s">
        <v>383</v>
      </c>
      <c r="B6" s="879"/>
      <c r="C6" s="560" t="s">
        <v>72</v>
      </c>
      <c r="D6" s="567">
        <v>65.905000000000001</v>
      </c>
      <c r="E6" s="556">
        <v>2</v>
      </c>
      <c r="F6" s="555">
        <f t="shared" si="0"/>
        <v>131.81</v>
      </c>
    </row>
    <row r="7" spans="1:6" ht="47.25">
      <c r="A7" s="562" t="s">
        <v>384</v>
      </c>
      <c r="B7" s="559" t="s">
        <v>385</v>
      </c>
      <c r="C7" s="560" t="s">
        <v>72</v>
      </c>
      <c r="D7" s="567">
        <v>18.687799999999999</v>
      </c>
      <c r="E7" s="556">
        <v>6</v>
      </c>
      <c r="F7" s="555">
        <f t="shared" si="0"/>
        <v>112.1268</v>
      </c>
    </row>
    <row r="8" spans="1:6" ht="63">
      <c r="A8" s="563" t="s">
        <v>386</v>
      </c>
      <c r="B8" s="586" t="s">
        <v>387</v>
      </c>
      <c r="C8" s="587" t="s">
        <v>388</v>
      </c>
      <c r="D8" s="588">
        <v>79.260000000000005</v>
      </c>
      <c r="E8" s="589">
        <v>2</v>
      </c>
      <c r="F8" s="555">
        <f t="shared" si="0"/>
        <v>158.52000000000001</v>
      </c>
    </row>
    <row r="9" spans="1:6" ht="15.75" customHeight="1">
      <c r="A9" s="873" t="s">
        <v>389</v>
      </c>
      <c r="B9" s="874"/>
      <c r="C9" s="874"/>
      <c r="D9" s="874"/>
      <c r="E9" s="874"/>
      <c r="F9" s="597">
        <f>SUM(F3:F8)</f>
        <v>757.49959999999999</v>
      </c>
    </row>
    <row r="10" spans="1:6" ht="16.5" thickBot="1">
      <c r="A10" s="871" t="s">
        <v>390</v>
      </c>
      <c r="B10" s="872"/>
      <c r="C10" s="872"/>
      <c r="D10" s="872"/>
      <c r="E10" s="872"/>
      <c r="F10" s="598">
        <f>F9/12</f>
        <v>63.124966666666666</v>
      </c>
    </row>
    <row r="11" spans="1:6" ht="16.5" thickBot="1">
      <c r="A11" s="557"/>
      <c r="B11" s="557"/>
      <c r="C11" s="557"/>
      <c r="D11" s="568"/>
      <c r="E11" s="557"/>
      <c r="F11" s="558"/>
    </row>
    <row r="12" spans="1:6" ht="26.25" customHeight="1" thickBot="1">
      <c r="A12" s="875" t="s">
        <v>391</v>
      </c>
      <c r="B12" s="876"/>
      <c r="C12" s="876"/>
      <c r="D12" s="876"/>
      <c r="E12" s="876"/>
      <c r="F12" s="877"/>
    </row>
    <row r="13" spans="1:6" ht="32.25" thickBot="1">
      <c r="A13" s="550" t="s">
        <v>69</v>
      </c>
      <c r="B13" s="551" t="s">
        <v>373</v>
      </c>
      <c r="C13" s="551" t="s">
        <v>72</v>
      </c>
      <c r="D13" s="565" t="s">
        <v>374</v>
      </c>
      <c r="E13" s="551" t="s">
        <v>375</v>
      </c>
      <c r="F13" s="552" t="s">
        <v>376</v>
      </c>
    </row>
    <row r="14" spans="1:6" ht="94.5">
      <c r="A14" s="561" t="s">
        <v>392</v>
      </c>
      <c r="B14" s="564" t="s">
        <v>393</v>
      </c>
      <c r="C14" s="560" t="s">
        <v>72</v>
      </c>
      <c r="D14" s="566">
        <v>52.021799999999999</v>
      </c>
      <c r="E14" s="554">
        <v>2</v>
      </c>
      <c r="F14" s="555">
        <f>E14*D14</f>
        <v>104.0436</v>
      </c>
    </row>
    <row r="15" spans="1:6" ht="94.5">
      <c r="A15" s="562" t="s">
        <v>379</v>
      </c>
      <c r="B15" s="559" t="s">
        <v>380</v>
      </c>
      <c r="C15" s="560" t="s">
        <v>72</v>
      </c>
      <c r="D15" s="567">
        <v>51.616799999999998</v>
      </c>
      <c r="E15" s="556">
        <v>2</v>
      </c>
      <c r="F15" s="555">
        <f t="shared" ref="F15:F19" si="1">E15*D15</f>
        <v>103.2336</v>
      </c>
    </row>
    <row r="16" spans="1:6" ht="47.25">
      <c r="A16" s="562" t="s">
        <v>381</v>
      </c>
      <c r="B16" s="559" t="s">
        <v>394</v>
      </c>
      <c r="C16" s="560" t="s">
        <v>72</v>
      </c>
      <c r="D16" s="567">
        <v>63.305799999999998</v>
      </c>
      <c r="E16" s="556">
        <v>4</v>
      </c>
      <c r="F16" s="555">
        <f t="shared" si="1"/>
        <v>253.22319999999999</v>
      </c>
    </row>
    <row r="17" spans="1:6" ht="47.25">
      <c r="A17" s="562" t="s">
        <v>395</v>
      </c>
      <c r="B17" s="559" t="s">
        <v>396</v>
      </c>
      <c r="C17" s="560" t="s">
        <v>388</v>
      </c>
      <c r="D17" s="567">
        <v>8.5162999999999993</v>
      </c>
      <c r="E17" s="556">
        <v>4</v>
      </c>
      <c r="F17" s="555">
        <f t="shared" si="1"/>
        <v>34.065199999999997</v>
      </c>
    </row>
    <row r="18" spans="1:6" ht="31.5">
      <c r="A18" s="563" t="s">
        <v>397</v>
      </c>
      <c r="B18" s="586" t="s">
        <v>398</v>
      </c>
      <c r="C18" s="560" t="s">
        <v>72</v>
      </c>
      <c r="D18" s="588">
        <v>30.929099999999998</v>
      </c>
      <c r="E18" s="589">
        <v>2</v>
      </c>
      <c r="F18" s="555">
        <f t="shared" si="1"/>
        <v>61.858199999999997</v>
      </c>
    </row>
    <row r="19" spans="1:6" ht="48" thickBot="1">
      <c r="A19" s="563" t="s">
        <v>386</v>
      </c>
      <c r="B19" s="586" t="s">
        <v>399</v>
      </c>
      <c r="C19" s="560" t="s">
        <v>388</v>
      </c>
      <c r="D19" s="588">
        <v>77.78</v>
      </c>
      <c r="E19" s="589">
        <v>2</v>
      </c>
      <c r="F19" s="555">
        <f t="shared" si="1"/>
        <v>155.56</v>
      </c>
    </row>
    <row r="20" spans="1:6" ht="15.75">
      <c r="A20" s="873" t="s">
        <v>389</v>
      </c>
      <c r="B20" s="874"/>
      <c r="C20" s="874"/>
      <c r="D20" s="874"/>
      <c r="E20" s="874"/>
      <c r="F20" s="597">
        <f>SUM(F14:F19)</f>
        <v>711.98379999999997</v>
      </c>
    </row>
    <row r="21" spans="1:6" ht="16.5" thickBot="1">
      <c r="A21" s="871" t="s">
        <v>390</v>
      </c>
      <c r="B21" s="872"/>
      <c r="C21" s="872"/>
      <c r="D21" s="872"/>
      <c r="E21" s="872"/>
      <c r="F21" s="598">
        <f>F20/12</f>
        <v>59.331983333333334</v>
      </c>
    </row>
    <row r="23" spans="1:6" ht="16.5" thickBot="1">
      <c r="A23" s="871" t="s">
        <v>573</v>
      </c>
      <c r="B23" s="872"/>
      <c r="C23" s="872"/>
      <c r="D23" s="872"/>
      <c r="E23" s="872"/>
      <c r="F23" s="598">
        <f>AVERAGE(F21,F10)</f>
        <v>61.228475000000003</v>
      </c>
    </row>
  </sheetData>
  <mergeCells count="8">
    <mergeCell ref="A23:E23"/>
    <mergeCell ref="A20:E20"/>
    <mergeCell ref="A21:E21"/>
    <mergeCell ref="A1:F1"/>
    <mergeCell ref="A12:F12"/>
    <mergeCell ref="B5:B6"/>
    <mergeCell ref="A9:E9"/>
    <mergeCell ref="A10:E10"/>
  </mergeCells>
  <pageMargins left="0.7" right="0.7" top="0.75" bottom="0.75" header="0.3" footer="0.3"/>
  <pageSetup paperSize="9" scale="40" orientation="portrait" verticalDpi="1200" r:id="rId1"/>
  <headerFooter>
    <oddHeader>&amp;L&amp;G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1">
    <tabColor theme="5"/>
  </sheetPr>
  <dimension ref="A1:F54"/>
  <sheetViews>
    <sheetView topLeftCell="A40" zoomScale="130" zoomScaleNormal="130" zoomScaleSheetLayoutView="140" zoomScalePageLayoutView="80" workbookViewId="0">
      <selection activeCell="D10" sqref="D10"/>
    </sheetView>
  </sheetViews>
  <sheetFormatPr defaultRowHeight="12.75"/>
  <cols>
    <col min="1" max="1" width="4" style="456" customWidth="1"/>
    <col min="2" max="2" width="24.28515625" style="456" customWidth="1"/>
    <col min="3" max="3" width="16.7109375" style="461" customWidth="1"/>
    <col min="4" max="4" width="102.7109375" style="456" customWidth="1"/>
    <col min="5" max="5" width="83.7109375" style="456" customWidth="1"/>
    <col min="6" max="249" width="9.140625" style="456"/>
    <col min="250" max="250" width="24.28515625" style="456" customWidth="1"/>
    <col min="251" max="251" width="26.140625" style="456" customWidth="1"/>
    <col min="252" max="252" width="25.28515625" style="456" customWidth="1"/>
    <col min="253" max="253" width="27" style="456" customWidth="1"/>
    <col min="254" max="254" width="13" style="456" customWidth="1"/>
    <col min="255" max="505" width="9.140625" style="456"/>
    <col min="506" max="506" width="24.28515625" style="456" customWidth="1"/>
    <col min="507" max="507" width="26.140625" style="456" customWidth="1"/>
    <col min="508" max="508" width="25.28515625" style="456" customWidth="1"/>
    <col min="509" max="509" width="27" style="456" customWidth="1"/>
    <col min="510" max="510" width="13" style="456" customWidth="1"/>
    <col min="511" max="761" width="9.140625" style="456"/>
    <col min="762" max="762" width="24.28515625" style="456" customWidth="1"/>
    <col min="763" max="763" width="26.140625" style="456" customWidth="1"/>
    <col min="764" max="764" width="25.28515625" style="456" customWidth="1"/>
    <col min="765" max="765" width="27" style="456" customWidth="1"/>
    <col min="766" max="766" width="13" style="456" customWidth="1"/>
    <col min="767" max="1017" width="9.140625" style="456"/>
    <col min="1018" max="1018" width="24.28515625" style="456" customWidth="1"/>
    <col min="1019" max="1019" width="26.140625" style="456" customWidth="1"/>
    <col min="1020" max="1020" width="25.28515625" style="456" customWidth="1"/>
    <col min="1021" max="1021" width="27" style="456" customWidth="1"/>
    <col min="1022" max="1022" width="13" style="456" customWidth="1"/>
    <col min="1023" max="1273" width="9.140625" style="456"/>
    <col min="1274" max="1274" width="24.28515625" style="456" customWidth="1"/>
    <col min="1275" max="1275" width="26.140625" style="456" customWidth="1"/>
    <col min="1276" max="1276" width="25.28515625" style="456" customWidth="1"/>
    <col min="1277" max="1277" width="27" style="456" customWidth="1"/>
    <col min="1278" max="1278" width="13" style="456" customWidth="1"/>
    <col min="1279" max="1529" width="9.140625" style="456"/>
    <col min="1530" max="1530" width="24.28515625" style="456" customWidth="1"/>
    <col min="1531" max="1531" width="26.140625" style="456" customWidth="1"/>
    <col min="1532" max="1532" width="25.28515625" style="456" customWidth="1"/>
    <col min="1533" max="1533" width="27" style="456" customWidth="1"/>
    <col min="1534" max="1534" width="13" style="456" customWidth="1"/>
    <col min="1535" max="1785" width="9.140625" style="456"/>
    <col min="1786" max="1786" width="24.28515625" style="456" customWidth="1"/>
    <col min="1787" max="1787" width="26.140625" style="456" customWidth="1"/>
    <col min="1788" max="1788" width="25.28515625" style="456" customWidth="1"/>
    <col min="1789" max="1789" width="27" style="456" customWidth="1"/>
    <col min="1790" max="1790" width="13" style="456" customWidth="1"/>
    <col min="1791" max="2041" width="9.140625" style="456"/>
    <col min="2042" max="2042" width="24.28515625" style="456" customWidth="1"/>
    <col min="2043" max="2043" width="26.140625" style="456" customWidth="1"/>
    <col min="2044" max="2044" width="25.28515625" style="456" customWidth="1"/>
    <col min="2045" max="2045" width="27" style="456" customWidth="1"/>
    <col min="2046" max="2046" width="13" style="456" customWidth="1"/>
    <col min="2047" max="2297" width="9.140625" style="456"/>
    <col min="2298" max="2298" width="24.28515625" style="456" customWidth="1"/>
    <col min="2299" max="2299" width="26.140625" style="456" customWidth="1"/>
    <col min="2300" max="2300" width="25.28515625" style="456" customWidth="1"/>
    <col min="2301" max="2301" width="27" style="456" customWidth="1"/>
    <col min="2302" max="2302" width="13" style="456" customWidth="1"/>
    <col min="2303" max="2553" width="9.140625" style="456"/>
    <col min="2554" max="2554" width="24.28515625" style="456" customWidth="1"/>
    <col min="2555" max="2555" width="26.140625" style="456" customWidth="1"/>
    <col min="2556" max="2556" width="25.28515625" style="456" customWidth="1"/>
    <col min="2557" max="2557" width="27" style="456" customWidth="1"/>
    <col min="2558" max="2558" width="13" style="456" customWidth="1"/>
    <col min="2559" max="2809" width="9.140625" style="456"/>
    <col min="2810" max="2810" width="24.28515625" style="456" customWidth="1"/>
    <col min="2811" max="2811" width="26.140625" style="456" customWidth="1"/>
    <col min="2812" max="2812" width="25.28515625" style="456" customWidth="1"/>
    <col min="2813" max="2813" width="27" style="456" customWidth="1"/>
    <col min="2814" max="2814" width="13" style="456" customWidth="1"/>
    <col min="2815" max="3065" width="9.140625" style="456"/>
    <col min="3066" max="3066" width="24.28515625" style="456" customWidth="1"/>
    <col min="3067" max="3067" width="26.140625" style="456" customWidth="1"/>
    <col min="3068" max="3068" width="25.28515625" style="456" customWidth="1"/>
    <col min="3069" max="3069" width="27" style="456" customWidth="1"/>
    <col min="3070" max="3070" width="13" style="456" customWidth="1"/>
    <col min="3071" max="3321" width="9.140625" style="456"/>
    <col min="3322" max="3322" width="24.28515625" style="456" customWidth="1"/>
    <col min="3323" max="3323" width="26.140625" style="456" customWidth="1"/>
    <col min="3324" max="3324" width="25.28515625" style="456" customWidth="1"/>
    <col min="3325" max="3325" width="27" style="456" customWidth="1"/>
    <col min="3326" max="3326" width="13" style="456" customWidth="1"/>
    <col min="3327" max="3577" width="9.140625" style="456"/>
    <col min="3578" max="3578" width="24.28515625" style="456" customWidth="1"/>
    <col min="3579" max="3579" width="26.140625" style="456" customWidth="1"/>
    <col min="3580" max="3580" width="25.28515625" style="456" customWidth="1"/>
    <col min="3581" max="3581" width="27" style="456" customWidth="1"/>
    <col min="3582" max="3582" width="13" style="456" customWidth="1"/>
    <col min="3583" max="3833" width="9.140625" style="456"/>
    <col min="3834" max="3834" width="24.28515625" style="456" customWidth="1"/>
    <col min="3835" max="3835" width="26.140625" style="456" customWidth="1"/>
    <col min="3836" max="3836" width="25.28515625" style="456" customWidth="1"/>
    <col min="3837" max="3837" width="27" style="456" customWidth="1"/>
    <col min="3838" max="3838" width="13" style="456" customWidth="1"/>
    <col min="3839" max="4089" width="9.140625" style="456"/>
    <col min="4090" max="4090" width="24.28515625" style="456" customWidth="1"/>
    <col min="4091" max="4091" width="26.140625" style="456" customWidth="1"/>
    <col min="4092" max="4092" width="25.28515625" style="456" customWidth="1"/>
    <col min="4093" max="4093" width="27" style="456" customWidth="1"/>
    <col min="4094" max="4094" width="13" style="456" customWidth="1"/>
    <col min="4095" max="4345" width="9.140625" style="456"/>
    <col min="4346" max="4346" width="24.28515625" style="456" customWidth="1"/>
    <col min="4347" max="4347" width="26.140625" style="456" customWidth="1"/>
    <col min="4348" max="4348" width="25.28515625" style="456" customWidth="1"/>
    <col min="4349" max="4349" width="27" style="456" customWidth="1"/>
    <col min="4350" max="4350" width="13" style="456" customWidth="1"/>
    <col min="4351" max="4601" width="9.140625" style="456"/>
    <col min="4602" max="4602" width="24.28515625" style="456" customWidth="1"/>
    <col min="4603" max="4603" width="26.140625" style="456" customWidth="1"/>
    <col min="4604" max="4604" width="25.28515625" style="456" customWidth="1"/>
    <col min="4605" max="4605" width="27" style="456" customWidth="1"/>
    <col min="4606" max="4606" width="13" style="456" customWidth="1"/>
    <col min="4607" max="4857" width="9.140625" style="456"/>
    <col min="4858" max="4858" width="24.28515625" style="456" customWidth="1"/>
    <col min="4859" max="4859" width="26.140625" style="456" customWidth="1"/>
    <col min="4860" max="4860" width="25.28515625" style="456" customWidth="1"/>
    <col min="4861" max="4861" width="27" style="456" customWidth="1"/>
    <col min="4862" max="4862" width="13" style="456" customWidth="1"/>
    <col min="4863" max="5113" width="9.140625" style="456"/>
    <col min="5114" max="5114" width="24.28515625" style="456" customWidth="1"/>
    <col min="5115" max="5115" width="26.140625" style="456" customWidth="1"/>
    <col min="5116" max="5116" width="25.28515625" style="456" customWidth="1"/>
    <col min="5117" max="5117" width="27" style="456" customWidth="1"/>
    <col min="5118" max="5118" width="13" style="456" customWidth="1"/>
    <col min="5119" max="5369" width="9.140625" style="456"/>
    <col min="5370" max="5370" width="24.28515625" style="456" customWidth="1"/>
    <col min="5371" max="5371" width="26.140625" style="456" customWidth="1"/>
    <col min="5372" max="5372" width="25.28515625" style="456" customWidth="1"/>
    <col min="5373" max="5373" width="27" style="456" customWidth="1"/>
    <col min="5374" max="5374" width="13" style="456" customWidth="1"/>
    <col min="5375" max="5625" width="9.140625" style="456"/>
    <col min="5626" max="5626" width="24.28515625" style="456" customWidth="1"/>
    <col min="5627" max="5627" width="26.140625" style="456" customWidth="1"/>
    <col min="5628" max="5628" width="25.28515625" style="456" customWidth="1"/>
    <col min="5629" max="5629" width="27" style="456" customWidth="1"/>
    <col min="5630" max="5630" width="13" style="456" customWidth="1"/>
    <col min="5631" max="5881" width="9.140625" style="456"/>
    <col min="5882" max="5882" width="24.28515625" style="456" customWidth="1"/>
    <col min="5883" max="5883" width="26.140625" style="456" customWidth="1"/>
    <col min="5884" max="5884" width="25.28515625" style="456" customWidth="1"/>
    <col min="5885" max="5885" width="27" style="456" customWidth="1"/>
    <col min="5886" max="5886" width="13" style="456" customWidth="1"/>
    <col min="5887" max="6137" width="9.140625" style="456"/>
    <col min="6138" max="6138" width="24.28515625" style="456" customWidth="1"/>
    <col min="6139" max="6139" width="26.140625" style="456" customWidth="1"/>
    <col min="6140" max="6140" width="25.28515625" style="456" customWidth="1"/>
    <col min="6141" max="6141" width="27" style="456" customWidth="1"/>
    <col min="6142" max="6142" width="13" style="456" customWidth="1"/>
    <col min="6143" max="6393" width="9.140625" style="456"/>
    <col min="6394" max="6394" width="24.28515625" style="456" customWidth="1"/>
    <col min="6395" max="6395" width="26.140625" style="456" customWidth="1"/>
    <col min="6396" max="6396" width="25.28515625" style="456" customWidth="1"/>
    <col min="6397" max="6397" width="27" style="456" customWidth="1"/>
    <col min="6398" max="6398" width="13" style="456" customWidth="1"/>
    <col min="6399" max="6649" width="9.140625" style="456"/>
    <col min="6650" max="6650" width="24.28515625" style="456" customWidth="1"/>
    <col min="6651" max="6651" width="26.140625" style="456" customWidth="1"/>
    <col min="6652" max="6652" width="25.28515625" style="456" customWidth="1"/>
    <col min="6653" max="6653" width="27" style="456" customWidth="1"/>
    <col min="6654" max="6654" width="13" style="456" customWidth="1"/>
    <col min="6655" max="6905" width="9.140625" style="456"/>
    <col min="6906" max="6906" width="24.28515625" style="456" customWidth="1"/>
    <col min="6907" max="6907" width="26.140625" style="456" customWidth="1"/>
    <col min="6908" max="6908" width="25.28515625" style="456" customWidth="1"/>
    <col min="6909" max="6909" width="27" style="456" customWidth="1"/>
    <col min="6910" max="6910" width="13" style="456" customWidth="1"/>
    <col min="6911" max="7161" width="9.140625" style="456"/>
    <col min="7162" max="7162" width="24.28515625" style="456" customWidth="1"/>
    <col min="7163" max="7163" width="26.140625" style="456" customWidth="1"/>
    <col min="7164" max="7164" width="25.28515625" style="456" customWidth="1"/>
    <col min="7165" max="7165" width="27" style="456" customWidth="1"/>
    <col min="7166" max="7166" width="13" style="456" customWidth="1"/>
    <col min="7167" max="7417" width="9.140625" style="456"/>
    <col min="7418" max="7418" width="24.28515625" style="456" customWidth="1"/>
    <col min="7419" max="7419" width="26.140625" style="456" customWidth="1"/>
    <col min="7420" max="7420" width="25.28515625" style="456" customWidth="1"/>
    <col min="7421" max="7421" width="27" style="456" customWidth="1"/>
    <col min="7422" max="7422" width="13" style="456" customWidth="1"/>
    <col min="7423" max="7673" width="9.140625" style="456"/>
    <col min="7674" max="7674" width="24.28515625" style="456" customWidth="1"/>
    <col min="7675" max="7675" width="26.140625" style="456" customWidth="1"/>
    <col min="7676" max="7676" width="25.28515625" style="456" customWidth="1"/>
    <col min="7677" max="7677" width="27" style="456" customWidth="1"/>
    <col min="7678" max="7678" width="13" style="456" customWidth="1"/>
    <col min="7679" max="7929" width="9.140625" style="456"/>
    <col min="7930" max="7930" width="24.28515625" style="456" customWidth="1"/>
    <col min="7931" max="7931" width="26.140625" style="456" customWidth="1"/>
    <col min="7932" max="7932" width="25.28515625" style="456" customWidth="1"/>
    <col min="7933" max="7933" width="27" style="456" customWidth="1"/>
    <col min="7934" max="7934" width="13" style="456" customWidth="1"/>
    <col min="7935" max="8185" width="9.140625" style="456"/>
    <col min="8186" max="8186" width="24.28515625" style="456" customWidth="1"/>
    <col min="8187" max="8187" width="26.140625" style="456" customWidth="1"/>
    <col min="8188" max="8188" width="25.28515625" style="456" customWidth="1"/>
    <col min="8189" max="8189" width="27" style="456" customWidth="1"/>
    <col min="8190" max="8190" width="13" style="456" customWidth="1"/>
    <col min="8191" max="8441" width="9.140625" style="456"/>
    <col min="8442" max="8442" width="24.28515625" style="456" customWidth="1"/>
    <col min="8443" max="8443" width="26.140625" style="456" customWidth="1"/>
    <col min="8444" max="8444" width="25.28515625" style="456" customWidth="1"/>
    <col min="8445" max="8445" width="27" style="456" customWidth="1"/>
    <col min="8446" max="8446" width="13" style="456" customWidth="1"/>
    <col min="8447" max="8697" width="9.140625" style="456"/>
    <col min="8698" max="8698" width="24.28515625" style="456" customWidth="1"/>
    <col min="8699" max="8699" width="26.140625" style="456" customWidth="1"/>
    <col min="8700" max="8700" width="25.28515625" style="456" customWidth="1"/>
    <col min="8701" max="8701" width="27" style="456" customWidth="1"/>
    <col min="8702" max="8702" width="13" style="456" customWidth="1"/>
    <col min="8703" max="8953" width="9.140625" style="456"/>
    <col min="8954" max="8954" width="24.28515625" style="456" customWidth="1"/>
    <col min="8955" max="8955" width="26.140625" style="456" customWidth="1"/>
    <col min="8956" max="8956" width="25.28515625" style="456" customWidth="1"/>
    <col min="8957" max="8957" width="27" style="456" customWidth="1"/>
    <col min="8958" max="8958" width="13" style="456" customWidth="1"/>
    <col min="8959" max="9209" width="9.140625" style="456"/>
    <col min="9210" max="9210" width="24.28515625" style="456" customWidth="1"/>
    <col min="9211" max="9211" width="26.140625" style="456" customWidth="1"/>
    <col min="9212" max="9212" width="25.28515625" style="456" customWidth="1"/>
    <col min="9213" max="9213" width="27" style="456" customWidth="1"/>
    <col min="9214" max="9214" width="13" style="456" customWidth="1"/>
    <col min="9215" max="9465" width="9.140625" style="456"/>
    <col min="9466" max="9466" width="24.28515625" style="456" customWidth="1"/>
    <col min="9467" max="9467" width="26.140625" style="456" customWidth="1"/>
    <col min="9468" max="9468" width="25.28515625" style="456" customWidth="1"/>
    <col min="9469" max="9469" width="27" style="456" customWidth="1"/>
    <col min="9470" max="9470" width="13" style="456" customWidth="1"/>
    <col min="9471" max="9721" width="9.140625" style="456"/>
    <col min="9722" max="9722" width="24.28515625" style="456" customWidth="1"/>
    <col min="9723" max="9723" width="26.140625" style="456" customWidth="1"/>
    <col min="9724" max="9724" width="25.28515625" style="456" customWidth="1"/>
    <col min="9725" max="9725" width="27" style="456" customWidth="1"/>
    <col min="9726" max="9726" width="13" style="456" customWidth="1"/>
    <col min="9727" max="9977" width="9.140625" style="456"/>
    <col min="9978" max="9978" width="24.28515625" style="456" customWidth="1"/>
    <col min="9979" max="9979" width="26.140625" style="456" customWidth="1"/>
    <col min="9980" max="9980" width="25.28515625" style="456" customWidth="1"/>
    <col min="9981" max="9981" width="27" style="456" customWidth="1"/>
    <col min="9982" max="9982" width="13" style="456" customWidth="1"/>
    <col min="9983" max="10233" width="9.140625" style="456"/>
    <col min="10234" max="10234" width="24.28515625" style="456" customWidth="1"/>
    <col min="10235" max="10235" width="26.140625" style="456" customWidth="1"/>
    <col min="10236" max="10236" width="25.28515625" style="456" customWidth="1"/>
    <col min="10237" max="10237" width="27" style="456" customWidth="1"/>
    <col min="10238" max="10238" width="13" style="456" customWidth="1"/>
    <col min="10239" max="10489" width="9.140625" style="456"/>
    <col min="10490" max="10490" width="24.28515625" style="456" customWidth="1"/>
    <col min="10491" max="10491" width="26.140625" style="456" customWidth="1"/>
    <col min="10492" max="10492" width="25.28515625" style="456" customWidth="1"/>
    <col min="10493" max="10493" width="27" style="456" customWidth="1"/>
    <col min="10494" max="10494" width="13" style="456" customWidth="1"/>
    <col min="10495" max="10745" width="9.140625" style="456"/>
    <col min="10746" max="10746" width="24.28515625" style="456" customWidth="1"/>
    <col min="10747" max="10747" width="26.140625" style="456" customWidth="1"/>
    <col min="10748" max="10748" width="25.28515625" style="456" customWidth="1"/>
    <col min="10749" max="10749" width="27" style="456" customWidth="1"/>
    <col min="10750" max="10750" width="13" style="456" customWidth="1"/>
    <col min="10751" max="11001" width="9.140625" style="456"/>
    <col min="11002" max="11002" width="24.28515625" style="456" customWidth="1"/>
    <col min="11003" max="11003" width="26.140625" style="456" customWidth="1"/>
    <col min="11004" max="11004" width="25.28515625" style="456" customWidth="1"/>
    <col min="11005" max="11005" width="27" style="456" customWidth="1"/>
    <col min="11006" max="11006" width="13" style="456" customWidth="1"/>
    <col min="11007" max="11257" width="9.140625" style="456"/>
    <col min="11258" max="11258" width="24.28515625" style="456" customWidth="1"/>
    <col min="11259" max="11259" width="26.140625" style="456" customWidth="1"/>
    <col min="11260" max="11260" width="25.28515625" style="456" customWidth="1"/>
    <col min="11261" max="11261" width="27" style="456" customWidth="1"/>
    <col min="11262" max="11262" width="13" style="456" customWidth="1"/>
    <col min="11263" max="11513" width="9.140625" style="456"/>
    <col min="11514" max="11514" width="24.28515625" style="456" customWidth="1"/>
    <col min="11515" max="11515" width="26.140625" style="456" customWidth="1"/>
    <col min="11516" max="11516" width="25.28515625" style="456" customWidth="1"/>
    <col min="11517" max="11517" width="27" style="456" customWidth="1"/>
    <col min="11518" max="11518" width="13" style="456" customWidth="1"/>
    <col min="11519" max="11769" width="9.140625" style="456"/>
    <col min="11770" max="11770" width="24.28515625" style="456" customWidth="1"/>
    <col min="11771" max="11771" width="26.140625" style="456" customWidth="1"/>
    <col min="11772" max="11772" width="25.28515625" style="456" customWidth="1"/>
    <col min="11773" max="11773" width="27" style="456" customWidth="1"/>
    <col min="11774" max="11774" width="13" style="456" customWidth="1"/>
    <col min="11775" max="12025" width="9.140625" style="456"/>
    <col min="12026" max="12026" width="24.28515625" style="456" customWidth="1"/>
    <col min="12027" max="12027" width="26.140625" style="456" customWidth="1"/>
    <col min="12028" max="12028" width="25.28515625" style="456" customWidth="1"/>
    <col min="12029" max="12029" width="27" style="456" customWidth="1"/>
    <col min="12030" max="12030" width="13" style="456" customWidth="1"/>
    <col min="12031" max="12281" width="9.140625" style="456"/>
    <col min="12282" max="12282" width="24.28515625" style="456" customWidth="1"/>
    <col min="12283" max="12283" width="26.140625" style="456" customWidth="1"/>
    <col min="12284" max="12284" width="25.28515625" style="456" customWidth="1"/>
    <col min="12285" max="12285" width="27" style="456" customWidth="1"/>
    <col min="12286" max="12286" width="13" style="456" customWidth="1"/>
    <col min="12287" max="12537" width="9.140625" style="456"/>
    <col min="12538" max="12538" width="24.28515625" style="456" customWidth="1"/>
    <col min="12539" max="12539" width="26.140625" style="456" customWidth="1"/>
    <col min="12540" max="12540" width="25.28515625" style="456" customWidth="1"/>
    <col min="12541" max="12541" width="27" style="456" customWidth="1"/>
    <col min="12542" max="12542" width="13" style="456" customWidth="1"/>
    <col min="12543" max="12793" width="9.140625" style="456"/>
    <col min="12794" max="12794" width="24.28515625" style="456" customWidth="1"/>
    <col min="12795" max="12795" width="26.140625" style="456" customWidth="1"/>
    <col min="12796" max="12796" width="25.28515625" style="456" customWidth="1"/>
    <col min="12797" max="12797" width="27" style="456" customWidth="1"/>
    <col min="12798" max="12798" width="13" style="456" customWidth="1"/>
    <col min="12799" max="13049" width="9.140625" style="456"/>
    <col min="13050" max="13050" width="24.28515625" style="456" customWidth="1"/>
    <col min="13051" max="13051" width="26.140625" style="456" customWidth="1"/>
    <col min="13052" max="13052" width="25.28515625" style="456" customWidth="1"/>
    <col min="13053" max="13053" width="27" style="456" customWidth="1"/>
    <col min="13054" max="13054" width="13" style="456" customWidth="1"/>
    <col min="13055" max="13305" width="9.140625" style="456"/>
    <col min="13306" max="13306" width="24.28515625" style="456" customWidth="1"/>
    <col min="13307" max="13307" width="26.140625" style="456" customWidth="1"/>
    <col min="13308" max="13308" width="25.28515625" style="456" customWidth="1"/>
    <col min="13309" max="13309" width="27" style="456" customWidth="1"/>
    <col min="13310" max="13310" width="13" style="456" customWidth="1"/>
    <col min="13311" max="13561" width="9.140625" style="456"/>
    <col min="13562" max="13562" width="24.28515625" style="456" customWidth="1"/>
    <col min="13563" max="13563" width="26.140625" style="456" customWidth="1"/>
    <col min="13564" max="13564" width="25.28515625" style="456" customWidth="1"/>
    <col min="13565" max="13565" width="27" style="456" customWidth="1"/>
    <col min="13566" max="13566" width="13" style="456" customWidth="1"/>
    <col min="13567" max="13817" width="9.140625" style="456"/>
    <col min="13818" max="13818" width="24.28515625" style="456" customWidth="1"/>
    <col min="13819" max="13819" width="26.140625" style="456" customWidth="1"/>
    <col min="13820" max="13820" width="25.28515625" style="456" customWidth="1"/>
    <col min="13821" max="13821" width="27" style="456" customWidth="1"/>
    <col min="13822" max="13822" width="13" style="456" customWidth="1"/>
    <col min="13823" max="14073" width="9.140625" style="456"/>
    <col min="14074" max="14074" width="24.28515625" style="456" customWidth="1"/>
    <col min="14075" max="14075" width="26.140625" style="456" customWidth="1"/>
    <col min="14076" max="14076" width="25.28515625" style="456" customWidth="1"/>
    <col min="14077" max="14077" width="27" style="456" customWidth="1"/>
    <col min="14078" max="14078" width="13" style="456" customWidth="1"/>
    <col min="14079" max="14329" width="9.140625" style="456"/>
    <col min="14330" max="14330" width="24.28515625" style="456" customWidth="1"/>
    <col min="14331" max="14331" width="26.140625" style="456" customWidth="1"/>
    <col min="14332" max="14332" width="25.28515625" style="456" customWidth="1"/>
    <col min="14333" max="14333" width="27" style="456" customWidth="1"/>
    <col min="14334" max="14334" width="13" style="456" customWidth="1"/>
    <col min="14335" max="14585" width="9.140625" style="456"/>
    <col min="14586" max="14586" width="24.28515625" style="456" customWidth="1"/>
    <col min="14587" max="14587" width="26.140625" style="456" customWidth="1"/>
    <col min="14588" max="14588" width="25.28515625" style="456" customWidth="1"/>
    <col min="14589" max="14589" width="27" style="456" customWidth="1"/>
    <col min="14590" max="14590" width="13" style="456" customWidth="1"/>
    <col min="14591" max="14841" width="9.140625" style="456"/>
    <col min="14842" max="14842" width="24.28515625" style="456" customWidth="1"/>
    <col min="14843" max="14843" width="26.140625" style="456" customWidth="1"/>
    <col min="14844" max="14844" width="25.28515625" style="456" customWidth="1"/>
    <col min="14845" max="14845" width="27" style="456" customWidth="1"/>
    <col min="14846" max="14846" width="13" style="456" customWidth="1"/>
    <col min="14847" max="15097" width="9.140625" style="456"/>
    <col min="15098" max="15098" width="24.28515625" style="456" customWidth="1"/>
    <col min="15099" max="15099" width="26.140625" style="456" customWidth="1"/>
    <col min="15100" max="15100" width="25.28515625" style="456" customWidth="1"/>
    <col min="15101" max="15101" width="27" style="456" customWidth="1"/>
    <col min="15102" max="15102" width="13" style="456" customWidth="1"/>
    <col min="15103" max="15353" width="9.140625" style="456"/>
    <col min="15354" max="15354" width="24.28515625" style="456" customWidth="1"/>
    <col min="15355" max="15355" width="26.140625" style="456" customWidth="1"/>
    <col min="15356" max="15356" width="25.28515625" style="456" customWidth="1"/>
    <col min="15357" max="15357" width="27" style="456" customWidth="1"/>
    <col min="15358" max="15358" width="13" style="456" customWidth="1"/>
    <col min="15359" max="15609" width="9.140625" style="456"/>
    <col min="15610" max="15610" width="24.28515625" style="456" customWidth="1"/>
    <col min="15611" max="15611" width="26.140625" style="456" customWidth="1"/>
    <col min="15612" max="15612" width="25.28515625" style="456" customWidth="1"/>
    <col min="15613" max="15613" width="27" style="456" customWidth="1"/>
    <col min="15614" max="15614" width="13" style="456" customWidth="1"/>
    <col min="15615" max="15865" width="9.140625" style="456"/>
    <col min="15866" max="15866" width="24.28515625" style="456" customWidth="1"/>
    <col min="15867" max="15867" width="26.140625" style="456" customWidth="1"/>
    <col min="15868" max="15868" width="25.28515625" style="456" customWidth="1"/>
    <col min="15869" max="15869" width="27" style="456" customWidth="1"/>
    <col min="15870" max="15870" width="13" style="456" customWidth="1"/>
    <col min="15871" max="16121" width="9.140625" style="456"/>
    <col min="16122" max="16122" width="24.28515625" style="456" customWidth="1"/>
    <col min="16123" max="16123" width="26.140625" style="456" customWidth="1"/>
    <col min="16124" max="16124" width="25.28515625" style="456" customWidth="1"/>
    <col min="16125" max="16125" width="27" style="456" customWidth="1"/>
    <col min="16126" max="16126" width="13" style="456" customWidth="1"/>
    <col min="16127" max="16384" width="9.140625" style="456"/>
  </cols>
  <sheetData>
    <row r="1" spans="1:6" ht="13.5" thickBot="1">
      <c r="A1" s="892" t="s">
        <v>400</v>
      </c>
      <c r="B1" s="892"/>
      <c r="C1" s="892"/>
      <c r="D1" s="892"/>
    </row>
    <row r="2" spans="1:6" s="459" customFormat="1" ht="13.5" thickBot="1">
      <c r="A2" s="457">
        <v>1</v>
      </c>
      <c r="B2" s="896" t="s">
        <v>401</v>
      </c>
      <c r="C2" s="897"/>
      <c r="D2" s="458" t="s">
        <v>402</v>
      </c>
    </row>
    <row r="3" spans="1:6" s="459" customFormat="1" ht="30" customHeight="1">
      <c r="A3" s="460" t="s">
        <v>178</v>
      </c>
      <c r="B3" s="898" t="s">
        <v>179</v>
      </c>
      <c r="C3" s="898"/>
      <c r="D3" s="674" t="s">
        <v>596</v>
      </c>
    </row>
    <row r="5" spans="1:6" ht="15">
      <c r="A5" s="893" t="s">
        <v>403</v>
      </c>
      <c r="B5" s="893"/>
      <c r="C5" s="894"/>
      <c r="D5" s="894"/>
    </row>
    <row r="6" spans="1:6" ht="3.75" customHeight="1"/>
    <row r="7" spans="1:6">
      <c r="A7" s="462" t="s">
        <v>404</v>
      </c>
      <c r="B7" s="462"/>
    </row>
    <row r="8" spans="1:6" ht="13.5" thickBot="1">
      <c r="A8" s="895" t="s">
        <v>405</v>
      </c>
      <c r="B8" s="881"/>
      <c r="C8" s="463" t="s">
        <v>406</v>
      </c>
      <c r="D8" s="463" t="s">
        <v>407</v>
      </c>
    </row>
    <row r="9" spans="1:6" ht="80.25" customHeight="1">
      <c r="A9" s="464" t="s">
        <v>115</v>
      </c>
      <c r="B9" s="465" t="s">
        <v>192</v>
      </c>
      <c r="C9" s="466">
        <f>1/12</f>
        <v>8.3333333333333329E-2</v>
      </c>
      <c r="D9" s="467" t="s">
        <v>408</v>
      </c>
    </row>
    <row r="10" spans="1:6" ht="174.75" customHeight="1">
      <c r="A10" s="464" t="s">
        <v>116</v>
      </c>
      <c r="B10" s="468" t="s">
        <v>409</v>
      </c>
      <c r="C10" s="466">
        <v>0.1212</v>
      </c>
      <c r="D10" s="467" t="s">
        <v>593</v>
      </c>
    </row>
    <row r="11" spans="1:6">
      <c r="A11" s="884" t="s">
        <v>410</v>
      </c>
      <c r="B11" s="883"/>
      <c r="C11" s="469">
        <f>SUM(C9:C10)</f>
        <v>0.20453333333333334</v>
      </c>
      <c r="D11" s="470"/>
    </row>
    <row r="12" spans="1:6" ht="4.5" customHeight="1">
      <c r="A12" s="471"/>
      <c r="B12" s="471"/>
      <c r="C12" s="472"/>
      <c r="D12" s="473"/>
    </row>
    <row r="13" spans="1:6">
      <c r="A13" s="462" t="s">
        <v>411</v>
      </c>
      <c r="B13" s="462"/>
    </row>
    <row r="14" spans="1:6" ht="15.75" customHeight="1" thickBot="1">
      <c r="A14" s="895" t="s">
        <v>405</v>
      </c>
      <c r="B14" s="881"/>
      <c r="C14" s="463" t="s">
        <v>406</v>
      </c>
      <c r="D14" s="463" t="s">
        <v>407</v>
      </c>
    </row>
    <row r="15" spans="1:6" ht="102" customHeight="1">
      <c r="A15" s="464" t="s">
        <v>115</v>
      </c>
      <c r="B15" s="465" t="s">
        <v>412</v>
      </c>
      <c r="C15" s="466">
        <v>0.2</v>
      </c>
      <c r="D15" s="672" t="s">
        <v>413</v>
      </c>
      <c r="F15" s="473"/>
    </row>
    <row r="16" spans="1:6" ht="40.5" customHeight="1">
      <c r="A16" s="464" t="s">
        <v>116</v>
      </c>
      <c r="B16" s="468" t="s">
        <v>414</v>
      </c>
      <c r="C16" s="466">
        <v>2.5000000000000001E-2</v>
      </c>
      <c r="D16" s="474" t="s">
        <v>415</v>
      </c>
      <c r="F16" s="473"/>
    </row>
    <row r="17" spans="1:6" ht="92.25" customHeight="1">
      <c r="A17" s="464" t="s">
        <v>117</v>
      </c>
      <c r="B17" s="468" t="s">
        <v>416</v>
      </c>
      <c r="C17" s="466">
        <v>0.02</v>
      </c>
      <c r="D17" s="474" t="s">
        <v>595</v>
      </c>
      <c r="E17" s="671"/>
      <c r="F17" s="473"/>
    </row>
    <row r="18" spans="1:6" ht="45.75" customHeight="1">
      <c r="A18" s="464" t="s">
        <v>156</v>
      </c>
      <c r="B18" s="468" t="s">
        <v>417</v>
      </c>
      <c r="C18" s="466">
        <v>1.4999999999999999E-2</v>
      </c>
      <c r="D18" s="474" t="s">
        <v>418</v>
      </c>
      <c r="F18" s="473"/>
    </row>
    <row r="19" spans="1:6" ht="54.75" customHeight="1">
      <c r="A19" s="464" t="s">
        <v>183</v>
      </c>
      <c r="B19" s="468" t="s">
        <v>419</v>
      </c>
      <c r="C19" s="466">
        <v>0.01</v>
      </c>
      <c r="D19" s="474" t="s">
        <v>420</v>
      </c>
      <c r="F19" s="473"/>
    </row>
    <row r="20" spans="1:6" ht="48.75" customHeight="1">
      <c r="A20" s="464" t="s">
        <v>185</v>
      </c>
      <c r="B20" s="468" t="s">
        <v>421</v>
      </c>
      <c r="C20" s="466">
        <v>6.0000000000000001E-3</v>
      </c>
      <c r="D20" s="474" t="s">
        <v>422</v>
      </c>
      <c r="F20" s="473"/>
    </row>
    <row r="21" spans="1:6" ht="54.75" customHeight="1">
      <c r="A21" s="464" t="s">
        <v>207</v>
      </c>
      <c r="B21" s="468" t="s">
        <v>325</v>
      </c>
      <c r="C21" s="475">
        <v>2E-3</v>
      </c>
      <c r="D21" s="474" t="s">
        <v>423</v>
      </c>
      <c r="F21" s="473"/>
    </row>
    <row r="22" spans="1:6" ht="41.25" customHeight="1">
      <c r="A22" s="464" t="s">
        <v>209</v>
      </c>
      <c r="B22" s="468" t="s">
        <v>326</v>
      </c>
      <c r="C22" s="466">
        <v>0.08</v>
      </c>
      <c r="D22" s="474" t="s">
        <v>424</v>
      </c>
      <c r="F22" s="473"/>
    </row>
    <row r="23" spans="1:6">
      <c r="A23" s="884" t="s">
        <v>410</v>
      </c>
      <c r="B23" s="883"/>
      <c r="C23" s="469">
        <f>SUM(C15:C22)</f>
        <v>0.35800000000000004</v>
      </c>
      <c r="D23" s="470"/>
    </row>
    <row r="24" spans="1:6" ht="31.5" customHeight="1">
      <c r="A24" s="462" t="s">
        <v>292</v>
      </c>
      <c r="B24" s="462"/>
    </row>
    <row r="25" spans="1:6" ht="13.5" thickBot="1">
      <c r="A25" s="880" t="s">
        <v>405</v>
      </c>
      <c r="B25" s="881"/>
      <c r="C25" s="463" t="s">
        <v>406</v>
      </c>
      <c r="D25" s="463" t="s">
        <v>407</v>
      </c>
    </row>
    <row r="26" spans="1:6" ht="90" customHeight="1">
      <c r="A26" s="476" t="s">
        <v>115</v>
      </c>
      <c r="B26" s="476" t="s">
        <v>425</v>
      </c>
      <c r="C26" s="477">
        <v>4.1999999999999997E-3</v>
      </c>
      <c r="D26" s="478" t="s">
        <v>426</v>
      </c>
      <c r="E26" s="479"/>
    </row>
    <row r="27" spans="1:6" ht="80.25" customHeight="1">
      <c r="A27" s="480" t="s">
        <v>116</v>
      </c>
      <c r="B27" s="481" t="s">
        <v>427</v>
      </c>
      <c r="C27" s="482">
        <f>C26*C22</f>
        <v>3.3599999999999998E-4</v>
      </c>
      <c r="D27" s="483" t="s">
        <v>428</v>
      </c>
      <c r="E27" s="484">
        <f>0.08*0.0042</f>
        <v>3.3599999999999998E-4</v>
      </c>
    </row>
    <row r="28" spans="1:6" ht="137.25" customHeight="1">
      <c r="A28" s="480" t="s">
        <v>117</v>
      </c>
      <c r="B28" s="481" t="s">
        <v>429</v>
      </c>
      <c r="C28" s="482">
        <v>3.44E-2</v>
      </c>
      <c r="D28" s="483" t="s">
        <v>430</v>
      </c>
      <c r="E28" s="484"/>
    </row>
    <row r="29" spans="1:6" ht="85.5" customHeight="1">
      <c r="A29" s="480" t="s">
        <v>156</v>
      </c>
      <c r="B29" s="481" t="s">
        <v>431</v>
      </c>
      <c r="C29" s="482">
        <f>((7/30)/12)</f>
        <v>1.9444444444444445E-2</v>
      </c>
      <c r="D29" s="483" t="s">
        <v>432</v>
      </c>
      <c r="E29" s="484"/>
    </row>
    <row r="30" spans="1:6" ht="69.75" customHeight="1">
      <c r="A30" s="480" t="s">
        <v>405</v>
      </c>
      <c r="B30" s="481" t="s">
        <v>335</v>
      </c>
      <c r="C30" s="482">
        <f>C29*C23</f>
        <v>6.9611111111111124E-3</v>
      </c>
      <c r="D30" s="483" t="s">
        <v>594</v>
      </c>
      <c r="E30" s="485"/>
    </row>
    <row r="31" spans="1:6" ht="104.25" customHeight="1">
      <c r="A31" s="480" t="s">
        <v>185</v>
      </c>
      <c r="B31" s="480" t="s">
        <v>433</v>
      </c>
      <c r="C31" s="482">
        <v>5.5999999999999999E-3</v>
      </c>
      <c r="D31" s="483" t="s">
        <v>434</v>
      </c>
    </row>
    <row r="32" spans="1:6">
      <c r="A32" s="882" t="s">
        <v>81</v>
      </c>
      <c r="B32" s="883"/>
      <c r="C32" s="486">
        <f>SUM(C26:C31)</f>
        <v>7.0941555555555549E-2</v>
      </c>
      <c r="D32" s="470"/>
    </row>
    <row r="33" spans="1:5" ht="3.75" customHeight="1"/>
    <row r="34" spans="1:5">
      <c r="A34" s="462" t="s">
        <v>293</v>
      </c>
      <c r="B34" s="462"/>
    </row>
    <row r="35" spans="1:5" ht="13.5" thickBot="1">
      <c r="A35" s="880" t="s">
        <v>405</v>
      </c>
      <c r="B35" s="881"/>
      <c r="C35" s="463" t="s">
        <v>406</v>
      </c>
      <c r="D35" s="463" t="s">
        <v>407</v>
      </c>
    </row>
    <row r="36" spans="1:5" ht="132" hidden="1" customHeight="1">
      <c r="A36" s="487" t="s">
        <v>115</v>
      </c>
      <c r="B36" s="488" t="s">
        <v>435</v>
      </c>
      <c r="C36" s="489">
        <f>((8.33%/12)+(8.33%/12)+(8.33%/12/3))</f>
        <v>1.619722222222222E-2</v>
      </c>
      <c r="D36" s="490" t="s">
        <v>436</v>
      </c>
      <c r="E36" s="479"/>
    </row>
    <row r="37" spans="1:5" ht="22.5">
      <c r="A37" s="487" t="s">
        <v>115</v>
      </c>
      <c r="B37" s="487" t="s">
        <v>437</v>
      </c>
      <c r="C37" s="595">
        <f>((1/3*1/12)+1/12+1/12)/11</f>
        <v>1.7676767676767676E-2</v>
      </c>
      <c r="D37" s="673" t="s">
        <v>571</v>
      </c>
      <c r="E37" s="479"/>
    </row>
    <row r="38" spans="1:5" ht="95.25" customHeight="1">
      <c r="A38" s="480" t="s">
        <v>116</v>
      </c>
      <c r="B38" s="481" t="s">
        <v>438</v>
      </c>
      <c r="C38" s="482">
        <v>2.8E-3</v>
      </c>
      <c r="D38" s="491" t="s">
        <v>439</v>
      </c>
      <c r="E38" s="492"/>
    </row>
    <row r="39" spans="1:5" ht="110.25" customHeight="1">
      <c r="A39" s="480" t="s">
        <v>117</v>
      </c>
      <c r="B39" s="481" t="s">
        <v>440</v>
      </c>
      <c r="C39" s="482">
        <f>((5/30)/12)*1.5%</f>
        <v>2.0833333333333332E-4</v>
      </c>
      <c r="D39" s="493" t="s">
        <v>441</v>
      </c>
    </row>
    <row r="40" spans="1:5" ht="126" customHeight="1">
      <c r="A40" s="480" t="s">
        <v>156</v>
      </c>
      <c r="B40" s="481" t="s">
        <v>442</v>
      </c>
      <c r="C40" s="482">
        <v>6.9999999999999999E-4</v>
      </c>
      <c r="D40" s="491" t="s">
        <v>443</v>
      </c>
      <c r="E40" s="492"/>
    </row>
    <row r="41" spans="1:5" ht="132.75" customHeight="1">
      <c r="A41" s="480" t="s">
        <v>183</v>
      </c>
      <c r="B41" s="481" t="s">
        <v>444</v>
      </c>
      <c r="C41" s="482">
        <v>2E-3</v>
      </c>
      <c r="D41" s="493" t="s">
        <v>445</v>
      </c>
    </row>
    <row r="42" spans="1:5" ht="12.75" customHeight="1">
      <c r="A42" s="886" t="s">
        <v>410</v>
      </c>
      <c r="B42" s="886"/>
      <c r="C42" s="486">
        <f>SUM(C37:C41)</f>
        <v>2.3385101010101009E-2</v>
      </c>
      <c r="D42" s="470"/>
    </row>
    <row r="43" spans="1:5" ht="15" customHeight="1"/>
    <row r="44" spans="1:5" ht="15" customHeight="1">
      <c r="A44" s="889" t="s">
        <v>446</v>
      </c>
      <c r="B44" s="890"/>
      <c r="C44" s="890"/>
      <c r="D44" s="891"/>
    </row>
    <row r="45" spans="1:5" s="459" customFormat="1" ht="13.5" thickBot="1">
      <c r="A45" s="887" t="s">
        <v>405</v>
      </c>
      <c r="B45" s="888"/>
      <c r="C45" s="501" t="s">
        <v>406</v>
      </c>
      <c r="D45" s="501" t="s">
        <v>407</v>
      </c>
    </row>
    <row r="46" spans="1:5" s="459" customFormat="1" ht="42" customHeight="1">
      <c r="A46" s="495" t="s">
        <v>115</v>
      </c>
      <c r="B46" s="496" t="s">
        <v>279</v>
      </c>
      <c r="C46" s="497">
        <v>0.05</v>
      </c>
      <c r="D46" s="498" t="s">
        <v>447</v>
      </c>
    </row>
    <row r="47" spans="1:5" s="459" customFormat="1" ht="33.75">
      <c r="A47" s="495" t="s">
        <v>116</v>
      </c>
      <c r="B47" s="496" t="s">
        <v>10</v>
      </c>
      <c r="C47" s="497">
        <v>0.05</v>
      </c>
      <c r="D47" s="498" t="s">
        <v>448</v>
      </c>
    </row>
    <row r="48" spans="1:5" s="459" customFormat="1">
      <c r="A48" s="495" t="s">
        <v>117</v>
      </c>
      <c r="B48" s="496" t="s">
        <v>449</v>
      </c>
      <c r="C48" s="497">
        <f>C49+C50</f>
        <v>8.6499999999999994E-2</v>
      </c>
      <c r="D48" s="499"/>
    </row>
    <row r="49" spans="1:5" s="459" customFormat="1" ht="247.5">
      <c r="A49" s="495"/>
      <c r="B49" s="496" t="s">
        <v>450</v>
      </c>
      <c r="C49" s="497">
        <f>0.0065+0.03</f>
        <v>3.6499999999999998E-2</v>
      </c>
      <c r="D49" s="498" t="s">
        <v>451</v>
      </c>
    </row>
    <row r="50" spans="1:5" s="459" customFormat="1">
      <c r="A50" s="495"/>
      <c r="B50" s="496" t="s">
        <v>452</v>
      </c>
      <c r="C50" s="497">
        <v>0.05</v>
      </c>
      <c r="D50" s="500" t="s">
        <v>453</v>
      </c>
    </row>
    <row r="51" spans="1:5" hidden="1"/>
    <row r="52" spans="1:5" ht="15">
      <c r="A52" s="494"/>
      <c r="B52" s="494"/>
      <c r="C52" s="494"/>
      <c r="D52" s="494"/>
      <c r="E52" s="494"/>
    </row>
    <row r="53" spans="1:5" ht="14.25">
      <c r="A53" s="885"/>
      <c r="B53" s="885"/>
      <c r="C53" s="885"/>
      <c r="D53" s="885"/>
    </row>
    <row r="54" spans="1:5" ht="32.25" customHeight="1">
      <c r="A54" s="885"/>
      <c r="B54" s="885"/>
      <c r="C54" s="885"/>
      <c r="D54" s="885"/>
    </row>
  </sheetData>
  <mergeCells count="16">
    <mergeCell ref="A1:D1"/>
    <mergeCell ref="A5:D5"/>
    <mergeCell ref="A8:B8"/>
    <mergeCell ref="A11:B11"/>
    <mergeCell ref="A14:B14"/>
    <mergeCell ref="B2:C2"/>
    <mergeCell ref="B3:C3"/>
    <mergeCell ref="A35:B35"/>
    <mergeCell ref="A32:B32"/>
    <mergeCell ref="A23:B23"/>
    <mergeCell ref="A25:B25"/>
    <mergeCell ref="A54:D54"/>
    <mergeCell ref="A42:B42"/>
    <mergeCell ref="A53:D53"/>
    <mergeCell ref="A45:B45"/>
    <mergeCell ref="A44:D44"/>
  </mergeCells>
  <pageMargins left="0.511811024" right="0.511811024" top="1.1767708333333333" bottom="1.2652343749999999" header="0.31496062000000002" footer="0.31496062000000002"/>
  <pageSetup paperSize="9" scale="79" orientation="portrait" r:id="rId1"/>
  <headerFooter>
    <oddHeader>&amp;L&amp;G</oddHeader>
    <oddFooter>&amp;L&amp;G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4"/>
  <dimension ref="A1:L89"/>
  <sheetViews>
    <sheetView view="pageBreakPreview" topLeftCell="A78" zoomScale="90" zoomScaleNormal="100" zoomScaleSheetLayoutView="90" workbookViewId="0">
      <selection activeCell="F92" sqref="F92"/>
    </sheetView>
  </sheetViews>
  <sheetFormatPr defaultRowHeight="15"/>
  <cols>
    <col min="1" max="1" width="9.140625" style="105"/>
    <col min="2" max="2" width="69" customWidth="1"/>
    <col min="3" max="3" width="12.5703125" style="146" customWidth="1"/>
    <col min="4" max="4" width="12.85546875" style="106" customWidth="1"/>
    <col min="5" max="5" width="12.5703125" style="147" customWidth="1"/>
    <col min="6" max="6" width="21.85546875" style="35" customWidth="1"/>
    <col min="7" max="7" width="40.5703125" bestFit="1" customWidth="1"/>
    <col min="8" max="8" width="8.85546875" customWidth="1"/>
    <col min="10" max="10" width="9.85546875" customWidth="1"/>
    <col min="11" max="11" width="15.5703125" customWidth="1"/>
    <col min="12" max="12" width="13.140625" customWidth="1"/>
  </cols>
  <sheetData>
    <row r="1" spans="1:12" hidden="1">
      <c r="A1" s="913" t="s">
        <v>455</v>
      </c>
      <c r="B1" s="913"/>
      <c r="C1" s="913"/>
      <c r="D1" s="913"/>
      <c r="E1" s="913"/>
      <c r="F1" s="913"/>
      <c r="G1" s="913"/>
    </row>
    <row r="2" spans="1:12" ht="45.75" hidden="1" customHeight="1">
      <c r="A2" s="590" t="s">
        <v>158</v>
      </c>
      <c r="B2" s="590" t="s">
        <v>456</v>
      </c>
      <c r="C2" s="590" t="s">
        <v>457</v>
      </c>
      <c r="D2" s="590" t="s">
        <v>458</v>
      </c>
      <c r="E2" s="591" t="s">
        <v>459</v>
      </c>
      <c r="F2" s="135" t="s">
        <v>460</v>
      </c>
      <c r="G2" s="136" t="s">
        <v>461</v>
      </c>
      <c r="I2" s="137"/>
      <c r="J2" s="137"/>
      <c r="K2" s="137"/>
      <c r="L2" t="s">
        <v>462</v>
      </c>
    </row>
    <row r="3" spans="1:12" ht="15.75" hidden="1" customHeight="1">
      <c r="A3" s="251">
        <v>1</v>
      </c>
      <c r="B3" s="108" t="s">
        <v>463</v>
      </c>
      <c r="C3" s="107" t="s">
        <v>464</v>
      </c>
      <c r="D3" s="109">
        <v>15</v>
      </c>
      <c r="E3" s="110">
        <v>12.13</v>
      </c>
      <c r="F3" s="319">
        <f>D3*E3</f>
        <v>181.95000000000002</v>
      </c>
      <c r="G3" s="111">
        <f>F3/12</f>
        <v>15.162500000000001</v>
      </c>
      <c r="I3" s="139"/>
      <c r="J3" s="139"/>
      <c r="K3" s="139"/>
    </row>
    <row r="4" spans="1:12" hidden="1">
      <c r="A4" s="245">
        <v>2</v>
      </c>
      <c r="B4" s="113" t="s">
        <v>465</v>
      </c>
      <c r="C4" s="114" t="s">
        <v>466</v>
      </c>
      <c r="D4" s="115">
        <v>24</v>
      </c>
      <c r="E4" s="320">
        <v>8.7799999999999994</v>
      </c>
      <c r="F4" s="319">
        <f t="shared" ref="F4:F30" si="0">D4*E4</f>
        <v>210.71999999999997</v>
      </c>
      <c r="G4" s="111">
        <f t="shared" ref="G4:G30" si="1">F4/12</f>
        <v>17.559999999999999</v>
      </c>
      <c r="I4" s="139"/>
      <c r="J4" s="139"/>
      <c r="K4" s="139"/>
    </row>
    <row r="5" spans="1:12" hidden="1">
      <c r="A5" s="251">
        <v>3</v>
      </c>
      <c r="B5" s="113" t="s">
        <v>467</v>
      </c>
      <c r="C5" s="107" t="s">
        <v>464</v>
      </c>
      <c r="D5" s="115">
        <v>2</v>
      </c>
      <c r="E5" s="320">
        <v>8.24</v>
      </c>
      <c r="F5" s="319">
        <f t="shared" si="0"/>
        <v>16.48</v>
      </c>
      <c r="G5" s="111">
        <f t="shared" si="1"/>
        <v>1.3733333333333333</v>
      </c>
      <c r="I5" s="139"/>
      <c r="J5" s="139"/>
      <c r="K5" s="139"/>
    </row>
    <row r="6" spans="1:12" hidden="1">
      <c r="A6" s="245">
        <v>4</v>
      </c>
      <c r="B6" s="113" t="s">
        <v>468</v>
      </c>
      <c r="C6" s="107" t="s">
        <v>464</v>
      </c>
      <c r="D6" s="115">
        <v>12</v>
      </c>
      <c r="E6" s="320">
        <v>11.9</v>
      </c>
      <c r="F6" s="319">
        <f t="shared" si="0"/>
        <v>142.80000000000001</v>
      </c>
      <c r="G6" s="111">
        <f t="shared" si="1"/>
        <v>11.9</v>
      </c>
      <c r="I6" s="139"/>
      <c r="J6" s="139"/>
      <c r="K6" s="139"/>
    </row>
    <row r="7" spans="1:12" ht="30.75" hidden="1" customHeight="1">
      <c r="A7" s="251">
        <v>5</v>
      </c>
      <c r="B7" s="113" t="s">
        <v>469</v>
      </c>
      <c r="C7" s="107" t="s">
        <v>464</v>
      </c>
      <c r="D7" s="115">
        <v>24</v>
      </c>
      <c r="E7" s="320">
        <v>35.700000000000003</v>
      </c>
      <c r="F7" s="319">
        <f t="shared" si="0"/>
        <v>856.80000000000007</v>
      </c>
      <c r="G7" s="111">
        <f t="shared" si="1"/>
        <v>71.400000000000006</v>
      </c>
      <c r="I7" s="139"/>
      <c r="J7" s="139"/>
      <c r="K7" s="139"/>
    </row>
    <row r="8" spans="1:12" ht="33" hidden="1" customHeight="1">
      <c r="A8" s="245">
        <v>6</v>
      </c>
      <c r="B8" s="113" t="s">
        <v>470</v>
      </c>
      <c r="C8" s="107" t="s">
        <v>464</v>
      </c>
      <c r="D8" s="115">
        <v>18</v>
      </c>
      <c r="E8" s="320">
        <v>35.78</v>
      </c>
      <c r="F8" s="319">
        <f t="shared" si="0"/>
        <v>644.04</v>
      </c>
      <c r="G8" s="111">
        <f t="shared" si="1"/>
        <v>53.669999999999995</v>
      </c>
      <c r="I8" s="139"/>
      <c r="J8" s="139"/>
      <c r="K8" s="139"/>
    </row>
    <row r="9" spans="1:12" ht="71.25" hidden="1">
      <c r="A9" s="251">
        <v>7</v>
      </c>
      <c r="B9" s="113" t="s">
        <v>471</v>
      </c>
      <c r="C9" s="107" t="s">
        <v>464</v>
      </c>
      <c r="D9" s="115">
        <v>18</v>
      </c>
      <c r="E9" s="320">
        <v>32.15</v>
      </c>
      <c r="F9" s="319">
        <f t="shared" si="0"/>
        <v>578.69999999999993</v>
      </c>
      <c r="G9" s="111">
        <f t="shared" si="1"/>
        <v>48.224999999999994</v>
      </c>
      <c r="I9" s="139"/>
      <c r="J9" s="139"/>
      <c r="K9" s="139"/>
    </row>
    <row r="10" spans="1:12" ht="15.75" hidden="1">
      <c r="A10" s="245">
        <v>8</v>
      </c>
      <c r="B10" s="116" t="s">
        <v>472</v>
      </c>
      <c r="C10" s="107" t="s">
        <v>464</v>
      </c>
      <c r="D10" s="115">
        <v>12</v>
      </c>
      <c r="E10" s="320">
        <v>9.9</v>
      </c>
      <c r="F10" s="319">
        <f t="shared" si="0"/>
        <v>118.80000000000001</v>
      </c>
      <c r="G10" s="111">
        <f t="shared" si="1"/>
        <v>9.9</v>
      </c>
      <c r="I10" s="139"/>
      <c r="J10" s="139"/>
      <c r="K10" s="139"/>
    </row>
    <row r="11" spans="1:12" hidden="1">
      <c r="A11" s="251">
        <v>9</v>
      </c>
      <c r="B11" s="113" t="s">
        <v>473</v>
      </c>
      <c r="C11" s="107" t="s">
        <v>464</v>
      </c>
      <c r="D11" s="115">
        <v>1</v>
      </c>
      <c r="E11" s="320">
        <v>459.9</v>
      </c>
      <c r="F11" s="319">
        <f t="shared" si="0"/>
        <v>459.9</v>
      </c>
      <c r="G11" s="111">
        <f t="shared" si="1"/>
        <v>38.324999999999996</v>
      </c>
      <c r="I11" s="139"/>
      <c r="J11" s="139"/>
      <c r="K11" s="139"/>
    </row>
    <row r="12" spans="1:12" hidden="1">
      <c r="A12" s="245">
        <v>10</v>
      </c>
      <c r="B12" s="113" t="s">
        <v>474</v>
      </c>
      <c r="C12" s="107" t="s">
        <v>464</v>
      </c>
      <c r="D12" s="115">
        <v>12</v>
      </c>
      <c r="E12" s="320">
        <v>3.55</v>
      </c>
      <c r="F12" s="319">
        <f t="shared" si="0"/>
        <v>42.599999999999994</v>
      </c>
      <c r="G12" s="111">
        <f t="shared" si="1"/>
        <v>3.5499999999999994</v>
      </c>
      <c r="I12" s="139"/>
      <c r="J12" s="139"/>
      <c r="K12" s="139"/>
    </row>
    <row r="13" spans="1:12" ht="28.5" hidden="1">
      <c r="A13" s="251">
        <v>11</v>
      </c>
      <c r="B13" s="113" t="s">
        <v>475</v>
      </c>
      <c r="C13" s="107" t="s">
        <v>464</v>
      </c>
      <c r="D13" s="117">
        <v>18</v>
      </c>
      <c r="E13" s="321">
        <v>25.99</v>
      </c>
      <c r="F13" s="319">
        <f t="shared" si="0"/>
        <v>467.82</v>
      </c>
      <c r="G13" s="111">
        <f t="shared" si="1"/>
        <v>38.984999999999999</v>
      </c>
      <c r="I13" s="139"/>
      <c r="J13" s="139"/>
      <c r="K13" s="139"/>
    </row>
    <row r="14" spans="1:12" ht="24" hidden="1" customHeight="1">
      <c r="A14" s="245">
        <v>12</v>
      </c>
      <c r="B14" s="118" t="s">
        <v>476</v>
      </c>
      <c r="C14" s="107" t="s">
        <v>464</v>
      </c>
      <c r="D14" s="115">
        <v>12</v>
      </c>
      <c r="E14" s="320">
        <v>25.52</v>
      </c>
      <c r="F14" s="319">
        <f t="shared" si="0"/>
        <v>306.24</v>
      </c>
      <c r="G14" s="111">
        <f t="shared" si="1"/>
        <v>25.52</v>
      </c>
      <c r="I14" s="139"/>
      <c r="J14" s="139"/>
      <c r="K14" s="139"/>
    </row>
    <row r="15" spans="1:12" ht="28.5" hidden="1">
      <c r="A15" s="251">
        <v>13</v>
      </c>
      <c r="B15" s="113" t="s">
        <v>477</v>
      </c>
      <c r="C15" s="107" t="s">
        <v>464</v>
      </c>
      <c r="D15" s="115">
        <v>3</v>
      </c>
      <c r="E15" s="320">
        <v>1280</v>
      </c>
      <c r="F15" s="319">
        <f t="shared" si="0"/>
        <v>3840</v>
      </c>
      <c r="G15" s="111">
        <f t="shared" si="1"/>
        <v>320</v>
      </c>
      <c r="I15" s="139"/>
      <c r="J15" s="139"/>
      <c r="K15" s="139"/>
    </row>
    <row r="16" spans="1:12" ht="18" hidden="1" customHeight="1">
      <c r="A16" s="245">
        <v>14</v>
      </c>
      <c r="B16" s="113" t="s">
        <v>478</v>
      </c>
      <c r="C16" s="114" t="s">
        <v>464</v>
      </c>
      <c r="D16" s="115">
        <v>14</v>
      </c>
      <c r="E16" s="320">
        <v>12.78</v>
      </c>
      <c r="F16" s="319">
        <f t="shared" si="0"/>
        <v>178.92</v>
      </c>
      <c r="G16" s="111">
        <f t="shared" si="1"/>
        <v>14.909999999999998</v>
      </c>
      <c r="I16" s="139"/>
      <c r="J16" s="139"/>
      <c r="K16" s="139"/>
    </row>
    <row r="17" spans="1:11" hidden="1">
      <c r="A17" s="251">
        <v>15</v>
      </c>
      <c r="B17" s="113" t="s">
        <v>479</v>
      </c>
      <c r="C17" s="107" t="s">
        <v>464</v>
      </c>
      <c r="D17" s="115">
        <v>12</v>
      </c>
      <c r="E17" s="320">
        <v>47</v>
      </c>
      <c r="F17" s="319">
        <f t="shared" si="0"/>
        <v>564</v>
      </c>
      <c r="G17" s="111">
        <f t="shared" si="1"/>
        <v>47</v>
      </c>
      <c r="I17" s="139"/>
      <c r="J17" s="139"/>
      <c r="K17" s="139"/>
    </row>
    <row r="18" spans="1:11" hidden="1">
      <c r="A18" s="245">
        <v>16</v>
      </c>
      <c r="B18" s="113" t="s">
        <v>480</v>
      </c>
      <c r="C18" s="107" t="s">
        <v>464</v>
      </c>
      <c r="D18" s="115">
        <v>12</v>
      </c>
      <c r="E18" s="320">
        <v>78.900000000000006</v>
      </c>
      <c r="F18" s="319">
        <f t="shared" si="0"/>
        <v>946.80000000000007</v>
      </c>
      <c r="G18" s="111">
        <f t="shared" si="1"/>
        <v>78.900000000000006</v>
      </c>
      <c r="I18" s="139"/>
      <c r="J18" s="139"/>
      <c r="K18" s="139"/>
    </row>
    <row r="19" spans="1:11" ht="15.75" hidden="1">
      <c r="A19" s="251">
        <v>17</v>
      </c>
      <c r="B19" s="116" t="s">
        <v>481</v>
      </c>
      <c r="C19" s="107" t="s">
        <v>464</v>
      </c>
      <c r="D19" s="115">
        <v>30</v>
      </c>
      <c r="E19" s="320">
        <v>12.72</v>
      </c>
      <c r="F19" s="319">
        <f t="shared" si="0"/>
        <v>381.6</v>
      </c>
      <c r="G19" s="111">
        <f t="shared" si="1"/>
        <v>31.8</v>
      </c>
      <c r="I19" s="139"/>
      <c r="J19" s="139"/>
      <c r="K19" s="139"/>
    </row>
    <row r="20" spans="1:11" hidden="1">
      <c r="A20" s="245">
        <v>18</v>
      </c>
      <c r="B20" s="113" t="s">
        <v>482</v>
      </c>
      <c r="C20" s="107" t="s">
        <v>464</v>
      </c>
      <c r="D20" s="115">
        <v>14</v>
      </c>
      <c r="E20" s="320">
        <v>13.88</v>
      </c>
      <c r="F20" s="319">
        <f t="shared" si="0"/>
        <v>194.32000000000002</v>
      </c>
      <c r="G20" s="111">
        <f t="shared" si="1"/>
        <v>16.193333333333335</v>
      </c>
      <c r="I20" s="139"/>
      <c r="J20" s="139"/>
      <c r="K20" s="139"/>
    </row>
    <row r="21" spans="1:11" hidden="1">
      <c r="A21" s="251">
        <v>19</v>
      </c>
      <c r="B21" s="113" t="s">
        <v>483</v>
      </c>
      <c r="C21" s="107" t="s">
        <v>464</v>
      </c>
      <c r="D21" s="115">
        <v>15</v>
      </c>
      <c r="E21" s="320">
        <v>7.55</v>
      </c>
      <c r="F21" s="319">
        <f t="shared" si="0"/>
        <v>113.25</v>
      </c>
      <c r="G21" s="111">
        <f t="shared" si="1"/>
        <v>9.4375</v>
      </c>
      <c r="I21" s="139"/>
      <c r="J21" s="139"/>
      <c r="K21" s="139"/>
    </row>
    <row r="22" spans="1:11" hidden="1">
      <c r="A22" s="245">
        <v>20</v>
      </c>
      <c r="B22" s="113" t="s">
        <v>484</v>
      </c>
      <c r="C22" s="107" t="s">
        <v>464</v>
      </c>
      <c r="D22" s="115">
        <v>18</v>
      </c>
      <c r="E22" s="320">
        <v>14.33</v>
      </c>
      <c r="F22" s="319">
        <f t="shared" si="0"/>
        <v>257.94</v>
      </c>
      <c r="G22" s="111">
        <f t="shared" si="1"/>
        <v>21.495000000000001</v>
      </c>
      <c r="I22" s="139"/>
      <c r="J22" s="139"/>
      <c r="K22" s="139"/>
    </row>
    <row r="23" spans="1:11" hidden="1">
      <c r="A23" s="251">
        <v>21</v>
      </c>
      <c r="B23" s="113" t="s">
        <v>485</v>
      </c>
      <c r="C23" s="107" t="s">
        <v>464</v>
      </c>
      <c r="D23" s="115">
        <v>9</v>
      </c>
      <c r="E23" s="320">
        <v>22.78</v>
      </c>
      <c r="F23" s="319">
        <f t="shared" si="0"/>
        <v>205.02</v>
      </c>
      <c r="G23" s="111">
        <f t="shared" si="1"/>
        <v>17.085000000000001</v>
      </c>
      <c r="I23" s="139"/>
      <c r="J23" s="139"/>
      <c r="K23" s="139"/>
    </row>
    <row r="24" spans="1:11" hidden="1">
      <c r="A24" s="245">
        <v>22</v>
      </c>
      <c r="B24" s="113" t="s">
        <v>486</v>
      </c>
      <c r="C24" s="248" t="s">
        <v>464</v>
      </c>
      <c r="D24" s="115">
        <v>1</v>
      </c>
      <c r="E24" s="320">
        <v>59.9</v>
      </c>
      <c r="F24" s="319">
        <f t="shared" si="0"/>
        <v>59.9</v>
      </c>
      <c r="G24" s="111">
        <f t="shared" si="1"/>
        <v>4.9916666666666663</v>
      </c>
      <c r="I24" s="139"/>
      <c r="J24" s="139"/>
      <c r="K24" s="139"/>
    </row>
    <row r="25" spans="1:11" hidden="1">
      <c r="A25" s="251">
        <v>23</v>
      </c>
      <c r="B25" s="113" t="s">
        <v>487</v>
      </c>
      <c r="C25" s="114" t="s">
        <v>488</v>
      </c>
      <c r="D25" s="115">
        <v>6</v>
      </c>
      <c r="E25" s="320">
        <v>12.76</v>
      </c>
      <c r="F25" s="319">
        <f t="shared" si="0"/>
        <v>76.56</v>
      </c>
      <c r="G25" s="111">
        <f t="shared" si="1"/>
        <v>6.38</v>
      </c>
      <c r="I25" s="139"/>
      <c r="J25" s="139"/>
      <c r="K25" s="139"/>
    </row>
    <row r="26" spans="1:11" hidden="1">
      <c r="A26" s="245">
        <v>24</v>
      </c>
      <c r="B26" s="113" t="s">
        <v>489</v>
      </c>
      <c r="C26" s="107" t="s">
        <v>464</v>
      </c>
      <c r="D26" s="115">
        <v>4</v>
      </c>
      <c r="E26" s="320">
        <v>19.88</v>
      </c>
      <c r="F26" s="319">
        <f t="shared" si="0"/>
        <v>79.52</v>
      </c>
      <c r="G26" s="111">
        <f t="shared" si="1"/>
        <v>6.626666666666666</v>
      </c>
      <c r="I26" s="139"/>
      <c r="J26" s="139"/>
      <c r="K26" s="139"/>
    </row>
    <row r="27" spans="1:11" hidden="1">
      <c r="A27" s="251">
        <v>25</v>
      </c>
      <c r="B27" s="120" t="s">
        <v>490</v>
      </c>
      <c r="C27" s="119" t="s">
        <v>464</v>
      </c>
      <c r="D27" s="121">
        <v>1</v>
      </c>
      <c r="E27" s="322">
        <v>38.93</v>
      </c>
      <c r="F27" s="319">
        <f t="shared" si="0"/>
        <v>38.93</v>
      </c>
      <c r="G27" s="111">
        <f t="shared" si="1"/>
        <v>3.2441666666666666</v>
      </c>
      <c r="I27" s="139"/>
      <c r="J27" s="139"/>
      <c r="K27" s="139"/>
    </row>
    <row r="28" spans="1:11" hidden="1">
      <c r="A28" s="245">
        <v>26</v>
      </c>
      <c r="B28" s="120" t="s">
        <v>491</v>
      </c>
      <c r="C28" s="119" t="s">
        <v>464</v>
      </c>
      <c r="D28" s="121">
        <v>4</v>
      </c>
      <c r="E28" s="322">
        <v>32.119999999999997</v>
      </c>
      <c r="F28" s="319">
        <f t="shared" si="0"/>
        <v>128.47999999999999</v>
      </c>
      <c r="G28" s="111">
        <f t="shared" si="1"/>
        <v>10.706666666666665</v>
      </c>
      <c r="I28" s="139"/>
      <c r="J28" s="139"/>
      <c r="K28" s="139"/>
    </row>
    <row r="29" spans="1:11" ht="15.75" hidden="1">
      <c r="A29" s="251">
        <v>27</v>
      </c>
      <c r="B29" s="108" t="s">
        <v>492</v>
      </c>
      <c r="C29" s="107" t="s">
        <v>464</v>
      </c>
      <c r="D29" s="115">
        <v>2</v>
      </c>
      <c r="E29" s="320">
        <v>25.72</v>
      </c>
      <c r="F29" s="319">
        <f t="shared" si="0"/>
        <v>51.44</v>
      </c>
      <c r="G29" s="111">
        <f t="shared" si="1"/>
        <v>4.2866666666666662</v>
      </c>
      <c r="I29" s="139"/>
      <c r="J29" s="139"/>
      <c r="K29" s="139"/>
    </row>
    <row r="30" spans="1:11" hidden="1">
      <c r="A30" s="245">
        <v>28</v>
      </c>
      <c r="B30" s="592" t="s">
        <v>493</v>
      </c>
      <c r="C30" s="247" t="s">
        <v>494</v>
      </c>
      <c r="D30" s="323">
        <v>3</v>
      </c>
      <c r="E30" s="322">
        <v>800</v>
      </c>
      <c r="F30" s="319">
        <f t="shared" si="0"/>
        <v>2400</v>
      </c>
      <c r="G30" s="111">
        <f t="shared" si="1"/>
        <v>200</v>
      </c>
      <c r="I30" s="139"/>
      <c r="J30" s="139"/>
      <c r="K30" s="139"/>
    </row>
    <row r="31" spans="1:11" hidden="1">
      <c r="A31" s="902" t="s">
        <v>495</v>
      </c>
      <c r="B31" s="902"/>
      <c r="C31" s="902"/>
      <c r="D31" s="902"/>
      <c r="E31" s="902"/>
      <c r="F31" s="903"/>
      <c r="G31" s="133">
        <f>SUM(G3:G30)</f>
        <v>1128.6275000000001</v>
      </c>
      <c r="I31" s="139"/>
      <c r="J31" s="139"/>
      <c r="K31" s="139"/>
    </row>
    <row r="32" spans="1:11" hidden="1">
      <c r="A32" s="325"/>
      <c r="B32" s="325"/>
      <c r="C32" s="325"/>
      <c r="D32" s="325"/>
      <c r="E32" s="325"/>
      <c r="F32" s="325"/>
      <c r="G32" s="134"/>
      <c r="I32" s="139"/>
      <c r="J32" s="139"/>
      <c r="K32" s="139"/>
    </row>
    <row r="33" spans="1:11" ht="45" hidden="1">
      <c r="A33" s="326" t="s">
        <v>496</v>
      </c>
      <c r="B33" s="324" t="s">
        <v>497</v>
      </c>
      <c r="C33" s="327" t="s">
        <v>457</v>
      </c>
      <c r="D33" s="328" t="s">
        <v>458</v>
      </c>
      <c r="E33" s="329" t="s">
        <v>498</v>
      </c>
      <c r="F33" s="329" t="s">
        <v>499</v>
      </c>
      <c r="G33" s="140" t="s">
        <v>461</v>
      </c>
      <c r="I33" s="139"/>
      <c r="J33" s="139"/>
      <c r="K33" s="139"/>
    </row>
    <row r="34" spans="1:11" hidden="1">
      <c r="A34" s="326">
        <v>1</v>
      </c>
      <c r="B34" s="287" t="s">
        <v>500</v>
      </c>
      <c r="C34" s="112" t="s">
        <v>494</v>
      </c>
      <c r="D34" s="323">
        <v>1</v>
      </c>
      <c r="E34" s="322">
        <v>899.9</v>
      </c>
      <c r="F34" s="141">
        <f>E34*0.2</f>
        <v>179.98000000000002</v>
      </c>
      <c r="G34" s="330">
        <f>F34/12</f>
        <v>14.998333333333335</v>
      </c>
      <c r="I34" s="139"/>
      <c r="J34" s="139"/>
      <c r="K34" s="139"/>
    </row>
    <row r="35" spans="1:11" hidden="1">
      <c r="A35" s="326">
        <v>2</v>
      </c>
      <c r="B35" s="243" t="s">
        <v>501</v>
      </c>
      <c r="C35" s="112" t="s">
        <v>494</v>
      </c>
      <c r="D35" s="244">
        <v>1</v>
      </c>
      <c r="E35" s="320">
        <v>404.71</v>
      </c>
      <c r="F35" s="141">
        <f t="shared" ref="F35:F36" si="2">E35*0.2</f>
        <v>80.942000000000007</v>
      </c>
      <c r="G35" s="330">
        <f t="shared" ref="G35:G36" si="3">F35/12</f>
        <v>6.745166666666667</v>
      </c>
      <c r="I35" s="139"/>
      <c r="J35" s="139"/>
      <c r="K35" s="139"/>
    </row>
    <row r="36" spans="1:11" hidden="1">
      <c r="A36" s="331">
        <v>3</v>
      </c>
      <c r="B36" s="592" t="s">
        <v>502</v>
      </c>
      <c r="C36" s="247" t="s">
        <v>494</v>
      </c>
      <c r="D36" s="323">
        <v>1</v>
      </c>
      <c r="E36" s="322">
        <v>429.9</v>
      </c>
      <c r="F36" s="141">
        <f t="shared" si="2"/>
        <v>85.98</v>
      </c>
      <c r="G36" s="330">
        <f t="shared" si="3"/>
        <v>7.165</v>
      </c>
      <c r="I36" s="139"/>
      <c r="J36" s="139"/>
      <c r="K36" s="139"/>
    </row>
    <row r="37" spans="1:11" hidden="1">
      <c r="A37" s="920" t="s">
        <v>495</v>
      </c>
      <c r="B37" s="921"/>
      <c r="C37" s="921"/>
      <c r="D37" s="921"/>
      <c r="E37" s="921"/>
      <c r="F37" s="921"/>
      <c r="G37" s="332">
        <f>SUM(G34:G36)</f>
        <v>28.9085</v>
      </c>
      <c r="I37" s="139"/>
      <c r="J37" s="139"/>
      <c r="K37" s="139"/>
    </row>
    <row r="38" spans="1:11" hidden="1">
      <c r="A38" s="333"/>
      <c r="B38" s="256"/>
      <c r="C38" s="334"/>
      <c r="D38" s="333"/>
      <c r="E38" s="335"/>
      <c r="F38" s="142"/>
      <c r="G38" s="143"/>
      <c r="I38" s="139"/>
      <c r="J38" s="139"/>
      <c r="K38" s="139"/>
    </row>
    <row r="39" spans="1:11" hidden="1">
      <c r="A39" s="914" t="s">
        <v>158</v>
      </c>
      <c r="B39" s="915" t="s">
        <v>503</v>
      </c>
      <c r="C39" s="916" t="s">
        <v>457</v>
      </c>
      <c r="D39" s="915" t="s">
        <v>458</v>
      </c>
      <c r="E39" s="917" t="s">
        <v>498</v>
      </c>
      <c r="F39" s="918" t="s">
        <v>504</v>
      </c>
      <c r="G39" s="919" t="s">
        <v>461</v>
      </c>
      <c r="I39" s="139"/>
      <c r="J39" s="139"/>
      <c r="K39" s="139"/>
    </row>
    <row r="40" spans="1:11" hidden="1">
      <c r="A40" s="914"/>
      <c r="B40" s="915"/>
      <c r="C40" s="916"/>
      <c r="D40" s="915"/>
      <c r="E40" s="917"/>
      <c r="F40" s="918"/>
      <c r="G40" s="919"/>
      <c r="I40" s="139"/>
      <c r="J40" s="139"/>
      <c r="K40" s="139"/>
    </row>
    <row r="41" spans="1:11" hidden="1">
      <c r="A41" s="914"/>
      <c r="B41" s="915"/>
      <c r="C41" s="916"/>
      <c r="D41" s="915"/>
      <c r="E41" s="917"/>
      <c r="F41" s="918"/>
      <c r="G41" s="919"/>
      <c r="I41" s="139"/>
      <c r="J41" s="139"/>
      <c r="K41" s="139"/>
    </row>
    <row r="42" spans="1:11" ht="15" hidden="1" customHeight="1">
      <c r="A42" s="336">
        <v>1</v>
      </c>
      <c r="B42" s="122" t="s">
        <v>505</v>
      </c>
      <c r="C42" s="260" t="s">
        <v>506</v>
      </c>
      <c r="D42" s="117">
        <v>24</v>
      </c>
      <c r="E42" s="123">
        <v>16.29</v>
      </c>
      <c r="F42" s="123">
        <f>D42*E42</f>
        <v>390.96</v>
      </c>
      <c r="G42" s="124">
        <f>F42/12</f>
        <v>32.58</v>
      </c>
      <c r="I42" s="139"/>
      <c r="J42" s="139"/>
      <c r="K42" s="139"/>
    </row>
    <row r="43" spans="1:11" ht="15" hidden="1" customHeight="1">
      <c r="A43" s="337">
        <v>2</v>
      </c>
      <c r="B43" s="125" t="s">
        <v>507</v>
      </c>
      <c r="C43" s="338" t="s">
        <v>508</v>
      </c>
      <c r="D43" s="126">
        <v>168</v>
      </c>
      <c r="E43" s="127">
        <v>8.6300000000000008</v>
      </c>
      <c r="F43" s="123">
        <f t="shared" ref="F43:F66" si="4">D43*E43</f>
        <v>1449.8400000000001</v>
      </c>
      <c r="G43" s="124">
        <f t="shared" ref="G43:G66" si="5">F43/12</f>
        <v>120.82000000000001</v>
      </c>
      <c r="I43" s="139"/>
      <c r="J43" s="139"/>
      <c r="K43" s="139"/>
    </row>
    <row r="44" spans="1:11" ht="15" hidden="1" customHeight="1">
      <c r="A44" s="337">
        <v>3</v>
      </c>
      <c r="B44" s="122" t="s">
        <v>509</v>
      </c>
      <c r="C44" s="338" t="s">
        <v>510</v>
      </c>
      <c r="D44" s="117">
        <v>24</v>
      </c>
      <c r="E44" s="128">
        <v>45.9</v>
      </c>
      <c r="F44" s="123">
        <f t="shared" si="4"/>
        <v>1101.5999999999999</v>
      </c>
      <c r="G44" s="124">
        <f t="shared" si="5"/>
        <v>91.8</v>
      </c>
      <c r="I44" s="139"/>
      <c r="J44" s="139"/>
      <c r="K44" s="139"/>
    </row>
    <row r="45" spans="1:11" ht="29.25" hidden="1" customHeight="1">
      <c r="A45" s="261">
        <v>4</v>
      </c>
      <c r="B45" s="113" t="s">
        <v>511</v>
      </c>
      <c r="C45" s="338" t="s">
        <v>506</v>
      </c>
      <c r="D45" s="115">
        <v>68</v>
      </c>
      <c r="E45" s="123">
        <v>16.59</v>
      </c>
      <c r="F45" s="123">
        <f t="shared" si="4"/>
        <v>1128.1199999999999</v>
      </c>
      <c r="G45" s="124">
        <f t="shared" si="5"/>
        <v>94.009999999999991</v>
      </c>
      <c r="I45" s="139"/>
      <c r="J45" s="139"/>
      <c r="K45" s="139"/>
    </row>
    <row r="46" spans="1:11" ht="16.5" hidden="1" customHeight="1">
      <c r="A46" s="337">
        <v>5</v>
      </c>
      <c r="B46" s="129" t="s">
        <v>512</v>
      </c>
      <c r="C46" s="338" t="s">
        <v>513</v>
      </c>
      <c r="D46" s="115">
        <v>504</v>
      </c>
      <c r="E46" s="123">
        <v>1.37</v>
      </c>
      <c r="F46" s="123">
        <f t="shared" si="4"/>
        <v>690.48</v>
      </c>
      <c r="G46" s="124">
        <f t="shared" si="5"/>
        <v>57.54</v>
      </c>
      <c r="I46" s="139"/>
      <c r="J46" s="139"/>
      <c r="K46" s="139"/>
    </row>
    <row r="47" spans="1:11" ht="17.25" hidden="1" customHeight="1">
      <c r="A47" s="337">
        <v>6</v>
      </c>
      <c r="B47" s="129" t="s">
        <v>514</v>
      </c>
      <c r="C47" s="338" t="s">
        <v>506</v>
      </c>
      <c r="D47" s="115">
        <v>24</v>
      </c>
      <c r="E47" s="123">
        <v>29.99</v>
      </c>
      <c r="F47" s="123">
        <f t="shared" si="4"/>
        <v>719.76</v>
      </c>
      <c r="G47" s="124">
        <f t="shared" si="5"/>
        <v>59.98</v>
      </c>
      <c r="I47" s="139"/>
      <c r="J47" s="139"/>
      <c r="K47" s="139"/>
    </row>
    <row r="48" spans="1:11" ht="18" hidden="1" customHeight="1">
      <c r="A48" s="337">
        <v>7</v>
      </c>
      <c r="B48" s="129" t="s">
        <v>515</v>
      </c>
      <c r="C48" s="338" t="s">
        <v>516</v>
      </c>
      <c r="D48" s="115">
        <v>60</v>
      </c>
      <c r="E48" s="123">
        <v>3.15</v>
      </c>
      <c r="F48" s="123">
        <f t="shared" si="4"/>
        <v>189</v>
      </c>
      <c r="G48" s="124">
        <f t="shared" si="5"/>
        <v>15.75</v>
      </c>
      <c r="I48" s="139"/>
      <c r="J48" s="139"/>
      <c r="K48" s="139"/>
    </row>
    <row r="49" spans="1:11" ht="17.25" hidden="1" customHeight="1">
      <c r="A49" s="339">
        <v>8</v>
      </c>
      <c r="B49" s="129" t="s">
        <v>517</v>
      </c>
      <c r="C49" s="338" t="s">
        <v>518</v>
      </c>
      <c r="D49" s="115">
        <v>24</v>
      </c>
      <c r="E49" s="123">
        <v>15.9</v>
      </c>
      <c r="F49" s="123">
        <f t="shared" si="4"/>
        <v>381.6</v>
      </c>
      <c r="G49" s="124">
        <f t="shared" si="5"/>
        <v>31.8</v>
      </c>
      <c r="I49" s="139"/>
      <c r="J49" s="139"/>
      <c r="K49" s="139"/>
    </row>
    <row r="50" spans="1:11" ht="29.25" hidden="1" customHeight="1">
      <c r="A50" s="337">
        <v>9</v>
      </c>
      <c r="B50" s="129" t="s">
        <v>519</v>
      </c>
      <c r="C50" s="338" t="s">
        <v>513</v>
      </c>
      <c r="D50" s="115">
        <v>84</v>
      </c>
      <c r="E50" s="123">
        <v>1.98</v>
      </c>
      <c r="F50" s="123">
        <f t="shared" si="4"/>
        <v>166.32</v>
      </c>
      <c r="G50" s="124">
        <f t="shared" si="5"/>
        <v>13.86</v>
      </c>
    </row>
    <row r="51" spans="1:11" ht="15" hidden="1" customHeight="1">
      <c r="A51" s="337">
        <v>10</v>
      </c>
      <c r="B51" s="288" t="s">
        <v>520</v>
      </c>
      <c r="C51" s="338" t="s">
        <v>513</v>
      </c>
      <c r="D51" s="115">
        <v>168</v>
      </c>
      <c r="E51" s="123">
        <v>3.8</v>
      </c>
      <c r="F51" s="123">
        <f t="shared" si="4"/>
        <v>638.4</v>
      </c>
      <c r="G51" s="124">
        <f t="shared" si="5"/>
        <v>53.199999999999996</v>
      </c>
    </row>
    <row r="52" spans="1:11" ht="15" hidden="1" customHeight="1">
      <c r="A52" s="337">
        <v>11</v>
      </c>
      <c r="B52" s="122" t="s">
        <v>521</v>
      </c>
      <c r="C52" s="338" t="s">
        <v>513</v>
      </c>
      <c r="D52" s="117">
        <v>336</v>
      </c>
      <c r="E52" s="123">
        <v>5.45</v>
      </c>
      <c r="F52" s="123">
        <f t="shared" si="4"/>
        <v>1831.2</v>
      </c>
      <c r="G52" s="124">
        <f t="shared" si="5"/>
        <v>152.6</v>
      </c>
    </row>
    <row r="53" spans="1:11" ht="31.5" hidden="1" customHeight="1">
      <c r="A53" s="337">
        <v>12</v>
      </c>
      <c r="B53" s="122" t="s">
        <v>522</v>
      </c>
      <c r="C53" s="338" t="s">
        <v>513</v>
      </c>
      <c r="D53" s="114">
        <v>168</v>
      </c>
      <c r="E53" s="123">
        <v>11.9</v>
      </c>
      <c r="F53" s="123">
        <f t="shared" si="4"/>
        <v>1999.2</v>
      </c>
      <c r="G53" s="124">
        <f t="shared" si="5"/>
        <v>166.6</v>
      </c>
    </row>
    <row r="54" spans="1:11" ht="50.25" hidden="1" customHeight="1">
      <c r="A54" s="261">
        <v>13</v>
      </c>
      <c r="B54" s="122" t="s">
        <v>523</v>
      </c>
      <c r="C54" s="338" t="s">
        <v>510</v>
      </c>
      <c r="D54" s="114">
        <v>84</v>
      </c>
      <c r="E54" s="123">
        <v>39.9</v>
      </c>
      <c r="F54" s="123">
        <f t="shared" si="4"/>
        <v>3351.6</v>
      </c>
      <c r="G54" s="124">
        <f t="shared" si="5"/>
        <v>279.3</v>
      </c>
      <c r="H54" s="253"/>
    </row>
    <row r="55" spans="1:11" ht="59.25" hidden="1" customHeight="1">
      <c r="A55" s="261">
        <v>14</v>
      </c>
      <c r="B55" s="122" t="s">
        <v>524</v>
      </c>
      <c r="C55" s="338" t="s">
        <v>525</v>
      </c>
      <c r="D55" s="114">
        <v>180</v>
      </c>
      <c r="E55" s="123">
        <v>37.9</v>
      </c>
      <c r="F55" s="123">
        <f t="shared" si="4"/>
        <v>6822</v>
      </c>
      <c r="G55" s="124">
        <f t="shared" si="5"/>
        <v>568.5</v>
      </c>
    </row>
    <row r="56" spans="1:11" ht="15" hidden="1" customHeight="1">
      <c r="A56" s="337">
        <v>15</v>
      </c>
      <c r="B56" s="122" t="s">
        <v>526</v>
      </c>
      <c r="C56" s="338" t="s">
        <v>513</v>
      </c>
      <c r="D56" s="114">
        <v>180</v>
      </c>
      <c r="E56" s="123">
        <v>9.68</v>
      </c>
      <c r="F56" s="123">
        <f t="shared" si="4"/>
        <v>1742.3999999999999</v>
      </c>
      <c r="G56" s="124">
        <f t="shared" si="5"/>
        <v>145.19999999999999</v>
      </c>
    </row>
    <row r="57" spans="1:11" ht="15" hidden="1" customHeight="1">
      <c r="A57" s="337">
        <v>16</v>
      </c>
      <c r="B57" s="122" t="s">
        <v>527</v>
      </c>
      <c r="C57" s="338" t="s">
        <v>528</v>
      </c>
      <c r="D57" s="114">
        <v>80</v>
      </c>
      <c r="E57" s="123">
        <v>6.78</v>
      </c>
      <c r="F57" s="123">
        <f t="shared" si="4"/>
        <v>542.4</v>
      </c>
      <c r="G57" s="124">
        <f t="shared" si="5"/>
        <v>45.199999999999996</v>
      </c>
    </row>
    <row r="58" spans="1:11" ht="15" hidden="1" customHeight="1">
      <c r="A58" s="337">
        <v>17</v>
      </c>
      <c r="B58" s="340" t="s">
        <v>529</v>
      </c>
      <c r="C58" s="338" t="s">
        <v>513</v>
      </c>
      <c r="D58" s="114">
        <v>48</v>
      </c>
      <c r="E58" s="123">
        <v>5.32</v>
      </c>
      <c r="F58" s="123">
        <f t="shared" si="4"/>
        <v>255.36</v>
      </c>
      <c r="G58" s="124">
        <f t="shared" si="5"/>
        <v>21.28</v>
      </c>
    </row>
    <row r="59" spans="1:11" ht="27.75" hidden="1" customHeight="1">
      <c r="A59" s="336">
        <v>18</v>
      </c>
      <c r="B59" s="341" t="s">
        <v>530</v>
      </c>
      <c r="C59" s="338" t="s">
        <v>506</v>
      </c>
      <c r="D59" s="112">
        <v>60</v>
      </c>
      <c r="E59" s="123">
        <v>19.72</v>
      </c>
      <c r="F59" s="123">
        <f t="shared" si="4"/>
        <v>1183.1999999999998</v>
      </c>
      <c r="G59" s="124">
        <f t="shared" si="5"/>
        <v>98.59999999999998</v>
      </c>
    </row>
    <row r="60" spans="1:11" ht="34.5" hidden="1" customHeight="1">
      <c r="A60" s="336">
        <v>19</v>
      </c>
      <c r="B60" s="125" t="s">
        <v>531</v>
      </c>
      <c r="C60" s="338" t="s">
        <v>532</v>
      </c>
      <c r="D60" s="114">
        <v>11</v>
      </c>
      <c r="E60" s="123">
        <v>96.61</v>
      </c>
      <c r="F60" s="123">
        <f t="shared" si="4"/>
        <v>1062.71</v>
      </c>
      <c r="G60" s="124">
        <f t="shared" si="5"/>
        <v>88.55916666666667</v>
      </c>
    </row>
    <row r="61" spans="1:11" ht="15" hidden="1" customHeight="1">
      <c r="A61" s="336">
        <v>20</v>
      </c>
      <c r="B61" s="122" t="s">
        <v>533</v>
      </c>
      <c r="C61" s="338" t="s">
        <v>532</v>
      </c>
      <c r="D61" s="114">
        <v>32</v>
      </c>
      <c r="E61" s="123">
        <v>55.83</v>
      </c>
      <c r="F61" s="123">
        <f t="shared" si="4"/>
        <v>1786.56</v>
      </c>
      <c r="G61" s="124">
        <f t="shared" si="5"/>
        <v>148.88</v>
      </c>
    </row>
    <row r="62" spans="1:11" ht="15" hidden="1" customHeight="1">
      <c r="A62" s="336">
        <v>21</v>
      </c>
      <c r="B62" s="122" t="s">
        <v>534</v>
      </c>
      <c r="C62" s="338" t="s">
        <v>532</v>
      </c>
      <c r="D62" s="114">
        <v>72</v>
      </c>
      <c r="E62" s="123">
        <v>41.12</v>
      </c>
      <c r="F62" s="123">
        <f t="shared" si="4"/>
        <v>2960.64</v>
      </c>
      <c r="G62" s="124">
        <f t="shared" si="5"/>
        <v>246.72</v>
      </c>
    </row>
    <row r="63" spans="1:11" ht="15" hidden="1" customHeight="1">
      <c r="A63" s="336">
        <v>22</v>
      </c>
      <c r="B63" s="122" t="s">
        <v>535</v>
      </c>
      <c r="C63" s="338" t="s">
        <v>532</v>
      </c>
      <c r="D63" s="114">
        <v>12</v>
      </c>
      <c r="E63" s="123">
        <v>17.899999999999999</v>
      </c>
      <c r="F63" s="123">
        <f t="shared" si="4"/>
        <v>214.79999999999998</v>
      </c>
      <c r="G63" s="124">
        <f t="shared" si="5"/>
        <v>17.899999999999999</v>
      </c>
    </row>
    <row r="64" spans="1:11" ht="15" hidden="1" customHeight="1">
      <c r="A64" s="336">
        <v>23</v>
      </c>
      <c r="B64" s="122" t="s">
        <v>536</v>
      </c>
      <c r="C64" s="338" t="s">
        <v>532</v>
      </c>
      <c r="D64" s="114">
        <v>12</v>
      </c>
      <c r="E64" s="123">
        <v>32.5</v>
      </c>
      <c r="F64" s="123">
        <f t="shared" si="4"/>
        <v>390</v>
      </c>
      <c r="G64" s="124">
        <f t="shared" si="5"/>
        <v>32.5</v>
      </c>
    </row>
    <row r="65" spans="1:7" ht="15" hidden="1" customHeight="1">
      <c r="A65" s="336">
        <v>24</v>
      </c>
      <c r="B65" s="122" t="s">
        <v>537</v>
      </c>
      <c r="C65" s="342" t="s">
        <v>532</v>
      </c>
      <c r="D65" s="114">
        <v>12</v>
      </c>
      <c r="E65" s="123">
        <v>16.73</v>
      </c>
      <c r="F65" s="123">
        <f t="shared" si="4"/>
        <v>200.76</v>
      </c>
      <c r="G65" s="124">
        <f t="shared" si="5"/>
        <v>16.73</v>
      </c>
    </row>
    <row r="66" spans="1:7" ht="15" hidden="1" customHeight="1">
      <c r="A66" s="336">
        <v>25</v>
      </c>
      <c r="B66" s="130" t="s">
        <v>538</v>
      </c>
      <c r="C66" s="338" t="s">
        <v>513</v>
      </c>
      <c r="D66" s="131">
        <v>48</v>
      </c>
      <c r="E66" s="132">
        <v>37.83</v>
      </c>
      <c r="F66" s="123">
        <f t="shared" si="4"/>
        <v>1815.84</v>
      </c>
      <c r="G66" s="124">
        <f t="shared" si="5"/>
        <v>151.32</v>
      </c>
    </row>
    <row r="67" spans="1:7" hidden="1">
      <c r="A67" s="902" t="s">
        <v>495</v>
      </c>
      <c r="B67" s="902"/>
      <c r="C67" s="902"/>
      <c r="D67" s="902"/>
      <c r="E67" s="902"/>
      <c r="F67" s="903"/>
      <c r="G67" s="133">
        <f>SUM(G42:G66)</f>
        <v>2751.229166666667</v>
      </c>
    </row>
    <row r="68" spans="1:7" hidden="1"/>
    <row r="69" spans="1:7" ht="15.75" hidden="1" thickBot="1">
      <c r="A69" s="904" t="s">
        <v>539</v>
      </c>
      <c r="B69" s="905"/>
      <c r="C69" s="905"/>
      <c r="D69" s="905"/>
      <c r="E69" s="905"/>
      <c r="F69" s="906"/>
      <c r="G69" s="144">
        <f>G67/6</f>
        <v>458.53819444444451</v>
      </c>
    </row>
    <row r="70" spans="1:7" ht="15.75" hidden="1" thickBot="1">
      <c r="A70" s="904" t="s">
        <v>540</v>
      </c>
      <c r="B70" s="905"/>
      <c r="C70" s="905"/>
      <c r="D70" s="905"/>
      <c r="E70" s="905"/>
      <c r="F70" s="906"/>
      <c r="G70" s="145">
        <f>G31+G37/6</f>
        <v>1133.4455833333334</v>
      </c>
    </row>
    <row r="71" spans="1:7" ht="15.75" hidden="1" thickBot="1"/>
    <row r="72" spans="1:7" hidden="1">
      <c r="A72" s="907" t="s">
        <v>541</v>
      </c>
      <c r="B72" s="908"/>
      <c r="C72" s="908"/>
      <c r="D72" s="908"/>
      <c r="E72" s="908"/>
      <c r="F72" s="908"/>
      <c r="G72" s="909"/>
    </row>
    <row r="73" spans="1:7" ht="45" hidden="1">
      <c r="A73" s="245">
        <v>1</v>
      </c>
      <c r="B73" s="285" t="s">
        <v>542</v>
      </c>
      <c r="C73" s="343" t="s">
        <v>532</v>
      </c>
      <c r="D73" s="343">
        <v>60</v>
      </c>
      <c r="E73" s="320">
        <f>'Eq. Materiais Lavador'!F19</f>
        <v>7.88</v>
      </c>
      <c r="F73" s="148">
        <f>D73*E73</f>
        <v>472.8</v>
      </c>
      <c r="G73" s="148">
        <f>F73/12</f>
        <v>39.4</v>
      </c>
    </row>
    <row r="74" spans="1:7" hidden="1">
      <c r="A74" s="251">
        <v>2</v>
      </c>
      <c r="B74" s="286" t="s">
        <v>543</v>
      </c>
      <c r="C74" s="246" t="s">
        <v>513</v>
      </c>
      <c r="D74" s="246">
        <v>8</v>
      </c>
      <c r="E74" s="320">
        <f>E80</f>
        <v>16.98</v>
      </c>
      <c r="F74" s="138">
        <f>D74*E74</f>
        <v>135.84</v>
      </c>
      <c r="G74" s="138">
        <f>F74/12</f>
        <v>11.32</v>
      </c>
    </row>
    <row r="75" spans="1:7" ht="15.75" hidden="1" thickBot="1">
      <c r="C75" s="149"/>
    </row>
    <row r="76" spans="1:7" ht="15.75" hidden="1" thickBot="1">
      <c r="A76" s="904" t="s">
        <v>544</v>
      </c>
      <c r="B76" s="905"/>
      <c r="C76" s="905"/>
      <c r="D76" s="905"/>
      <c r="E76" s="905"/>
      <c r="F76" s="905"/>
      <c r="G76" s="145">
        <f>SUM(G73:G75)/6</f>
        <v>8.4533333333333331</v>
      </c>
    </row>
    <row r="77" spans="1:7" hidden="1">
      <c r="A77" s="150"/>
      <c r="B77" s="150"/>
      <c r="C77" s="150"/>
      <c r="D77" s="150"/>
      <c r="E77" s="150"/>
      <c r="F77" s="150"/>
      <c r="G77" s="151"/>
    </row>
    <row r="78" spans="1:7" ht="15.75" thickBot="1">
      <c r="G78" s="35"/>
    </row>
    <row r="79" spans="1:7" ht="15.75" thickBot="1">
      <c r="A79" s="910" t="s">
        <v>545</v>
      </c>
      <c r="B79" s="911"/>
      <c r="C79" s="911"/>
      <c r="D79" s="911"/>
      <c r="E79" s="911"/>
      <c r="F79" s="911"/>
      <c r="G79" s="912"/>
    </row>
    <row r="80" spans="1:7" ht="15.75" thickBot="1">
      <c r="A80" s="152">
        <v>1</v>
      </c>
      <c r="B80" s="153" t="s">
        <v>543</v>
      </c>
      <c r="C80" s="154" t="s">
        <v>513</v>
      </c>
      <c r="D80" s="155">
        <v>16</v>
      </c>
      <c r="E80" s="320">
        <f>'Eq. Materiais Lavador'!F20</f>
        <v>16.98</v>
      </c>
      <c r="F80" s="156">
        <f>D80*E80</f>
        <v>271.68</v>
      </c>
      <c r="G80" s="157">
        <f>F80/12</f>
        <v>22.64</v>
      </c>
    </row>
    <row r="81" spans="1:7" ht="15.75" thickBot="1">
      <c r="A81" s="899" t="s">
        <v>546</v>
      </c>
      <c r="B81" s="900"/>
      <c r="C81" s="900"/>
      <c r="D81" s="900"/>
      <c r="E81" s="900"/>
      <c r="F81" s="901"/>
      <c r="G81" s="158">
        <f>G80/12</f>
        <v>1.8866666666666667</v>
      </c>
    </row>
    <row r="82" spans="1:7">
      <c r="A82" s="150"/>
      <c r="B82" s="150"/>
      <c r="C82" s="150"/>
      <c r="D82" s="150"/>
      <c r="E82" s="150"/>
      <c r="F82" s="150"/>
      <c r="G82" s="159"/>
    </row>
    <row r="83" spans="1:7" ht="15.75" thickBot="1"/>
    <row r="84" spans="1:7">
      <c r="C84" s="160"/>
      <c r="D84" s="161" t="s">
        <v>547</v>
      </c>
      <c r="E84" s="162"/>
      <c r="F84" s="163"/>
      <c r="G84" s="164"/>
    </row>
    <row r="85" spans="1:7">
      <c r="C85" s="165"/>
      <c r="D85" s="106" t="s">
        <v>548</v>
      </c>
      <c r="G85" s="166"/>
    </row>
    <row r="86" spans="1:7">
      <c r="C86" s="165"/>
      <c r="D86" s="106" t="s">
        <v>549</v>
      </c>
      <c r="E86" s="147" t="s">
        <v>550</v>
      </c>
      <c r="F86" s="35" t="s">
        <v>551</v>
      </c>
      <c r="G86" s="167" t="s">
        <v>552</v>
      </c>
    </row>
    <row r="87" spans="1:7">
      <c r="C87" s="165"/>
      <c r="D87" s="106">
        <v>3</v>
      </c>
      <c r="E87" s="168">
        <f>D87*22</f>
        <v>66</v>
      </c>
      <c r="F87" s="169">
        <f>E87*6</f>
        <v>396</v>
      </c>
      <c r="G87" s="170">
        <f>F87/50</f>
        <v>7.92</v>
      </c>
    </row>
    <row r="88" spans="1:7">
      <c r="C88" s="165"/>
      <c r="D88" s="106" t="s">
        <v>553</v>
      </c>
      <c r="E88" s="168"/>
      <c r="F88" s="169"/>
      <c r="G88" s="170"/>
    </row>
    <row r="89" spans="1:7" ht="15.75" thickBot="1">
      <c r="C89" s="171"/>
      <c r="D89" s="172">
        <v>3</v>
      </c>
      <c r="E89" s="173">
        <f>D89*22</f>
        <v>66</v>
      </c>
      <c r="F89" s="174">
        <f>E89*12</f>
        <v>792</v>
      </c>
      <c r="G89" s="175">
        <f>F89/50</f>
        <v>15.84</v>
      </c>
    </row>
  </sheetData>
  <mergeCells count="17">
    <mergeCell ref="A1:G1"/>
    <mergeCell ref="A31:F31"/>
    <mergeCell ref="A39:A41"/>
    <mergeCell ref="B39:B41"/>
    <mergeCell ref="C39:C41"/>
    <mergeCell ref="D39:D41"/>
    <mergeCell ref="E39:E41"/>
    <mergeCell ref="F39:F41"/>
    <mergeCell ref="G39:G41"/>
    <mergeCell ref="A37:F37"/>
    <mergeCell ref="A81:F81"/>
    <mergeCell ref="A67:F67"/>
    <mergeCell ref="A69:F69"/>
    <mergeCell ref="A70:F70"/>
    <mergeCell ref="A72:G72"/>
    <mergeCell ref="A76:F76"/>
    <mergeCell ref="A79:G79"/>
  </mergeCells>
  <pageMargins left="0.511811024" right="0.511811024" top="0.78740157499999996" bottom="0.78740157499999996" header="0.31496062000000002" footer="0.31496062000000002"/>
  <pageSetup paperSize="9" scale="51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26261-2297-4F5E-B5B1-9B13C700DB74}">
  <sheetPr codeName="Planilha3">
    <tabColor theme="7" tint="0.79998168889431442"/>
  </sheetPr>
  <dimension ref="A1:Q33"/>
  <sheetViews>
    <sheetView zoomScaleNormal="100" workbookViewId="0">
      <selection activeCell="G12" sqref="G12"/>
    </sheetView>
  </sheetViews>
  <sheetFormatPr defaultColWidth="8.85546875" defaultRowHeight="15"/>
  <cols>
    <col min="1" max="1" width="3.85546875" style="106" customWidth="1"/>
    <col min="2" max="2" width="32.7109375" style="431" customWidth="1"/>
    <col min="3" max="3" width="23.140625" style="106" customWidth="1"/>
    <col min="4" max="4" width="21.42578125" style="106" bestFit="1" customWidth="1"/>
    <col min="5" max="5" width="24.140625" style="431" bestFit="1" customWidth="1"/>
    <col min="6" max="6" width="15" style="431" customWidth="1"/>
    <col min="7" max="7" width="37.7109375" style="431" customWidth="1"/>
    <col min="8" max="11" width="15.7109375" style="431" customWidth="1"/>
    <col min="12" max="12" width="21.140625" style="431" customWidth="1"/>
    <col min="13" max="13" width="20" style="431" customWidth="1"/>
    <col min="14" max="17" width="15.7109375" style="431" customWidth="1"/>
    <col min="18" max="18" width="18.28515625" style="431" bestFit="1" customWidth="1"/>
    <col min="19" max="19" width="14.28515625" style="431" bestFit="1" customWidth="1"/>
    <col min="20" max="16384" width="8.85546875" style="431"/>
  </cols>
  <sheetData>
    <row r="1" spans="1:17" s="384" customFormat="1" thickBot="1">
      <c r="A1" s="383"/>
      <c r="B1" s="644" t="s">
        <v>579</v>
      </c>
      <c r="C1" s="386">
        <f>COUNT(C5:C24)</f>
        <v>15</v>
      </c>
      <c r="D1" s="386">
        <f>COUNT(D5:D24)</f>
        <v>11</v>
      </c>
      <c r="E1" s="386">
        <f>COUNT(E5:E24)</f>
        <v>4</v>
      </c>
      <c r="F1" s="386"/>
      <c r="G1" s="386"/>
      <c r="H1" s="386">
        <f t="shared" ref="H1:M1" si="0">COUNT(H6:H24)</f>
        <v>1</v>
      </c>
      <c r="I1" s="386">
        <f t="shared" si="0"/>
        <v>1</v>
      </c>
      <c r="J1" s="386">
        <f t="shared" si="0"/>
        <v>1</v>
      </c>
      <c r="K1" s="386">
        <f t="shared" si="0"/>
        <v>1</v>
      </c>
      <c r="L1" s="386">
        <f t="shared" si="0"/>
        <v>1</v>
      </c>
      <c r="M1" s="386">
        <f t="shared" si="0"/>
        <v>1</v>
      </c>
      <c r="N1" s="386">
        <f>COUNT(N5:N24)</f>
        <v>1</v>
      </c>
      <c r="O1" s="386">
        <f>COUNT(O5:O24)</f>
        <v>1</v>
      </c>
      <c r="P1" s="386">
        <f>COUNT(P5:P24)</f>
        <v>1</v>
      </c>
      <c r="Q1" s="386">
        <f>COUNT(Q5:Q24)</f>
        <v>1</v>
      </c>
    </row>
    <row r="2" spans="1:17" s="389" customFormat="1" ht="45.75" customHeight="1" thickBot="1">
      <c r="B2" s="603" t="s">
        <v>0</v>
      </c>
      <c r="C2" s="604" t="s">
        <v>1</v>
      </c>
      <c r="D2" s="604" t="s">
        <v>2</v>
      </c>
      <c r="E2" s="605" t="s">
        <v>3</v>
      </c>
      <c r="F2" s="615"/>
      <c r="G2" s="615"/>
    </row>
    <row r="3" spans="1:17" s="389" customFormat="1" ht="22.5" customHeight="1" thickBot="1">
      <c r="B3" s="626" t="s">
        <v>18</v>
      </c>
      <c r="C3" s="627">
        <f>'Assistente Adm I'!E131</f>
        <v>7738.9336901509078</v>
      </c>
      <c r="D3" s="627">
        <f>'Assistente Adm II'!$E$131</f>
        <v>12203.986443748467</v>
      </c>
      <c r="E3" s="628">
        <f>'Assistente Tec Esp'!E131</f>
        <v>17391.685690029641</v>
      </c>
      <c r="F3" s="615"/>
      <c r="G3" s="655" t="s">
        <v>47</v>
      </c>
      <c r="H3" s="702" t="s">
        <v>4</v>
      </c>
      <c r="I3" s="703"/>
      <c r="J3" s="702" t="s">
        <v>366</v>
      </c>
      <c r="K3" s="703"/>
      <c r="L3" s="702" t="s">
        <v>584</v>
      </c>
      <c r="M3" s="703"/>
      <c r="N3" s="702" t="s">
        <v>370</v>
      </c>
      <c r="O3" s="703"/>
      <c r="P3" s="702" t="s">
        <v>8</v>
      </c>
      <c r="Q3" s="703"/>
    </row>
    <row r="4" spans="1:17" s="391" customFormat="1" ht="16.5" customHeight="1" thickBot="1">
      <c r="B4" s="623" t="s">
        <v>577</v>
      </c>
      <c r="C4" s="624" t="s">
        <v>17</v>
      </c>
      <c r="D4" s="624" t="s">
        <v>17</v>
      </c>
      <c r="E4" s="625" t="s">
        <v>17</v>
      </c>
      <c r="G4" s="656" t="s">
        <v>582</v>
      </c>
      <c r="H4" s="657" t="s">
        <v>17</v>
      </c>
      <c r="I4" s="658" t="s">
        <v>18</v>
      </c>
      <c r="J4" s="657" t="s">
        <v>17</v>
      </c>
      <c r="K4" s="658" t="s">
        <v>18</v>
      </c>
      <c r="L4" s="657" t="s">
        <v>17</v>
      </c>
      <c r="M4" s="658" t="s">
        <v>18</v>
      </c>
      <c r="N4" s="657" t="s">
        <v>17</v>
      </c>
      <c r="O4" s="658" t="s">
        <v>18</v>
      </c>
      <c r="P4" s="657" t="s">
        <v>17</v>
      </c>
      <c r="Q4" s="659" t="s">
        <v>18</v>
      </c>
    </row>
    <row r="5" spans="1:17" s="398" customFormat="1" ht="30" customHeight="1">
      <c r="A5" s="396">
        <v>1</v>
      </c>
      <c r="B5" s="620" t="s">
        <v>19</v>
      </c>
      <c r="C5" s="621">
        <v>2974.93</v>
      </c>
      <c r="D5" s="621">
        <v>5252.53</v>
      </c>
      <c r="E5" s="622">
        <v>7868.08</v>
      </c>
      <c r="F5" s="397"/>
      <c r="G5" s="653" t="s">
        <v>580</v>
      </c>
      <c r="H5" s="660" t="s">
        <v>583</v>
      </c>
      <c r="I5" s="660" t="s">
        <v>583</v>
      </c>
      <c r="J5" s="660" t="s">
        <v>583</v>
      </c>
      <c r="K5" s="660" t="s">
        <v>583</v>
      </c>
      <c r="L5" s="660" t="s">
        <v>583</v>
      </c>
      <c r="M5" s="660" t="s">
        <v>583</v>
      </c>
      <c r="N5" s="661">
        <f>Recepcionista!E21</f>
        <v>2538.29</v>
      </c>
      <c r="O5" s="661">
        <f>Recepcionista!E131</f>
        <v>6625.8637091513156</v>
      </c>
      <c r="P5" s="661">
        <f>'Encarregado Geral'!E21</f>
        <v>4220.33</v>
      </c>
      <c r="Q5" s="661">
        <f>'Encarregado Geral'!E131</f>
        <v>9862.9197619860661</v>
      </c>
    </row>
    <row r="6" spans="1:17" s="398" customFormat="1" ht="30" customHeight="1">
      <c r="A6" s="396">
        <v>2</v>
      </c>
      <c r="B6" s="601" t="s">
        <v>20</v>
      </c>
      <c r="C6" s="606">
        <v>2574.38</v>
      </c>
      <c r="D6" s="606"/>
      <c r="E6" s="619"/>
      <c r="F6" s="409"/>
      <c r="G6" s="654" t="s">
        <v>581</v>
      </c>
      <c r="H6" s="662">
        <f>'Téc. Secretariado'!E21</f>
        <v>3095</v>
      </c>
      <c r="I6" s="662">
        <f>'Téc. Secretariado'!E131</f>
        <v>7673.9740127857094</v>
      </c>
      <c r="J6" s="662">
        <f>'Secretário(a) Executivo(a) I'!E21</f>
        <v>5930.48</v>
      </c>
      <c r="K6" s="662">
        <f>'Secretário(a) Executivo(a) I'!E131</f>
        <v>13578.050620656411</v>
      </c>
      <c r="L6" s="662">
        <f>'Secretário(a) Executivo(a) II'!E21</f>
        <v>6718.55</v>
      </c>
      <c r="M6" s="662">
        <f>'Secretário(a) Executivo(a) II'!E131</f>
        <v>15234.176335351138</v>
      </c>
      <c r="N6" s="663"/>
      <c r="O6" s="664"/>
      <c r="P6" s="665"/>
      <c r="Q6" s="666"/>
    </row>
    <row r="7" spans="1:17" s="398" customFormat="1" ht="30" customHeight="1">
      <c r="A7" s="396">
        <v>3</v>
      </c>
      <c r="B7" s="601" t="s">
        <v>21</v>
      </c>
      <c r="C7" s="607">
        <v>3204.6</v>
      </c>
      <c r="D7" s="607">
        <v>5964.53</v>
      </c>
      <c r="E7" s="618">
        <v>8156.38</v>
      </c>
      <c r="F7" s="397"/>
      <c r="G7" s="411"/>
      <c r="H7" s="411"/>
      <c r="I7" s="411"/>
      <c r="J7" s="411"/>
      <c r="K7" s="411"/>
      <c r="L7" s="411"/>
      <c r="M7" s="411"/>
      <c r="N7" s="411"/>
      <c r="O7" s="411"/>
      <c r="P7" s="646"/>
      <c r="Q7" s="646"/>
    </row>
    <row r="8" spans="1:17" s="398" customFormat="1" ht="30" customHeight="1">
      <c r="A8" s="396">
        <v>4</v>
      </c>
      <c r="B8" s="601" t="s">
        <v>22</v>
      </c>
      <c r="C8" s="608">
        <v>2574.38</v>
      </c>
      <c r="D8" s="608"/>
      <c r="E8" s="619"/>
      <c r="F8" s="400"/>
    </row>
    <row r="9" spans="1:17" s="398" customFormat="1" ht="30" customHeight="1">
      <c r="A9" s="396">
        <v>5</v>
      </c>
      <c r="B9" s="601" t="s">
        <v>23</v>
      </c>
      <c r="C9" s="607">
        <v>2574.38</v>
      </c>
      <c r="D9" s="609"/>
      <c r="E9" s="618"/>
      <c r="F9" s="409"/>
      <c r="G9" s="411"/>
      <c r="H9" s="411"/>
      <c r="I9" s="411"/>
      <c r="J9" s="411"/>
      <c r="K9" s="411"/>
      <c r="L9" s="411"/>
      <c r="M9" s="411"/>
      <c r="N9" s="411"/>
      <c r="O9" s="411"/>
    </row>
    <row r="10" spans="1:17" s="398" customFormat="1" ht="30" customHeight="1">
      <c r="A10" s="396">
        <v>6</v>
      </c>
      <c r="B10" s="601" t="s">
        <v>24</v>
      </c>
      <c r="C10" s="608">
        <v>3507.17</v>
      </c>
      <c r="D10" s="608">
        <v>5614.57</v>
      </c>
      <c r="E10" s="619"/>
      <c r="F10" s="397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</row>
    <row r="11" spans="1:17" s="398" customFormat="1" ht="30" customHeight="1">
      <c r="A11" s="396">
        <v>7</v>
      </c>
      <c r="B11" s="601" t="s">
        <v>25</v>
      </c>
      <c r="C11" s="607"/>
      <c r="D11" s="607">
        <v>5500</v>
      </c>
      <c r="E11" s="618">
        <v>7500</v>
      </c>
      <c r="F11" s="409"/>
      <c r="G11" s="411"/>
      <c r="I11" s="647"/>
    </row>
    <row r="12" spans="1:17" s="398" customFormat="1" ht="30" customHeight="1">
      <c r="A12" s="396">
        <v>8</v>
      </c>
      <c r="B12" s="601" t="s">
        <v>26</v>
      </c>
      <c r="C12" s="608"/>
      <c r="D12" s="606">
        <v>5703.9716666666673</v>
      </c>
      <c r="E12" s="619"/>
      <c r="F12" s="409"/>
      <c r="G12" s="411"/>
      <c r="H12" s="411"/>
      <c r="I12" s="411"/>
      <c r="P12" s="411"/>
      <c r="Q12" s="411"/>
    </row>
    <row r="13" spans="1:17" s="398" customFormat="1" ht="30" customHeight="1">
      <c r="A13" s="396">
        <v>9</v>
      </c>
      <c r="B13" s="601" t="s">
        <v>27</v>
      </c>
      <c r="C13" s="607"/>
      <c r="D13" s="607">
        <v>4893.4799999999996</v>
      </c>
      <c r="E13" s="618"/>
      <c r="F13" s="409"/>
      <c r="G13" s="411"/>
      <c r="H13" s="411"/>
      <c r="I13" s="411"/>
      <c r="P13" s="411"/>
      <c r="Q13" s="411"/>
    </row>
    <row r="14" spans="1:17" s="398" customFormat="1" ht="30" customHeight="1">
      <c r="A14" s="396">
        <v>10</v>
      </c>
      <c r="B14" s="601" t="s">
        <v>28</v>
      </c>
      <c r="C14" s="608">
        <f>2953.49*1.0369</f>
        <v>3062.4737809999997</v>
      </c>
      <c r="D14" s="608">
        <f>4698.53*1.0369</f>
        <v>4871.9057569999995</v>
      </c>
      <c r="E14" s="619"/>
      <c r="F14" s="409"/>
      <c r="G14" s="411"/>
      <c r="H14" s="411"/>
      <c r="I14" s="411"/>
      <c r="P14" s="411"/>
      <c r="Q14" s="411"/>
    </row>
    <row r="15" spans="1:17" s="398" customFormat="1" ht="30" customHeight="1">
      <c r="A15" s="396">
        <v>11</v>
      </c>
      <c r="B15" s="601" t="s">
        <v>29</v>
      </c>
      <c r="C15" s="607">
        <v>3548.47</v>
      </c>
      <c r="D15" s="607"/>
      <c r="E15" s="618"/>
      <c r="F15" s="409"/>
      <c r="G15" s="411"/>
      <c r="H15" s="411"/>
      <c r="I15" s="411"/>
      <c r="P15" s="411"/>
      <c r="Q15" s="411"/>
    </row>
    <row r="16" spans="1:17" s="398" customFormat="1" ht="30" customHeight="1">
      <c r="A16" s="396">
        <v>12</v>
      </c>
      <c r="B16" s="601" t="s">
        <v>30</v>
      </c>
      <c r="C16" s="606">
        <f>1802.16*1.4</f>
        <v>2523.0239999999999</v>
      </c>
      <c r="D16" s="608">
        <f>1802.16*2.1</f>
        <v>3784.5360000000005</v>
      </c>
      <c r="E16" s="619"/>
      <c r="F16" s="400"/>
      <c r="H16" s="411"/>
      <c r="I16" s="411"/>
      <c r="J16" s="411"/>
      <c r="K16" s="411"/>
      <c r="L16" s="411"/>
      <c r="M16" s="411"/>
      <c r="N16" s="411"/>
    </row>
    <row r="17" spans="1:17" s="398" customFormat="1" ht="30" customHeight="1">
      <c r="A17" s="396">
        <v>13</v>
      </c>
      <c r="B17" s="601" t="s">
        <v>31</v>
      </c>
      <c r="C17" s="607"/>
      <c r="D17" s="607">
        <f>5507.25*1.0369</f>
        <v>5710.467525</v>
      </c>
      <c r="E17" s="618">
        <f>7617.36*1.0369</f>
        <v>7898.440583999999</v>
      </c>
      <c r="F17" s="409"/>
      <c r="G17" s="411"/>
      <c r="H17" s="411"/>
      <c r="I17" s="411"/>
      <c r="P17" s="411"/>
      <c r="Q17" s="411"/>
    </row>
    <row r="18" spans="1:17" s="398" customFormat="1" ht="30" customHeight="1">
      <c r="A18" s="396">
        <v>14</v>
      </c>
      <c r="B18" s="601" t="s">
        <v>33</v>
      </c>
      <c r="C18" s="608">
        <v>4550</v>
      </c>
      <c r="D18" s="608">
        <v>6270.48</v>
      </c>
      <c r="E18" s="619"/>
      <c r="H18" s="411"/>
      <c r="I18" s="411"/>
      <c r="P18" s="411"/>
      <c r="Q18" s="411"/>
    </row>
    <row r="19" spans="1:17" s="398" customFormat="1" ht="30" customHeight="1">
      <c r="A19" s="396">
        <v>15</v>
      </c>
      <c r="B19" s="601" t="s">
        <v>34</v>
      </c>
      <c r="C19" s="607"/>
      <c r="D19" s="607">
        <v>5291.83</v>
      </c>
      <c r="E19" s="618"/>
      <c r="H19" s="411"/>
      <c r="I19" s="411"/>
      <c r="P19" s="411"/>
      <c r="Q19" s="411"/>
    </row>
    <row r="20" spans="1:17" s="398" customFormat="1" ht="30" customHeight="1">
      <c r="A20" s="396">
        <v>16</v>
      </c>
      <c r="B20" s="601" t="s">
        <v>35</v>
      </c>
      <c r="C20" s="608">
        <v>3608.94</v>
      </c>
      <c r="D20" s="608"/>
      <c r="E20" s="619"/>
      <c r="H20" s="411"/>
      <c r="I20" s="411"/>
      <c r="P20" s="411"/>
      <c r="Q20" s="411"/>
    </row>
    <row r="21" spans="1:17" s="398" customFormat="1" ht="30" customHeight="1">
      <c r="A21" s="396">
        <v>17</v>
      </c>
      <c r="B21" s="601" t="s">
        <v>572</v>
      </c>
      <c r="C21" s="607">
        <v>2574.38</v>
      </c>
      <c r="D21" s="609"/>
      <c r="E21" s="618"/>
      <c r="F21" s="409"/>
      <c r="G21" s="411"/>
      <c r="H21" s="411"/>
      <c r="I21" s="411"/>
      <c r="P21" s="411"/>
      <c r="Q21" s="411"/>
    </row>
    <row r="22" spans="1:17" s="398" customFormat="1" ht="30" customHeight="1">
      <c r="A22" s="396">
        <v>18</v>
      </c>
      <c r="B22" s="675" t="s">
        <v>597</v>
      </c>
      <c r="C22" s="608">
        <v>3407.06</v>
      </c>
      <c r="D22" s="608"/>
      <c r="E22" s="619"/>
      <c r="F22" s="409"/>
      <c r="G22" s="411"/>
      <c r="H22" s="411"/>
      <c r="I22" s="411"/>
      <c r="P22" s="411"/>
      <c r="Q22" s="411"/>
    </row>
    <row r="23" spans="1:17" s="398" customFormat="1" ht="30" customHeight="1">
      <c r="A23" s="396">
        <v>19</v>
      </c>
      <c r="B23" s="675" t="s">
        <v>598</v>
      </c>
      <c r="C23" s="679">
        <v>4306.1899999999996</v>
      </c>
      <c r="D23" s="679"/>
      <c r="E23" s="680"/>
      <c r="F23" s="409"/>
      <c r="G23" s="411"/>
      <c r="H23" s="411"/>
      <c r="I23" s="411"/>
      <c r="P23" s="411"/>
      <c r="Q23" s="411"/>
    </row>
    <row r="24" spans="1:17" s="398" customFormat="1" ht="30" customHeight="1" thickBot="1">
      <c r="A24" s="396">
        <v>20</v>
      </c>
      <c r="B24" s="602" t="s">
        <v>37</v>
      </c>
      <c r="C24" s="676">
        <v>2574.38</v>
      </c>
      <c r="D24" s="677"/>
      <c r="E24" s="678"/>
      <c r="F24" s="409"/>
      <c r="G24" s="411"/>
      <c r="H24" s="411"/>
      <c r="I24" s="411"/>
      <c r="P24" s="411"/>
      <c r="Q24" s="411"/>
    </row>
    <row r="25" spans="1:17" s="398" customFormat="1" ht="8.25" customHeight="1">
      <c r="A25" s="396"/>
      <c r="B25" s="599"/>
      <c r="C25" s="600"/>
      <c r="D25" s="600"/>
      <c r="E25" s="397"/>
      <c r="F25" s="409"/>
      <c r="G25" s="411"/>
    </row>
    <row r="26" spans="1:17" s="398" customFormat="1" ht="22.5" customHeight="1">
      <c r="A26" s="701" t="s">
        <v>578</v>
      </c>
      <c r="B26" s="629" t="s">
        <v>38</v>
      </c>
      <c r="C26" s="630">
        <f>AVERAGE(C5:C24)</f>
        <v>3170.9838520666667</v>
      </c>
      <c r="D26" s="630">
        <f>AVERAGE(D5:D24)</f>
        <v>5350.7546316969701</v>
      </c>
      <c r="E26" s="630">
        <f>AVERAGE(E5:E24)</f>
        <v>7855.7251459999998</v>
      </c>
      <c r="F26" s="610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</row>
    <row r="27" spans="1:17" s="398" customFormat="1">
      <c r="A27" s="701"/>
      <c r="B27" s="631" t="s">
        <v>39</v>
      </c>
      <c r="C27" s="632">
        <f>MEDIAN(C5:C25)</f>
        <v>3062.4737809999997</v>
      </c>
      <c r="D27" s="632">
        <f>MEDIAN(D5:D25)</f>
        <v>5500</v>
      </c>
      <c r="E27" s="633">
        <f>MEDIAN(E5:E25)</f>
        <v>7883.260291999999</v>
      </c>
      <c r="F27" s="611"/>
      <c r="G27" s="649"/>
      <c r="H27" s="649"/>
      <c r="I27" s="649"/>
      <c r="J27" s="649"/>
      <c r="K27" s="649"/>
      <c r="L27" s="649"/>
      <c r="M27" s="649"/>
      <c r="N27" s="649"/>
      <c r="O27" s="649"/>
      <c r="P27" s="649"/>
      <c r="Q27" s="649"/>
    </row>
    <row r="28" spans="1:17" s="398" customFormat="1">
      <c r="A28" s="701"/>
      <c r="B28" s="634" t="s">
        <v>40</v>
      </c>
      <c r="C28" s="635">
        <f>_xlfn.STDEV.S(C5:C25)</f>
        <v>651.60830329243993</v>
      </c>
      <c r="D28" s="635">
        <f>_xlfn.STDEV.S(D5:D25)</f>
        <v>668.81990476578312</v>
      </c>
      <c r="E28" s="636">
        <f>_xlfn.STDEV.S(E5:E25)</f>
        <v>270.13019810909441</v>
      </c>
      <c r="F28" s="612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</row>
    <row r="29" spans="1:17" s="398" customFormat="1">
      <c r="A29" s="701"/>
      <c r="B29" s="637" t="s">
        <v>41</v>
      </c>
      <c r="C29" s="638">
        <f>C28/C26</f>
        <v>0.20549089295038786</v>
      </c>
      <c r="D29" s="638">
        <f t="shared" ref="D29:E29" si="1">D28/D26</f>
        <v>0.1249954353735091</v>
      </c>
      <c r="E29" s="639">
        <f t="shared" si="1"/>
        <v>3.4386411577375521E-2</v>
      </c>
      <c r="F29" s="613"/>
      <c r="G29" s="651"/>
      <c r="H29" s="651"/>
      <c r="I29" s="651"/>
      <c r="J29" s="651"/>
      <c r="K29" s="651"/>
      <c r="L29" s="651"/>
      <c r="M29" s="651"/>
      <c r="N29" s="651"/>
      <c r="O29" s="651"/>
      <c r="P29" s="651"/>
      <c r="Q29" s="651"/>
    </row>
    <row r="30" spans="1:17" s="398" customFormat="1" ht="6" customHeight="1">
      <c r="A30" s="701"/>
      <c r="B30" s="637"/>
      <c r="C30" s="638"/>
      <c r="D30" s="638"/>
      <c r="E30" s="639"/>
      <c r="F30" s="613"/>
      <c r="G30" s="651"/>
      <c r="H30" s="651"/>
      <c r="I30" s="651"/>
      <c r="J30" s="651"/>
      <c r="K30" s="651"/>
      <c r="L30" s="651"/>
      <c r="M30" s="651"/>
      <c r="N30" s="651"/>
      <c r="O30" s="651"/>
      <c r="P30" s="651"/>
      <c r="Q30" s="651"/>
    </row>
    <row r="31" spans="1:17" s="398" customFormat="1">
      <c r="A31" s="701"/>
      <c r="B31" s="640" t="s">
        <v>42</v>
      </c>
      <c r="C31" s="641">
        <f>MAX(C5:C24)</f>
        <v>4550</v>
      </c>
      <c r="D31" s="641">
        <f t="shared" ref="D31:E31" si="2">MAX(D5:D24)</f>
        <v>6270.48</v>
      </c>
      <c r="E31" s="641">
        <f t="shared" si="2"/>
        <v>8156.38</v>
      </c>
      <c r="F31" s="614"/>
      <c r="G31" s="652"/>
      <c r="H31" s="652"/>
      <c r="I31" s="652"/>
      <c r="J31" s="652"/>
      <c r="K31" s="652"/>
      <c r="L31" s="652"/>
      <c r="M31" s="652"/>
      <c r="N31" s="652"/>
      <c r="O31" s="652"/>
      <c r="P31" s="652"/>
      <c r="Q31" s="652"/>
    </row>
    <row r="32" spans="1:17" s="398" customFormat="1">
      <c r="A32" s="701"/>
      <c r="B32" s="642" t="s">
        <v>43</v>
      </c>
      <c r="C32" s="643">
        <f>MIN(C5:C24)</f>
        <v>2523.0239999999999</v>
      </c>
      <c r="D32" s="643">
        <f t="shared" ref="D32:E32" si="3">MIN(D5:D24)</f>
        <v>3784.5360000000005</v>
      </c>
      <c r="E32" s="643">
        <f t="shared" si="3"/>
        <v>7500</v>
      </c>
      <c r="F32" s="614"/>
      <c r="G32" s="652"/>
      <c r="H32" s="652"/>
      <c r="I32" s="652"/>
      <c r="J32" s="652"/>
      <c r="K32" s="652"/>
      <c r="L32" s="652"/>
      <c r="M32" s="652"/>
      <c r="N32" s="652"/>
      <c r="O32" s="652"/>
      <c r="P32" s="652"/>
      <c r="Q32" s="652"/>
    </row>
    <row r="33" spans="1:6" s="398" customFormat="1" ht="12.75">
      <c r="A33" s="396"/>
      <c r="B33" s="599"/>
      <c r="C33" s="616"/>
      <c r="D33" s="616"/>
      <c r="E33" s="617"/>
      <c r="F33" s="400"/>
    </row>
  </sheetData>
  <mergeCells count="6">
    <mergeCell ref="A26:A32"/>
    <mergeCell ref="N3:O3"/>
    <mergeCell ref="P3:Q3"/>
    <mergeCell ref="H3:I3"/>
    <mergeCell ref="L3:M3"/>
    <mergeCell ref="J3:K3"/>
  </mergeCells>
  <conditionalFormatting sqref="C29:Q29">
    <cfRule type="cellIs" dxfId="1" priority="1" operator="lessThan">
      <formula>0.25</formula>
    </cfRule>
    <cfRule type="cellIs" dxfId="0" priority="2" operator="greaterThanOrEqual">
      <formula>0.25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5"/>
  <dimension ref="B2:I27"/>
  <sheetViews>
    <sheetView view="pageBreakPreview" topLeftCell="A10" zoomScale="80" zoomScaleNormal="100" zoomScaleSheetLayoutView="80" workbookViewId="0">
      <selection activeCell="C24" sqref="C24"/>
    </sheetView>
  </sheetViews>
  <sheetFormatPr defaultRowHeight="15"/>
  <cols>
    <col min="1" max="1" width="2.85546875" customWidth="1"/>
    <col min="3" max="3" width="56.5703125" bestFit="1" customWidth="1"/>
    <col min="4" max="4" width="13" customWidth="1"/>
    <col min="5" max="5" width="18.7109375" customWidth="1"/>
    <col min="6" max="6" width="18.5703125" customWidth="1"/>
    <col min="7" max="7" width="19" customWidth="1"/>
    <col min="8" max="8" width="40.5703125" bestFit="1" customWidth="1"/>
  </cols>
  <sheetData>
    <row r="2" spans="2:8" ht="45">
      <c r="B2" s="593" t="s">
        <v>158</v>
      </c>
      <c r="C2" s="593" t="s">
        <v>554</v>
      </c>
      <c r="D2" s="593" t="s">
        <v>457</v>
      </c>
      <c r="E2" s="593" t="s">
        <v>458</v>
      </c>
      <c r="F2" s="594" t="s">
        <v>459</v>
      </c>
      <c r="G2" s="259" t="s">
        <v>555</v>
      </c>
      <c r="H2" s="258" t="s">
        <v>556</v>
      </c>
    </row>
    <row r="3" spans="2:8" ht="30">
      <c r="B3" s="251">
        <v>1</v>
      </c>
      <c r="C3" s="257" t="s">
        <v>557</v>
      </c>
      <c r="D3" s="260" t="s">
        <v>513</v>
      </c>
      <c r="E3" s="260">
        <v>1</v>
      </c>
      <c r="F3" s="262">
        <v>1441.33</v>
      </c>
      <c r="G3" s="265">
        <f>((F3*0.2)/12)</f>
        <v>24.022166666666667</v>
      </c>
      <c r="H3" s="263">
        <f>G3</f>
        <v>24.022166666666667</v>
      </c>
    </row>
    <row r="4" spans="2:8">
      <c r="B4" s="925" t="s">
        <v>495</v>
      </c>
      <c r="C4" s="926"/>
      <c r="D4" s="926"/>
      <c r="E4" s="926"/>
      <c r="F4" s="926"/>
      <c r="G4" s="927"/>
      <c r="H4" s="264">
        <f>H3</f>
        <v>24.022166666666667</v>
      </c>
    </row>
    <row r="5" spans="2:8">
      <c r="B5" s="78"/>
      <c r="C5" s="78"/>
      <c r="D5" s="78"/>
      <c r="E5" s="78"/>
      <c r="F5" s="78"/>
      <c r="G5" s="78"/>
      <c r="H5" s="256"/>
    </row>
    <row r="6" spans="2:8">
      <c r="B6" s="256"/>
      <c r="C6" s="256"/>
      <c r="D6" s="256"/>
      <c r="E6" s="256"/>
      <c r="F6" s="256"/>
      <c r="G6" s="256"/>
      <c r="H6" s="256"/>
    </row>
    <row r="7" spans="2:8">
      <c r="B7" s="928" t="s">
        <v>158</v>
      </c>
      <c r="C7" s="922" t="s">
        <v>558</v>
      </c>
      <c r="D7" s="922" t="s">
        <v>457</v>
      </c>
      <c r="E7" s="922" t="s">
        <v>458</v>
      </c>
      <c r="F7" s="922" t="s">
        <v>498</v>
      </c>
      <c r="G7" s="922" t="s">
        <v>504</v>
      </c>
      <c r="H7" s="922" t="s">
        <v>461</v>
      </c>
    </row>
    <row r="8" spans="2:8">
      <c r="B8" s="929"/>
      <c r="C8" s="923"/>
      <c r="D8" s="923"/>
      <c r="E8" s="923"/>
      <c r="F8" s="923"/>
      <c r="G8" s="923"/>
      <c r="H8" s="923"/>
    </row>
    <row r="9" spans="2:8">
      <c r="B9" s="930"/>
      <c r="C9" s="924"/>
      <c r="D9" s="924"/>
      <c r="E9" s="924"/>
      <c r="F9" s="924"/>
      <c r="G9" s="924"/>
      <c r="H9" s="924"/>
    </row>
    <row r="10" spans="2:8">
      <c r="B10" s="261">
        <v>1</v>
      </c>
      <c r="C10" s="344" t="s">
        <v>559</v>
      </c>
      <c r="D10" s="338" t="s">
        <v>560</v>
      </c>
      <c r="E10" s="345">
        <v>6</v>
      </c>
      <c r="F10" s="254">
        <v>1.88</v>
      </c>
      <c r="G10" s="254">
        <f>E10*F10</f>
        <v>11.28</v>
      </c>
      <c r="H10" s="254">
        <f>G10/12</f>
        <v>0.94</v>
      </c>
    </row>
    <row r="11" spans="2:8">
      <c r="B11" s="261">
        <v>2</v>
      </c>
      <c r="C11" s="344" t="s">
        <v>561</v>
      </c>
      <c r="D11" s="338" t="s">
        <v>532</v>
      </c>
      <c r="E11" s="338">
        <v>2</v>
      </c>
      <c r="F11" s="254">
        <v>3.74</v>
      </c>
      <c r="G11" s="254">
        <f t="shared" ref="G11:G15" si="0">E11*F11</f>
        <v>7.48</v>
      </c>
      <c r="H11" s="254">
        <f t="shared" ref="H11:H15" si="1">G11/12</f>
        <v>0.62333333333333341</v>
      </c>
    </row>
    <row r="12" spans="2:8">
      <c r="B12" s="261">
        <v>3</v>
      </c>
      <c r="C12" s="344" t="s">
        <v>562</v>
      </c>
      <c r="D12" s="338" t="s">
        <v>513</v>
      </c>
      <c r="E12" s="338">
        <v>6</v>
      </c>
      <c r="F12" s="254">
        <v>1.98</v>
      </c>
      <c r="G12" s="254">
        <f t="shared" si="0"/>
        <v>11.879999999999999</v>
      </c>
      <c r="H12" s="254">
        <f t="shared" si="1"/>
        <v>0.98999999999999988</v>
      </c>
    </row>
    <row r="13" spans="2:8">
      <c r="B13" s="261">
        <v>4</v>
      </c>
      <c r="C13" s="344" t="s">
        <v>563</v>
      </c>
      <c r="D13" s="338" t="s">
        <v>513</v>
      </c>
      <c r="E13" s="338">
        <v>4</v>
      </c>
      <c r="F13" s="254">
        <v>4.12</v>
      </c>
      <c r="G13" s="254">
        <f t="shared" si="0"/>
        <v>16.48</v>
      </c>
      <c r="H13" s="254">
        <f t="shared" si="1"/>
        <v>1.3733333333333333</v>
      </c>
    </row>
    <row r="14" spans="2:8">
      <c r="B14" s="261">
        <v>5</v>
      </c>
      <c r="C14" s="344" t="s">
        <v>564</v>
      </c>
      <c r="D14" s="338" t="s">
        <v>513</v>
      </c>
      <c r="E14" s="338">
        <v>4</v>
      </c>
      <c r="F14" s="254">
        <v>5.45</v>
      </c>
      <c r="G14" s="254">
        <f t="shared" si="0"/>
        <v>21.8</v>
      </c>
      <c r="H14" s="254">
        <f t="shared" si="1"/>
        <v>1.8166666666666667</v>
      </c>
    </row>
    <row r="15" spans="2:8" ht="30">
      <c r="B15" s="261">
        <v>6</v>
      </c>
      <c r="C15" s="344" t="s">
        <v>565</v>
      </c>
      <c r="D15" s="338" t="s">
        <v>513</v>
      </c>
      <c r="E15" s="338">
        <v>3</v>
      </c>
      <c r="F15" s="254">
        <v>12</v>
      </c>
      <c r="G15" s="254">
        <f t="shared" si="0"/>
        <v>36</v>
      </c>
      <c r="H15" s="254">
        <f t="shared" si="1"/>
        <v>3</v>
      </c>
    </row>
    <row r="16" spans="2:8">
      <c r="B16" s="925" t="s">
        <v>495</v>
      </c>
      <c r="C16" s="926"/>
      <c r="D16" s="926"/>
      <c r="E16" s="926"/>
      <c r="F16" s="926"/>
      <c r="G16" s="927"/>
      <c r="H16" s="264">
        <f>SUM(H10:H15)</f>
        <v>8.7433333333333323</v>
      </c>
    </row>
    <row r="17" spans="2:9" ht="15.75" thickBot="1"/>
    <row r="18" spans="2:9">
      <c r="B18" s="907" t="s">
        <v>566</v>
      </c>
      <c r="C18" s="908"/>
      <c r="D18" s="908"/>
      <c r="E18" s="908"/>
      <c r="F18" s="908"/>
      <c r="G18" s="908"/>
      <c r="H18" s="909"/>
    </row>
    <row r="19" spans="2:9" ht="45">
      <c r="B19" s="245">
        <v>1</v>
      </c>
      <c r="C19" s="285" t="s">
        <v>542</v>
      </c>
      <c r="D19" s="343" t="s">
        <v>532</v>
      </c>
      <c r="E19" s="343">
        <v>2</v>
      </c>
      <c r="F19" s="320">
        <v>7.88</v>
      </c>
      <c r="G19" s="148">
        <f>E19*F19</f>
        <v>15.76</v>
      </c>
      <c r="H19" s="148">
        <f>G19/12</f>
        <v>1.3133333333333332</v>
      </c>
    </row>
    <row r="20" spans="2:9">
      <c r="B20" s="251">
        <v>2</v>
      </c>
      <c r="C20" s="286" t="s">
        <v>543</v>
      </c>
      <c r="D20" s="246" t="s">
        <v>513</v>
      </c>
      <c r="E20" s="246">
        <v>2</v>
      </c>
      <c r="F20" s="320">
        <v>16.98</v>
      </c>
      <c r="G20" s="138">
        <f>E20*F20</f>
        <v>33.96</v>
      </c>
      <c r="H20" s="138">
        <f>G20/12</f>
        <v>2.83</v>
      </c>
    </row>
    <row r="21" spans="2:9" ht="15.75" thickBot="1">
      <c r="B21" s="105"/>
      <c r="D21" s="149"/>
      <c r="E21" s="106"/>
      <c r="F21" s="147"/>
      <c r="G21" s="35"/>
    </row>
    <row r="22" spans="2:9" ht="15.75" thickBot="1">
      <c r="B22" s="904" t="s">
        <v>567</v>
      </c>
      <c r="C22" s="905"/>
      <c r="D22" s="905"/>
      <c r="E22" s="905"/>
      <c r="F22" s="905"/>
      <c r="G22" s="905"/>
      <c r="H22" s="145">
        <f>SUM(H19:H21)/6</f>
        <v>0.69055555555555559</v>
      </c>
    </row>
    <row r="23" spans="2:9" ht="15.75" thickBot="1"/>
    <row r="24" spans="2:9">
      <c r="E24" s="267"/>
      <c r="F24" s="268" t="s">
        <v>547</v>
      </c>
      <c r="G24" s="269"/>
      <c r="H24" s="270"/>
      <c r="I24" s="271"/>
    </row>
    <row r="25" spans="2:9">
      <c r="E25" s="272"/>
      <c r="F25" s="106" t="s">
        <v>568</v>
      </c>
      <c r="G25" s="147"/>
      <c r="H25" s="35"/>
      <c r="I25" s="273"/>
    </row>
    <row r="26" spans="2:9" ht="45">
      <c r="E26" s="272"/>
      <c r="F26" s="106" t="s">
        <v>549</v>
      </c>
      <c r="G26" s="147" t="s">
        <v>550</v>
      </c>
      <c r="H26" s="280" t="s">
        <v>569</v>
      </c>
      <c r="I26" s="274" t="s">
        <v>552</v>
      </c>
    </row>
    <row r="27" spans="2:9" ht="15.75" thickBot="1">
      <c r="E27" s="275"/>
      <c r="F27" s="276">
        <v>3</v>
      </c>
      <c r="G27" s="277">
        <f>F27*22</f>
        <v>66</v>
      </c>
      <c r="H27" s="278">
        <f>G27*1</f>
        <v>66</v>
      </c>
      <c r="I27" s="279">
        <f>H27/50</f>
        <v>1.32</v>
      </c>
    </row>
  </sheetData>
  <mergeCells count="11">
    <mergeCell ref="B18:H18"/>
    <mergeCell ref="B22:G22"/>
    <mergeCell ref="H7:H9"/>
    <mergeCell ref="B16:G16"/>
    <mergeCell ref="B4:G4"/>
    <mergeCell ref="B7:B9"/>
    <mergeCell ref="C7:C9"/>
    <mergeCell ref="D7:D9"/>
    <mergeCell ref="E7:E9"/>
    <mergeCell ref="F7:F9"/>
    <mergeCell ref="G7:G9"/>
  </mergeCells>
  <pageMargins left="0.511811024" right="0.511811024" top="0.78740157499999996" bottom="0.78740157499999996" header="0.31496062000000002" footer="0.31496062000000002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9BB0-DF15-4CC8-8CC6-D1B797581D47}">
  <sheetPr codeName="Planilha6">
    <pageSetUpPr fitToPage="1"/>
  </sheetPr>
  <dimension ref="A1:M23"/>
  <sheetViews>
    <sheetView zoomScale="70" zoomScaleNormal="70" zoomScaleSheetLayoutView="9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P14" sqref="P14"/>
    </sheetView>
  </sheetViews>
  <sheetFormatPr defaultRowHeight="15"/>
  <cols>
    <col min="1" max="1" width="6.7109375" customWidth="1"/>
    <col min="2" max="2" width="4.42578125" customWidth="1"/>
    <col min="3" max="3" width="7.85546875" customWidth="1"/>
    <col min="4" max="4" width="45.28515625" customWidth="1"/>
    <col min="5" max="5" width="12.140625" customWidth="1"/>
    <col min="6" max="6" width="7.85546875" customWidth="1"/>
    <col min="7" max="7" width="17.7109375" bestFit="1" customWidth="1"/>
    <col min="8" max="8" width="18.5703125" bestFit="1" customWidth="1"/>
    <col min="9" max="9" width="24" bestFit="1" customWidth="1"/>
    <col min="10" max="10" width="25.42578125" bestFit="1" customWidth="1"/>
    <col min="11" max="11" width="5.85546875" customWidth="1"/>
    <col min="12" max="12" width="19.7109375" customWidth="1"/>
    <col min="13" max="13" width="24.42578125" bestFit="1" customWidth="1"/>
  </cols>
  <sheetData>
    <row r="1" spans="1:13">
      <c r="A1" s="718" t="s">
        <v>59</v>
      </c>
      <c r="B1" s="718"/>
      <c r="C1" s="718"/>
      <c r="D1" s="718"/>
      <c r="E1" s="718"/>
      <c r="F1" s="718"/>
      <c r="G1" s="718"/>
      <c r="H1" s="718"/>
      <c r="I1" s="718"/>
      <c r="J1" s="718"/>
    </row>
    <row r="2" spans="1:13" ht="14.45" customHeight="1">
      <c r="A2" s="719" t="s">
        <v>60</v>
      </c>
      <c r="B2" s="719"/>
      <c r="C2" s="719"/>
      <c r="D2" s="719"/>
      <c r="E2" s="719"/>
      <c r="F2" s="719"/>
      <c r="G2" s="719"/>
      <c r="H2" s="719"/>
      <c r="I2" s="719"/>
      <c r="J2" s="719"/>
    </row>
    <row r="3" spans="1:13" ht="14.45" customHeight="1">
      <c r="A3" s="714" t="s">
        <v>61</v>
      </c>
      <c r="B3" s="714"/>
      <c r="C3" s="714"/>
      <c r="D3" s="714"/>
      <c r="E3" s="714"/>
      <c r="F3" s="714"/>
      <c r="G3" s="714"/>
      <c r="H3" s="714"/>
      <c r="I3" s="714"/>
      <c r="J3" s="382"/>
    </row>
    <row r="4" spans="1:13" ht="14.45" customHeight="1">
      <c r="A4" s="714" t="s">
        <v>62</v>
      </c>
      <c r="B4" s="714"/>
      <c r="C4" s="714"/>
      <c r="D4" s="714"/>
      <c r="E4" s="714"/>
      <c r="F4" s="714"/>
      <c r="G4" s="714"/>
      <c r="H4" s="714"/>
      <c r="I4" s="714"/>
      <c r="J4" s="714"/>
    </row>
    <row r="5" spans="1:13" ht="14.45" customHeight="1">
      <c r="A5" s="714" t="s">
        <v>63</v>
      </c>
      <c r="B5" s="714"/>
      <c r="C5" s="714"/>
      <c r="D5" s="714"/>
      <c r="E5" s="714"/>
      <c r="F5" s="714"/>
      <c r="G5" s="714"/>
      <c r="H5" s="714"/>
      <c r="I5" s="714"/>
      <c r="J5" s="714"/>
    </row>
    <row r="6" spans="1:13" ht="14.45" customHeight="1">
      <c r="A6" s="714" t="s">
        <v>64</v>
      </c>
      <c r="B6" s="714"/>
      <c r="C6" s="714"/>
      <c r="D6" s="714"/>
      <c r="E6" s="714"/>
      <c r="F6" s="714"/>
      <c r="G6" s="714"/>
      <c r="H6" s="714"/>
      <c r="I6" s="714"/>
      <c r="J6" s="714"/>
    </row>
    <row r="7" spans="1:13" ht="14.45" customHeight="1">
      <c r="A7" s="714" t="s">
        <v>65</v>
      </c>
      <c r="B7" s="714"/>
      <c r="C7" s="714"/>
      <c r="D7" s="714"/>
      <c r="E7" s="714"/>
      <c r="F7" s="714"/>
      <c r="G7" s="714"/>
      <c r="H7" s="714"/>
      <c r="I7" s="714"/>
      <c r="J7" s="714"/>
    </row>
    <row r="8" spans="1:13">
      <c r="A8" s="714" t="s">
        <v>66</v>
      </c>
      <c r="B8" s="714"/>
      <c r="C8" s="714"/>
      <c r="D8" s="714"/>
      <c r="E8" s="714"/>
      <c r="F8" s="714"/>
      <c r="G8" s="714"/>
      <c r="H8" s="714"/>
      <c r="I8" s="714"/>
      <c r="J8" s="714"/>
    </row>
    <row r="9" spans="1:13" ht="23.25" customHeight="1">
      <c r="A9" s="715" t="s">
        <v>67</v>
      </c>
      <c r="B9" s="715"/>
      <c r="C9" s="715"/>
      <c r="D9" s="715"/>
      <c r="E9" s="715"/>
      <c r="F9" s="715"/>
      <c r="G9" s="715"/>
      <c r="H9" s="715"/>
      <c r="I9" s="715"/>
      <c r="J9" s="715"/>
    </row>
    <row r="10" spans="1:13" ht="47.25" customHeight="1">
      <c r="A10" s="716" t="s">
        <v>68</v>
      </c>
      <c r="B10" s="717" t="s">
        <v>69</v>
      </c>
      <c r="C10" s="717" t="s">
        <v>70</v>
      </c>
      <c r="D10" s="716" t="s">
        <v>71</v>
      </c>
      <c r="E10" s="716" t="s">
        <v>72</v>
      </c>
      <c r="F10" s="716" t="s">
        <v>73</v>
      </c>
      <c r="G10" s="711" t="s">
        <v>74</v>
      </c>
      <c r="H10" s="716" t="s">
        <v>75</v>
      </c>
      <c r="I10" s="368" t="s">
        <v>76</v>
      </c>
      <c r="J10" s="368" t="s">
        <v>77</v>
      </c>
    </row>
    <row r="11" spans="1:13" ht="23.25" customHeight="1">
      <c r="A11" s="716"/>
      <c r="B11" s="717"/>
      <c r="C11" s="717"/>
      <c r="D11" s="716"/>
      <c r="E11" s="716"/>
      <c r="F11" s="716"/>
      <c r="G11" s="712"/>
      <c r="H11" s="716"/>
      <c r="I11" s="368" t="s">
        <v>78</v>
      </c>
      <c r="J11" s="368" t="s">
        <v>79</v>
      </c>
    </row>
    <row r="12" spans="1:13" ht="60">
      <c r="A12" s="713">
        <v>1</v>
      </c>
      <c r="B12" s="374">
        <v>1</v>
      </c>
      <c r="C12" s="374">
        <v>5380</v>
      </c>
      <c r="D12" s="294" t="s">
        <v>599</v>
      </c>
      <c r="E12" s="369" t="s">
        <v>80</v>
      </c>
      <c r="F12" s="371">
        <v>89</v>
      </c>
      <c r="G12" s="681">
        <f>'Assistente Adm I'!E21</f>
        <v>3170.9838520666667</v>
      </c>
      <c r="H12" s="682">
        <f>'Assistente Adm I'!E131</f>
        <v>7738.9336901509078</v>
      </c>
      <c r="I12" s="683">
        <f>F12*H12</f>
        <v>688765.09842343081</v>
      </c>
      <c r="J12" s="684">
        <f>I12*12</f>
        <v>8265181.1810811702</v>
      </c>
      <c r="M12" s="690"/>
    </row>
    <row r="13" spans="1:13" ht="60">
      <c r="A13" s="713"/>
      <c r="B13" s="374">
        <v>2</v>
      </c>
      <c r="C13" s="374">
        <v>5380</v>
      </c>
      <c r="D13" s="294" t="s">
        <v>600</v>
      </c>
      <c r="E13" s="369" t="s">
        <v>80</v>
      </c>
      <c r="F13" s="371">
        <f>86+22</f>
        <v>108</v>
      </c>
      <c r="G13" s="681">
        <f>'Assistente Adm II'!E21</f>
        <v>5350.7546316969701</v>
      </c>
      <c r="H13" s="682">
        <f>'Assistente Adm II'!E131</f>
        <v>12203.986443748467</v>
      </c>
      <c r="I13" s="683">
        <f t="shared" ref="I13:I19" si="0">F13*H13</f>
        <v>1318030.5359248344</v>
      </c>
      <c r="J13" s="684">
        <f t="shared" ref="J13:J19" si="1">I13*12</f>
        <v>15816366.431098014</v>
      </c>
      <c r="M13" s="690"/>
    </row>
    <row r="14" spans="1:13" ht="60">
      <c r="A14" s="713"/>
      <c r="B14" s="374">
        <v>3</v>
      </c>
      <c r="C14" s="374">
        <v>5380</v>
      </c>
      <c r="D14" s="294" t="s">
        <v>601</v>
      </c>
      <c r="E14" s="369" t="s">
        <v>80</v>
      </c>
      <c r="F14" s="371">
        <f>19+2</f>
        <v>21</v>
      </c>
      <c r="G14" s="681">
        <f>'Assistente Tec Esp'!E21</f>
        <v>7855.7251459999998</v>
      </c>
      <c r="H14" s="682">
        <f>'Assistente Tec Esp'!E131</f>
        <v>17391.685690029641</v>
      </c>
      <c r="I14" s="683">
        <f t="shared" si="0"/>
        <v>365225.39949062245</v>
      </c>
      <c r="J14" s="684">
        <f t="shared" si="1"/>
        <v>4382704.7938874699</v>
      </c>
      <c r="M14" s="690"/>
    </row>
    <row r="15" spans="1:13" ht="60">
      <c r="A15" s="713"/>
      <c r="B15" s="374">
        <v>4</v>
      </c>
      <c r="C15" s="374">
        <v>5380</v>
      </c>
      <c r="D15" s="294" t="s">
        <v>602</v>
      </c>
      <c r="E15" s="369" t="s">
        <v>80</v>
      </c>
      <c r="F15" s="371">
        <v>17</v>
      </c>
      <c r="G15" s="681">
        <f>'Téc. Secretariado'!E21</f>
        <v>3095</v>
      </c>
      <c r="H15" s="682">
        <f>'Téc. Secretariado'!E131</f>
        <v>7673.9740127857094</v>
      </c>
      <c r="I15" s="683">
        <f t="shared" si="0"/>
        <v>130457.55821735706</v>
      </c>
      <c r="J15" s="684">
        <f t="shared" si="1"/>
        <v>1565490.6986082848</v>
      </c>
      <c r="M15" s="690"/>
    </row>
    <row r="16" spans="1:13" ht="60">
      <c r="A16" s="713"/>
      <c r="B16" s="374">
        <v>5</v>
      </c>
      <c r="C16" s="374">
        <v>5380</v>
      </c>
      <c r="D16" s="294" t="s">
        <v>603</v>
      </c>
      <c r="E16" s="369" t="s">
        <v>80</v>
      </c>
      <c r="F16" s="371">
        <v>38</v>
      </c>
      <c r="G16" s="681">
        <f>'Secretário(a) Executivo(a) I'!E21</f>
        <v>5930.48</v>
      </c>
      <c r="H16" s="682">
        <f>'Secretário(a) Executivo(a) I'!E131</f>
        <v>13578.050620656411</v>
      </c>
      <c r="I16" s="683">
        <f t="shared" si="0"/>
        <v>515965.92358494364</v>
      </c>
      <c r="J16" s="684">
        <f t="shared" si="1"/>
        <v>6191591.0830193236</v>
      </c>
      <c r="M16" s="690"/>
    </row>
    <row r="17" spans="1:13" ht="68.25" customHeight="1">
      <c r="A17" s="713"/>
      <c r="B17" s="374">
        <v>6</v>
      </c>
      <c r="C17" s="374">
        <v>5380</v>
      </c>
      <c r="D17" s="294" t="s">
        <v>604</v>
      </c>
      <c r="E17" s="369" t="s">
        <v>80</v>
      </c>
      <c r="F17" s="371">
        <v>1</v>
      </c>
      <c r="G17" s="681">
        <f>'Secretário(a) Executivo(a) II'!E21</f>
        <v>6718.55</v>
      </c>
      <c r="H17" s="682">
        <f>'Secretário(a) Executivo(a) II'!E131</f>
        <v>15234.176335351138</v>
      </c>
      <c r="I17" s="683">
        <f t="shared" si="0"/>
        <v>15234.176335351138</v>
      </c>
      <c r="J17" s="684">
        <f t="shared" si="1"/>
        <v>182810.11602421367</v>
      </c>
      <c r="M17" s="690"/>
    </row>
    <row r="18" spans="1:13" ht="68.25" customHeight="1">
      <c r="A18" s="713"/>
      <c r="B18" s="374">
        <v>7</v>
      </c>
      <c r="C18" s="374">
        <v>5380</v>
      </c>
      <c r="D18" s="294" t="s">
        <v>605</v>
      </c>
      <c r="E18" s="369" t="s">
        <v>80</v>
      </c>
      <c r="F18" s="371">
        <v>5</v>
      </c>
      <c r="G18" s="685">
        <f>Recepcionista!E21</f>
        <v>2538.29</v>
      </c>
      <c r="H18" s="682">
        <f>Recepcionista!E131</f>
        <v>6625.8637091513156</v>
      </c>
      <c r="I18" s="686">
        <f t="shared" ref="I18" si="2">F18*H18</f>
        <v>33129.318545756578</v>
      </c>
      <c r="J18" s="684">
        <f t="shared" ref="J18" si="3">I18*12</f>
        <v>397551.82254907896</v>
      </c>
      <c r="M18" s="690"/>
    </row>
    <row r="19" spans="1:13" ht="68.25" customHeight="1">
      <c r="A19" s="713"/>
      <c r="B19" s="374">
        <v>8</v>
      </c>
      <c r="C19" s="374">
        <v>5380</v>
      </c>
      <c r="D19" s="294" t="s">
        <v>606</v>
      </c>
      <c r="E19" s="369" t="s">
        <v>80</v>
      </c>
      <c r="F19" s="371">
        <v>1</v>
      </c>
      <c r="G19" s="681">
        <f>'Encarregado Geral'!E21</f>
        <v>4220.33</v>
      </c>
      <c r="H19" s="682">
        <f>'Encarregado Geral'!E131</f>
        <v>9862.9197619860661</v>
      </c>
      <c r="I19" s="683">
        <f t="shared" si="0"/>
        <v>9862.9197619860661</v>
      </c>
      <c r="J19" s="684">
        <f t="shared" si="1"/>
        <v>118355.0371438328</v>
      </c>
      <c r="M19" s="690"/>
    </row>
    <row r="20" spans="1:13" ht="23.25" customHeight="1">
      <c r="A20" s="713"/>
      <c r="B20" s="704" t="s">
        <v>81</v>
      </c>
      <c r="C20" s="704"/>
      <c r="D20" s="704"/>
      <c r="E20" s="704"/>
      <c r="F20" s="375">
        <f>SUM(F12:F19)</f>
        <v>280</v>
      </c>
      <c r="G20" s="375"/>
      <c r="H20" s="372"/>
      <c r="I20" s="687">
        <f>SUM(I12:I19)</f>
        <v>3076670.9302842817</v>
      </c>
      <c r="J20" s="687">
        <f>SUM(J12:J19)</f>
        <v>36920051.163411386</v>
      </c>
      <c r="L20" s="689"/>
      <c r="M20" s="691"/>
    </row>
    <row r="21" spans="1:13" ht="23.25" customHeight="1">
      <c r="A21" s="645"/>
      <c r="B21" s="705" t="s">
        <v>82</v>
      </c>
      <c r="C21" s="706"/>
      <c r="D21" s="706"/>
      <c r="E21" s="706"/>
      <c r="F21" s="706"/>
      <c r="G21" s="706"/>
      <c r="H21" s="706"/>
      <c r="I21" s="707"/>
      <c r="J21" s="688">
        <f>J20</f>
        <v>36920051.163411386</v>
      </c>
    </row>
    <row r="22" spans="1:13" ht="23.25" customHeight="1" thickBot="1">
      <c r="A22" s="708" t="s">
        <v>83</v>
      </c>
      <c r="B22" s="709"/>
      <c r="C22" s="709"/>
      <c r="D22" s="709"/>
      <c r="E22" s="709"/>
      <c r="F22" s="709"/>
      <c r="G22" s="709"/>
      <c r="H22" s="709"/>
      <c r="I22" s="709"/>
      <c r="J22" s="373" t="s">
        <v>84</v>
      </c>
    </row>
    <row r="23" spans="1:13" ht="67.5" customHeight="1">
      <c r="A23" s="710" t="s">
        <v>85</v>
      </c>
      <c r="B23" s="710"/>
      <c r="C23" s="710"/>
      <c r="D23" s="710"/>
      <c r="E23" s="710"/>
      <c r="F23" s="710"/>
      <c r="G23" s="710"/>
      <c r="H23" s="710"/>
      <c r="I23" s="710"/>
      <c r="J23" s="710"/>
    </row>
  </sheetData>
  <mergeCells count="22">
    <mergeCell ref="A1:J1"/>
    <mergeCell ref="A2:J2"/>
    <mergeCell ref="A3:I3"/>
    <mergeCell ref="A4:J4"/>
    <mergeCell ref="A5:J5"/>
    <mergeCell ref="A6:J6"/>
    <mergeCell ref="A7:J7"/>
    <mergeCell ref="A8:J8"/>
    <mergeCell ref="A9:J9"/>
    <mergeCell ref="A10:A11"/>
    <mergeCell ref="B10:B11"/>
    <mergeCell ref="C10:C11"/>
    <mergeCell ref="D10:D11"/>
    <mergeCell ref="E10:E11"/>
    <mergeCell ref="F10:F11"/>
    <mergeCell ref="H10:H11"/>
    <mergeCell ref="B20:E20"/>
    <mergeCell ref="B21:I21"/>
    <mergeCell ref="A22:I22"/>
    <mergeCell ref="A23:J23"/>
    <mergeCell ref="G10:G11"/>
    <mergeCell ref="A12:A20"/>
  </mergeCells>
  <pageMargins left="0.51181102362204722" right="0.51181102362204722" top="1.0629921259842521" bottom="0.78740157480314965" header="0.31496062992125984" footer="0.31496062992125984"/>
  <pageSetup paperSize="9" scale="62" fitToHeight="0" orientation="portrait" r:id="rId1"/>
  <headerFooter>
    <oddFooter>&amp;F&amp;RPágina &amp;P</oddFooter>
  </headerFooter>
  <colBreaks count="1" manualBreakCount="1">
    <brk id="8" max="1048575" man="1"/>
  </colBreak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7"/>
  <dimension ref="A1:D34"/>
  <sheetViews>
    <sheetView view="pageBreakPreview" zoomScale="90" zoomScaleNormal="110" zoomScaleSheetLayoutView="90" workbookViewId="0">
      <selection activeCell="D36" sqref="D36"/>
    </sheetView>
  </sheetViews>
  <sheetFormatPr defaultRowHeight="15"/>
  <cols>
    <col min="1" max="1" width="63.7109375" customWidth="1"/>
    <col min="2" max="2" width="45.5703125" customWidth="1"/>
  </cols>
  <sheetData>
    <row r="1" spans="1:2">
      <c r="A1" s="256"/>
      <c r="B1" s="256"/>
    </row>
    <row r="2" spans="1:2">
      <c r="A2" s="77"/>
      <c r="B2" s="256"/>
    </row>
    <row r="3" spans="1:2">
      <c r="A3" s="256"/>
      <c r="B3" s="256"/>
    </row>
    <row r="4" spans="1:2">
      <c r="A4" s="256"/>
      <c r="B4" s="256"/>
    </row>
    <row r="5" spans="1:2">
      <c r="A5" s="256"/>
      <c r="B5" s="256"/>
    </row>
    <row r="6" spans="1:2">
      <c r="A6" s="722" t="s">
        <v>86</v>
      </c>
      <c r="B6" s="722"/>
    </row>
    <row r="7" spans="1:2">
      <c r="A7" s="722" t="s">
        <v>87</v>
      </c>
      <c r="B7" s="722"/>
    </row>
    <row r="8" spans="1:2" ht="47.25" customHeight="1">
      <c r="A8" s="723" t="s">
        <v>88</v>
      </c>
      <c r="B8" s="723"/>
    </row>
    <row r="9" spans="1:2">
      <c r="A9" s="723" t="s">
        <v>89</v>
      </c>
      <c r="B9" s="723"/>
    </row>
    <row r="10" spans="1:2">
      <c r="A10" s="724" t="s">
        <v>90</v>
      </c>
      <c r="B10" s="724"/>
    </row>
    <row r="11" spans="1:2">
      <c r="A11" s="78"/>
      <c r="B11" s="78"/>
    </row>
    <row r="12" spans="1:2">
      <c r="A12" s="725" t="s">
        <v>91</v>
      </c>
      <c r="B12" s="725" t="s">
        <v>92</v>
      </c>
    </row>
    <row r="13" spans="1:2">
      <c r="A13" s="726"/>
      <c r="B13" s="727"/>
    </row>
    <row r="14" spans="1:2" ht="15.75">
      <c r="A14" s="88" t="s">
        <v>93</v>
      </c>
      <c r="B14" s="98">
        <f>B15+B21+B28+B32</f>
        <v>12371.669999999998</v>
      </c>
    </row>
    <row r="15" spans="1:2" ht="15.75">
      <c r="A15" s="89" t="s">
        <v>94</v>
      </c>
      <c r="B15" s="99">
        <f>SUM(B16:B20)</f>
        <v>3609.2599999999998</v>
      </c>
    </row>
    <row r="16" spans="1:2" ht="15.75">
      <c r="A16" s="90" t="s">
        <v>95</v>
      </c>
      <c r="B16" s="100">
        <v>186.22</v>
      </c>
    </row>
    <row r="17" spans="1:4" ht="15.75">
      <c r="A17" s="90" t="s">
        <v>96</v>
      </c>
      <c r="B17" s="100">
        <v>3113.67</v>
      </c>
    </row>
    <row r="18" spans="1:4" ht="15.75">
      <c r="A18" s="90" t="s">
        <v>97</v>
      </c>
      <c r="B18" s="100">
        <v>153.69999999999999</v>
      </c>
    </row>
    <row r="19" spans="1:4" ht="31.5">
      <c r="A19" s="90" t="s">
        <v>98</v>
      </c>
      <c r="B19" s="100">
        <v>56</v>
      </c>
    </row>
    <row r="20" spans="1:4" ht="15.75">
      <c r="A20" s="90" t="s">
        <v>99</v>
      </c>
      <c r="B20" s="100">
        <v>99.67</v>
      </c>
    </row>
    <row r="21" spans="1:4" ht="15.75">
      <c r="A21" s="89" t="s">
        <v>100</v>
      </c>
      <c r="B21" s="99">
        <f>SUM(B22:B27)</f>
        <v>3401.3100000000004</v>
      </c>
    </row>
    <row r="22" spans="1:4" ht="31.5">
      <c r="A22" s="90" t="s">
        <v>101</v>
      </c>
      <c r="B22" s="100">
        <v>153.69999999999999</v>
      </c>
    </row>
    <row r="23" spans="1:4" ht="15.75">
      <c r="A23" s="90" t="s">
        <v>102</v>
      </c>
      <c r="B23" s="100">
        <v>1385.5</v>
      </c>
      <c r="D23" s="249"/>
    </row>
    <row r="24" spans="1:4" ht="15.75">
      <c r="A24" s="90" t="s">
        <v>103</v>
      </c>
      <c r="B24" s="100">
        <v>441.5</v>
      </c>
    </row>
    <row r="25" spans="1:4" ht="31.5">
      <c r="A25" s="90" t="s">
        <v>104</v>
      </c>
      <c r="B25" s="100">
        <v>384.73</v>
      </c>
    </row>
    <row r="26" spans="1:4" ht="15.75">
      <c r="A26" s="90" t="s">
        <v>105</v>
      </c>
      <c r="B26" s="100">
        <v>594.38</v>
      </c>
    </row>
    <row r="27" spans="1:4" ht="31.5">
      <c r="A27" s="90" t="s">
        <v>106</v>
      </c>
      <c r="B27" s="100">
        <v>441.5</v>
      </c>
    </row>
    <row r="28" spans="1:4" ht="15.75">
      <c r="A28" s="89" t="s">
        <v>107</v>
      </c>
      <c r="B28" s="99">
        <f>SUM(B29:B31)</f>
        <v>3204.3</v>
      </c>
    </row>
    <row r="29" spans="1:4" ht="31.5">
      <c r="A29" s="90" t="s">
        <v>108</v>
      </c>
      <c r="B29" s="100">
        <v>1068.0999999999999</v>
      </c>
    </row>
    <row r="30" spans="1:4" ht="31.5">
      <c r="A30" s="90" t="s">
        <v>109</v>
      </c>
      <c r="B30" s="100">
        <v>534.04999999999995</v>
      </c>
      <c r="C30" s="249"/>
    </row>
    <row r="31" spans="1:4" ht="15.75">
      <c r="A31" s="90" t="s">
        <v>110</v>
      </c>
      <c r="B31" s="100">
        <v>1602.15</v>
      </c>
    </row>
    <row r="32" spans="1:4" ht="15.75">
      <c r="A32" s="91" t="s">
        <v>111</v>
      </c>
      <c r="B32" s="101">
        <f>B33</f>
        <v>2156.8000000000002</v>
      </c>
      <c r="D32" s="249">
        <f>SUM(B28,B32)</f>
        <v>5361.1</v>
      </c>
    </row>
    <row r="33" spans="1:2" ht="15.75">
      <c r="A33" s="177" t="s">
        <v>112</v>
      </c>
      <c r="B33" s="100">
        <v>2156.8000000000002</v>
      </c>
    </row>
    <row r="34" spans="1:2">
      <c r="A34" s="720" t="s">
        <v>113</v>
      </c>
      <c r="B34" s="721"/>
    </row>
  </sheetData>
  <mergeCells count="8">
    <mergeCell ref="A34:B34"/>
    <mergeCell ref="A6:B6"/>
    <mergeCell ref="A7:B7"/>
    <mergeCell ref="A8:B8"/>
    <mergeCell ref="A9:B9"/>
    <mergeCell ref="A10:B10"/>
    <mergeCell ref="A12:A13"/>
    <mergeCell ref="B12:B13"/>
  </mergeCells>
  <pageMargins left="0.7" right="0.7" top="0.75" bottom="0.75" header="0.3" footer="0.3"/>
  <pageSetup paperSize="9" scale="80" orientation="portrait" r:id="rId1"/>
  <colBreaks count="1" manualBreakCount="1">
    <brk id="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8"/>
  <dimension ref="A1:G34"/>
  <sheetViews>
    <sheetView view="pageBreakPreview" zoomScale="80" zoomScaleNormal="100" zoomScaleSheetLayoutView="80" workbookViewId="0">
      <selection activeCell="C25" sqref="C25"/>
    </sheetView>
  </sheetViews>
  <sheetFormatPr defaultRowHeight="15"/>
  <cols>
    <col min="1" max="1" width="76.140625" customWidth="1"/>
    <col min="2" max="2" width="18.7109375" customWidth="1"/>
    <col min="3" max="3" width="16.85546875" customWidth="1"/>
    <col min="4" max="4" width="12.85546875" customWidth="1"/>
    <col min="5" max="5" width="15.28515625" customWidth="1"/>
    <col min="6" max="6" width="16" customWidth="1"/>
    <col min="7" max="7" width="14.85546875" customWidth="1"/>
  </cols>
  <sheetData>
    <row r="1" spans="1:7">
      <c r="A1" s="256"/>
      <c r="B1" s="256"/>
      <c r="C1" s="256"/>
      <c r="D1" s="256"/>
      <c r="E1" s="256"/>
      <c r="F1" s="256"/>
      <c r="G1" s="256"/>
    </row>
    <row r="2" spans="1:7">
      <c r="A2" s="256"/>
      <c r="B2" s="256"/>
      <c r="C2" s="256"/>
      <c r="D2" s="256"/>
      <c r="E2" s="256"/>
      <c r="F2" s="256"/>
      <c r="G2" s="256"/>
    </row>
    <row r="3" spans="1:7">
      <c r="A3" s="256"/>
      <c r="B3" s="256"/>
      <c r="C3" s="256"/>
      <c r="D3" s="256"/>
      <c r="E3" s="256"/>
      <c r="F3" s="256"/>
      <c r="G3" s="256"/>
    </row>
    <row r="4" spans="1:7">
      <c r="A4" s="256"/>
      <c r="B4" s="256"/>
      <c r="C4" s="256"/>
      <c r="D4" s="256"/>
      <c r="E4" s="256"/>
      <c r="F4" s="256"/>
      <c r="G4" s="256"/>
    </row>
    <row r="5" spans="1:7">
      <c r="A5" s="256"/>
      <c r="B5" s="256"/>
      <c r="C5" s="256"/>
      <c r="D5" s="256"/>
      <c r="E5" s="256"/>
      <c r="F5" s="256"/>
      <c r="G5" s="256"/>
    </row>
    <row r="6" spans="1:7">
      <c r="A6" s="722" t="s">
        <v>86</v>
      </c>
      <c r="B6" s="722"/>
      <c r="C6" s="722"/>
      <c r="D6" s="722"/>
      <c r="E6" s="722"/>
      <c r="F6" s="722"/>
      <c r="G6" s="722"/>
    </row>
    <row r="7" spans="1:7">
      <c r="A7" s="722" t="s">
        <v>87</v>
      </c>
      <c r="B7" s="722"/>
      <c r="C7" s="722"/>
      <c r="D7" s="722"/>
      <c r="E7" s="722"/>
      <c r="F7" s="722"/>
      <c r="G7" s="722"/>
    </row>
    <row r="8" spans="1:7">
      <c r="A8" s="723" t="s">
        <v>88</v>
      </c>
      <c r="B8" s="723"/>
      <c r="C8" s="723"/>
      <c r="D8" s="723"/>
      <c r="E8" s="723"/>
      <c r="F8" s="723"/>
      <c r="G8" s="723"/>
    </row>
    <row r="9" spans="1:7">
      <c r="A9" s="723" t="s">
        <v>89</v>
      </c>
      <c r="B9" s="723"/>
      <c r="C9" s="723"/>
      <c r="D9" s="723"/>
      <c r="E9" s="723"/>
      <c r="F9" s="723"/>
      <c r="G9" s="723"/>
    </row>
    <row r="10" spans="1:7">
      <c r="A10" s="724" t="s">
        <v>114</v>
      </c>
      <c r="B10" s="724"/>
      <c r="C10" s="724"/>
      <c r="D10" s="724"/>
      <c r="E10" s="724"/>
      <c r="F10" s="724"/>
      <c r="G10" s="724"/>
    </row>
    <row r="11" spans="1:7">
      <c r="A11" s="78"/>
      <c r="B11" s="78"/>
      <c r="C11" s="256"/>
      <c r="D11" s="256"/>
      <c r="E11" s="256"/>
      <c r="F11" s="256"/>
      <c r="G11" s="256"/>
    </row>
    <row r="12" spans="1:7">
      <c r="A12" s="731" t="s">
        <v>91</v>
      </c>
      <c r="B12" s="84" t="s">
        <v>115</v>
      </c>
      <c r="C12" s="178" t="s">
        <v>116</v>
      </c>
      <c r="D12" s="178" t="s">
        <v>117</v>
      </c>
      <c r="E12" s="178" t="s">
        <v>118</v>
      </c>
      <c r="F12" s="178" t="s">
        <v>119</v>
      </c>
      <c r="G12" s="179" t="s">
        <v>120</v>
      </c>
    </row>
    <row r="13" spans="1:7" ht="60">
      <c r="A13" s="732"/>
      <c r="B13" s="85" t="s">
        <v>121</v>
      </c>
      <c r="C13" s="92" t="s">
        <v>122</v>
      </c>
      <c r="D13" s="92" t="s">
        <v>123</v>
      </c>
      <c r="E13" s="92" t="s">
        <v>124</v>
      </c>
      <c r="F13" s="92" t="s">
        <v>125</v>
      </c>
      <c r="G13" s="92" t="s">
        <v>126</v>
      </c>
    </row>
    <row r="14" spans="1:7">
      <c r="A14" s="79" t="s">
        <v>93</v>
      </c>
      <c r="B14" s="80">
        <f>Áreas!B14</f>
        <v>12371.669999999998</v>
      </c>
      <c r="C14" s="180" t="s">
        <v>127</v>
      </c>
      <c r="D14" s="181" t="s">
        <v>127</v>
      </c>
      <c r="E14" s="181" t="s">
        <v>127</v>
      </c>
      <c r="F14" s="181" t="s">
        <v>127</v>
      </c>
      <c r="G14" s="104">
        <f>SUM(G16:G33)</f>
        <v>7.8947811451116863</v>
      </c>
    </row>
    <row r="15" spans="1:7">
      <c r="A15" s="81" t="s">
        <v>94</v>
      </c>
      <c r="B15" s="82">
        <f>Áreas!B15</f>
        <v>3609.2599999999998</v>
      </c>
      <c r="C15" s="182" t="s">
        <v>127</v>
      </c>
      <c r="D15" s="183" t="s">
        <v>127</v>
      </c>
      <c r="E15" s="183" t="s">
        <v>127</v>
      </c>
      <c r="F15" s="183" t="s">
        <v>127</v>
      </c>
      <c r="G15" s="183" t="s">
        <v>127</v>
      </c>
    </row>
    <row r="16" spans="1:7" ht="15.75">
      <c r="A16" s="90" t="s">
        <v>95</v>
      </c>
      <c r="B16" s="184">
        <f>Áreas!B16</f>
        <v>186.22</v>
      </c>
      <c r="C16" s="185">
        <v>800</v>
      </c>
      <c r="D16" s="186" t="s">
        <v>128</v>
      </c>
      <c r="E16" s="187">
        <v>188.76</v>
      </c>
      <c r="F16" s="188">
        <v>1</v>
      </c>
      <c r="G16" s="189">
        <f>(B16/C16)*F16</f>
        <v>0.23277500000000001</v>
      </c>
    </row>
    <row r="17" spans="1:7" ht="15.75">
      <c r="A17" s="90" t="s">
        <v>96</v>
      </c>
      <c r="B17" s="184">
        <f>Áreas!B17</f>
        <v>3113.67</v>
      </c>
      <c r="C17" s="185">
        <v>800</v>
      </c>
      <c r="D17" s="186" t="s">
        <v>128</v>
      </c>
      <c r="E17" s="187">
        <v>188.76</v>
      </c>
      <c r="F17" s="188">
        <v>1</v>
      </c>
      <c r="G17" s="189">
        <f t="shared" ref="G17:G20" si="0">(B17/C17)*F17</f>
        <v>3.8920875000000001</v>
      </c>
    </row>
    <row r="18" spans="1:7" ht="15.75">
      <c r="A18" s="90" t="s">
        <v>97</v>
      </c>
      <c r="B18" s="184">
        <f>Áreas!B18</f>
        <v>153.69999999999999</v>
      </c>
      <c r="C18" s="185">
        <v>1500</v>
      </c>
      <c r="D18" s="186" t="s">
        <v>128</v>
      </c>
      <c r="E18" s="187">
        <v>188.76</v>
      </c>
      <c r="F18" s="188">
        <v>1</v>
      </c>
      <c r="G18" s="189">
        <f t="shared" si="0"/>
        <v>0.10246666666666666</v>
      </c>
    </row>
    <row r="19" spans="1:7" ht="15.75">
      <c r="A19" s="242" t="s">
        <v>98</v>
      </c>
      <c r="B19" s="184">
        <f>Áreas!B19</f>
        <v>56</v>
      </c>
      <c r="C19" s="185">
        <v>1000</v>
      </c>
      <c r="D19" s="186" t="s">
        <v>128</v>
      </c>
      <c r="E19" s="187">
        <v>188.76</v>
      </c>
      <c r="F19" s="188">
        <v>1</v>
      </c>
      <c r="G19" s="189">
        <f t="shared" si="0"/>
        <v>5.6000000000000001E-2</v>
      </c>
    </row>
    <row r="20" spans="1:7" ht="15.75">
      <c r="A20" s="90" t="s">
        <v>99</v>
      </c>
      <c r="B20" s="184">
        <f>Áreas!B20</f>
        <v>99.67</v>
      </c>
      <c r="C20" s="185">
        <v>200</v>
      </c>
      <c r="D20" s="186" t="s">
        <v>128</v>
      </c>
      <c r="E20" s="187">
        <v>188.76</v>
      </c>
      <c r="F20" s="188">
        <v>1</v>
      </c>
      <c r="G20" s="189">
        <f t="shared" si="0"/>
        <v>0.49835000000000002</v>
      </c>
    </row>
    <row r="21" spans="1:7">
      <c r="A21" s="81" t="s">
        <v>100</v>
      </c>
      <c r="B21" s="102">
        <f>Áreas!B21</f>
        <v>3401.3100000000004</v>
      </c>
      <c r="C21" s="190"/>
      <c r="D21" s="191" t="s">
        <v>127</v>
      </c>
      <c r="E21" s="191" t="s">
        <v>127</v>
      </c>
      <c r="F21" s="191" t="s">
        <v>127</v>
      </c>
      <c r="G21" s="191" t="s">
        <v>127</v>
      </c>
    </row>
    <row r="22" spans="1:7" ht="14.25" customHeight="1">
      <c r="A22" s="90" t="s">
        <v>101</v>
      </c>
      <c r="B22" s="184">
        <f>Áreas!B22</f>
        <v>153.69999999999999</v>
      </c>
      <c r="C22" s="192">
        <v>1800</v>
      </c>
      <c r="D22" s="186" t="s">
        <v>128</v>
      </c>
      <c r="E22" s="187">
        <v>188.76</v>
      </c>
      <c r="F22" s="188">
        <v>1</v>
      </c>
      <c r="G22" s="189">
        <f>(B22/C22)*F22</f>
        <v>8.5388888888888889E-2</v>
      </c>
    </row>
    <row r="23" spans="1:7" ht="15.75">
      <c r="A23" s="90" t="s">
        <v>102</v>
      </c>
      <c r="B23" s="184">
        <f>Áreas!B23</f>
        <v>1385.5</v>
      </c>
      <c r="C23" s="192">
        <v>6000</v>
      </c>
      <c r="D23" s="186" t="s">
        <v>128</v>
      </c>
      <c r="E23" s="187">
        <v>188.76</v>
      </c>
      <c r="F23" s="188">
        <v>1</v>
      </c>
      <c r="G23" s="189">
        <f t="shared" ref="G23:G27" si="1">(B23/C23)*F23</f>
        <v>0.23091666666666666</v>
      </c>
    </row>
    <row r="24" spans="1:7" ht="15.75">
      <c r="A24" s="90" t="s">
        <v>103</v>
      </c>
      <c r="B24" s="184">
        <f>Áreas!B24</f>
        <v>441.5</v>
      </c>
      <c r="C24" s="192">
        <v>1800</v>
      </c>
      <c r="D24" s="186" t="s">
        <v>128</v>
      </c>
      <c r="E24" s="187">
        <v>188.76</v>
      </c>
      <c r="F24" s="188">
        <v>1</v>
      </c>
      <c r="G24" s="189">
        <f t="shared" si="1"/>
        <v>0.24527777777777779</v>
      </c>
    </row>
    <row r="25" spans="1:7" ht="15.75">
      <c r="A25" s="90" t="s">
        <v>104</v>
      </c>
      <c r="B25" s="184">
        <f>Áreas!B25</f>
        <v>384.73</v>
      </c>
      <c r="C25" s="192">
        <v>1800</v>
      </c>
      <c r="D25" s="186" t="s">
        <v>128</v>
      </c>
      <c r="E25" s="187">
        <v>188.76</v>
      </c>
      <c r="F25" s="188">
        <v>1</v>
      </c>
      <c r="G25" s="189">
        <f t="shared" si="1"/>
        <v>0.21373888888888889</v>
      </c>
    </row>
    <row r="26" spans="1:7" ht="15.75">
      <c r="A26" s="90" t="s">
        <v>105</v>
      </c>
      <c r="B26" s="184">
        <f>Áreas!B26</f>
        <v>594.38</v>
      </c>
      <c r="C26" s="192">
        <v>1800</v>
      </c>
      <c r="D26" s="186" t="s">
        <v>128</v>
      </c>
      <c r="E26" s="187">
        <v>188.76</v>
      </c>
      <c r="F26" s="188">
        <v>1</v>
      </c>
      <c r="G26" s="189">
        <f t="shared" si="1"/>
        <v>0.33021111111111112</v>
      </c>
    </row>
    <row r="27" spans="1:7" ht="15.75" customHeight="1">
      <c r="A27" s="90" t="s">
        <v>106</v>
      </c>
      <c r="B27" s="184">
        <f>Áreas!B27</f>
        <v>441.5</v>
      </c>
      <c r="C27" s="192">
        <v>100000</v>
      </c>
      <c r="D27" s="186" t="s">
        <v>128</v>
      </c>
      <c r="E27" s="187">
        <v>188.76</v>
      </c>
      <c r="F27" s="188">
        <v>1</v>
      </c>
      <c r="G27" s="281">
        <f t="shared" si="1"/>
        <v>4.4149999999999997E-3</v>
      </c>
    </row>
    <row r="28" spans="1:7">
      <c r="A28" s="81" t="s">
        <v>107</v>
      </c>
      <c r="B28" s="102">
        <f>Áreas!B28</f>
        <v>3204.3</v>
      </c>
      <c r="C28" s="190"/>
      <c r="D28" s="191" t="s">
        <v>127</v>
      </c>
      <c r="E28" s="191" t="s">
        <v>127</v>
      </c>
      <c r="F28" s="191" t="s">
        <v>127</v>
      </c>
      <c r="G28" s="191" t="s">
        <v>127</v>
      </c>
    </row>
    <row r="29" spans="1:7" ht="15.75">
      <c r="A29" s="90" t="s">
        <v>108</v>
      </c>
      <c r="B29" s="184">
        <f>Áreas!B29</f>
        <v>1068.0999999999999</v>
      </c>
      <c r="C29" s="185">
        <v>130</v>
      </c>
      <c r="D29" s="186" t="s">
        <v>129</v>
      </c>
      <c r="E29" s="187">
        <v>16</v>
      </c>
      <c r="F29" s="188">
        <f>(E29/$E$16)*$F$16</f>
        <v>8.47637211273575E-2</v>
      </c>
      <c r="G29" s="189">
        <f>(B29/C29)*F29</f>
        <v>0.69643177335485029</v>
      </c>
    </row>
    <row r="30" spans="1:7" ht="15.75">
      <c r="A30" s="90" t="s">
        <v>109</v>
      </c>
      <c r="B30" s="193">
        <f>Áreas!B30</f>
        <v>534.04999999999995</v>
      </c>
      <c r="C30" s="194">
        <v>300</v>
      </c>
      <c r="D30" s="195" t="s">
        <v>129</v>
      </c>
      <c r="E30" s="196">
        <v>16</v>
      </c>
      <c r="F30" s="188">
        <f t="shared" ref="F30:F33" si="2">(E30/$E$16)*$F$16</f>
        <v>8.47637211273575E-2</v>
      </c>
      <c r="G30" s="189">
        <f t="shared" ref="G30:G31" si="3">(B30/C30)*F30</f>
        <v>0.15089355089355089</v>
      </c>
    </row>
    <row r="31" spans="1:7" ht="15.75">
      <c r="A31" s="90" t="s">
        <v>110</v>
      </c>
      <c r="B31" s="198">
        <f>Áreas!B31</f>
        <v>1602.15</v>
      </c>
      <c r="C31" s="571">
        <v>300</v>
      </c>
      <c r="D31" s="572" t="s">
        <v>129</v>
      </c>
      <c r="E31" s="573">
        <v>16</v>
      </c>
      <c r="F31" s="188">
        <f t="shared" si="2"/>
        <v>8.47637211273575E-2</v>
      </c>
      <c r="G31" s="189">
        <f t="shared" si="3"/>
        <v>0.45268065268065277</v>
      </c>
    </row>
    <row r="32" spans="1:7">
      <c r="A32" s="83" t="s">
        <v>111</v>
      </c>
      <c r="B32" s="103">
        <f>Áreas!B32</f>
        <v>2156.8000000000002</v>
      </c>
      <c r="C32" s="574"/>
      <c r="D32" s="575" t="s">
        <v>127</v>
      </c>
      <c r="E32" s="575" t="s">
        <v>127</v>
      </c>
      <c r="F32" s="199"/>
      <c r="G32" s="200" t="s">
        <v>127</v>
      </c>
    </row>
    <row r="33" spans="1:7">
      <c r="A33" s="197" t="s">
        <v>112</v>
      </c>
      <c r="B33" s="198">
        <f>Áreas!B33</f>
        <v>2156.8000000000002</v>
      </c>
      <c r="C33" s="571">
        <v>130</v>
      </c>
      <c r="D33" s="572" t="s">
        <v>130</v>
      </c>
      <c r="E33" s="573">
        <v>8</v>
      </c>
      <c r="F33" s="188">
        <f t="shared" si="2"/>
        <v>4.238186056367875E-2</v>
      </c>
      <c r="G33" s="576">
        <f>(B33/C33)*F33</f>
        <v>0.70314766818263341</v>
      </c>
    </row>
    <row r="34" spans="1:7">
      <c r="A34" s="728" t="s">
        <v>131</v>
      </c>
      <c r="B34" s="729"/>
      <c r="C34" s="729"/>
      <c r="D34" s="729"/>
      <c r="E34" s="729"/>
      <c r="F34" s="730"/>
      <c r="G34" s="282">
        <f>ROUND(G14,0)</f>
        <v>8</v>
      </c>
    </row>
  </sheetData>
  <mergeCells count="7">
    <mergeCell ref="A34:F34"/>
    <mergeCell ref="A6:G6"/>
    <mergeCell ref="A7:G7"/>
    <mergeCell ref="A8:G8"/>
    <mergeCell ref="A9:G9"/>
    <mergeCell ref="A10:G10"/>
    <mergeCell ref="A12:A1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9"/>
  <dimension ref="A1:N33"/>
  <sheetViews>
    <sheetView view="pageBreakPreview" zoomScale="80" zoomScaleNormal="90" zoomScaleSheetLayoutView="80" workbookViewId="0">
      <selection activeCell="C25" sqref="C25"/>
    </sheetView>
  </sheetViews>
  <sheetFormatPr defaultRowHeight="15"/>
  <cols>
    <col min="1" max="1" width="86.28515625" bestFit="1" customWidth="1"/>
    <col min="2" max="2" width="22" bestFit="1" customWidth="1"/>
    <col min="3" max="4" width="10.28515625" customWidth="1"/>
    <col min="5" max="5" width="19.28515625" bestFit="1" customWidth="1"/>
    <col min="6" max="6" width="16.140625" customWidth="1"/>
    <col min="7" max="7" width="14.28515625" customWidth="1"/>
    <col min="8" max="8" width="15.42578125" customWidth="1"/>
    <col min="9" max="9" width="13.5703125" customWidth="1"/>
    <col min="10" max="10" width="23.42578125" bestFit="1" customWidth="1"/>
    <col min="11" max="11" width="14" customWidth="1"/>
    <col min="13" max="13" width="13.85546875" bestFit="1" customWidth="1"/>
    <col min="14" max="14" width="12.140625" bestFit="1" customWidth="1"/>
  </cols>
  <sheetData>
    <row r="1" spans="1:11">
      <c r="A1" s="256"/>
      <c r="B1" s="256"/>
      <c r="C1" s="256"/>
      <c r="D1" s="256"/>
      <c r="E1" s="256"/>
      <c r="F1" s="256"/>
      <c r="G1" s="256"/>
    </row>
    <row r="2" spans="1:11">
      <c r="A2" s="256"/>
      <c r="B2" s="256"/>
      <c r="C2" s="256"/>
      <c r="D2" s="256"/>
      <c r="E2" s="256"/>
      <c r="F2" s="256"/>
      <c r="G2" s="256"/>
    </row>
    <row r="3" spans="1:11">
      <c r="A3" s="256"/>
      <c r="B3" s="256"/>
      <c r="C3" s="256"/>
      <c r="D3" s="256"/>
      <c r="E3" s="256"/>
      <c r="F3" s="256"/>
      <c r="G3" s="256"/>
    </row>
    <row r="4" spans="1:11">
      <c r="A4" s="256"/>
      <c r="B4" s="256"/>
      <c r="C4" s="256"/>
      <c r="D4" s="256"/>
      <c r="E4" s="256"/>
      <c r="F4" s="256"/>
      <c r="G4" s="256"/>
    </row>
    <row r="5" spans="1:11">
      <c r="A5" s="256"/>
      <c r="B5" s="256"/>
      <c r="C5" s="256"/>
      <c r="D5" s="256"/>
      <c r="E5" s="256"/>
      <c r="F5" s="256"/>
      <c r="G5" s="256"/>
    </row>
    <row r="6" spans="1:11">
      <c r="A6" s="722" t="s">
        <v>86</v>
      </c>
      <c r="B6" s="722"/>
      <c r="C6" s="722"/>
      <c r="D6" s="722"/>
      <c r="E6" s="722"/>
      <c r="F6" s="722"/>
      <c r="G6" s="722"/>
    </row>
    <row r="7" spans="1:11">
      <c r="A7" s="722" t="s">
        <v>87</v>
      </c>
      <c r="B7" s="722"/>
      <c r="C7" s="722"/>
      <c r="D7" s="722"/>
      <c r="E7" s="722"/>
      <c r="F7" s="722"/>
      <c r="G7" s="722"/>
    </row>
    <row r="8" spans="1:11">
      <c r="A8" s="723" t="s">
        <v>88</v>
      </c>
      <c r="B8" s="723"/>
      <c r="C8" s="723"/>
      <c r="D8" s="723"/>
      <c r="E8" s="723"/>
      <c r="F8" s="723"/>
      <c r="G8" s="723"/>
    </row>
    <row r="9" spans="1:11">
      <c r="A9" s="723" t="s">
        <v>89</v>
      </c>
      <c r="B9" s="723"/>
      <c r="C9" s="723"/>
      <c r="D9" s="723"/>
      <c r="E9" s="723"/>
      <c r="F9" s="723"/>
      <c r="G9" s="723"/>
    </row>
    <row r="10" spans="1:11">
      <c r="A10" s="724" t="s">
        <v>132</v>
      </c>
      <c r="B10" s="724"/>
      <c r="C10" s="724"/>
      <c r="D10" s="724"/>
      <c r="E10" s="724"/>
      <c r="F10" s="724"/>
      <c r="G10" s="724"/>
    </row>
    <row r="12" spans="1:11" ht="15.75">
      <c r="A12" s="201" t="s">
        <v>133</v>
      </c>
      <c r="B12" s="202" t="s">
        <v>127</v>
      </c>
      <c r="C12" s="202" t="s">
        <v>127</v>
      </c>
      <c r="D12" s="577" t="s">
        <v>127</v>
      </c>
      <c r="E12" s="202" t="s">
        <v>127</v>
      </c>
      <c r="F12" s="202" t="s">
        <v>127</v>
      </c>
      <c r="G12" s="202" t="s">
        <v>127</v>
      </c>
      <c r="H12" s="202" t="s">
        <v>127</v>
      </c>
      <c r="I12" s="202" t="s">
        <v>127</v>
      </c>
      <c r="J12" s="202" t="s">
        <v>127</v>
      </c>
      <c r="K12" s="202" t="s">
        <v>127</v>
      </c>
    </row>
    <row r="13" spans="1:11" ht="95.25" thickBot="1">
      <c r="A13" s="203" t="s">
        <v>134</v>
      </c>
      <c r="B13" s="204" t="s">
        <v>135</v>
      </c>
      <c r="C13" s="205" t="s">
        <v>136</v>
      </c>
      <c r="D13" s="206" t="s">
        <v>137</v>
      </c>
      <c r="E13" s="204" t="s">
        <v>138</v>
      </c>
      <c r="F13" s="204" t="s">
        <v>139</v>
      </c>
      <c r="G13" s="204" t="s">
        <v>140</v>
      </c>
      <c r="H13" s="204" t="s">
        <v>141</v>
      </c>
      <c r="I13" s="204" t="s">
        <v>142</v>
      </c>
      <c r="J13" s="204" t="s">
        <v>143</v>
      </c>
      <c r="K13" s="207" t="s">
        <v>144</v>
      </c>
    </row>
    <row r="14" spans="1:11" ht="15.75">
      <c r="A14" s="208" t="s">
        <v>145</v>
      </c>
      <c r="B14" s="209">
        <f>B15+B21+B28+B32</f>
        <v>12371.669999999998</v>
      </c>
      <c r="C14" s="210" t="s">
        <v>127</v>
      </c>
      <c r="D14" s="210" t="s">
        <v>127</v>
      </c>
      <c r="E14" s="210" t="s">
        <v>127</v>
      </c>
      <c r="F14" s="210" t="s">
        <v>127</v>
      </c>
      <c r="G14" s="210" t="s">
        <v>127</v>
      </c>
      <c r="H14" s="210" t="s">
        <v>127</v>
      </c>
      <c r="I14" s="210" t="s">
        <v>127</v>
      </c>
      <c r="J14" s="240" t="e">
        <f>SUM(J16:J33)</f>
        <v>#REF!</v>
      </c>
      <c r="K14" s="733" t="e">
        <f>J14/B14</f>
        <v>#REF!</v>
      </c>
    </row>
    <row r="15" spans="1:11" ht="15.75">
      <c r="A15" s="211" t="s">
        <v>94</v>
      </c>
      <c r="B15" s="212">
        <f>SUM(B16:B20)</f>
        <v>3609.2599999999998</v>
      </c>
      <c r="C15" s="213" t="s">
        <v>127</v>
      </c>
      <c r="D15" s="213" t="s">
        <v>127</v>
      </c>
      <c r="E15" s="213" t="s">
        <v>127</v>
      </c>
      <c r="F15" s="213" t="s">
        <v>127</v>
      </c>
      <c r="G15" s="213" t="s">
        <v>127</v>
      </c>
      <c r="H15" s="213" t="s">
        <v>127</v>
      </c>
      <c r="I15" s="213" t="s">
        <v>127</v>
      </c>
      <c r="J15" s="214" t="s">
        <v>127</v>
      </c>
      <c r="K15" s="734"/>
    </row>
    <row r="16" spans="1:11" ht="15.75">
      <c r="A16" s="222" t="s">
        <v>95</v>
      </c>
      <c r="B16" s="215">
        <f>'Cálculo do Número de Serventes'!B16</f>
        <v>186.22</v>
      </c>
      <c r="C16" s="216">
        <v>800</v>
      </c>
      <c r="D16" s="217">
        <f>1/C16</f>
        <v>1.25E-3</v>
      </c>
      <c r="E16" s="218" t="s">
        <v>146</v>
      </c>
      <c r="F16" s="217">
        <v>188.76</v>
      </c>
      <c r="G16" s="219">
        <v>1</v>
      </c>
      <c r="H16" s="220" t="e">
        <f>'Servente de Limpeza'!E137</f>
        <v>#REF!</v>
      </c>
      <c r="I16" s="220" t="e">
        <f>D16*G16*H16</f>
        <v>#REF!</v>
      </c>
      <c r="J16" s="221" t="e">
        <f>I16*B16</f>
        <v>#REF!</v>
      </c>
      <c r="K16" s="734"/>
    </row>
    <row r="17" spans="1:14" ht="15.75">
      <c r="A17" s="222" t="s">
        <v>96</v>
      </c>
      <c r="B17" s="215">
        <f>'Cálculo do Número de Serventes'!B17</f>
        <v>3113.67</v>
      </c>
      <c r="C17" s="216">
        <v>800</v>
      </c>
      <c r="D17" s="217">
        <f t="shared" ref="D17:D20" si="0">1/C17</f>
        <v>1.25E-3</v>
      </c>
      <c r="E17" s="218" t="s">
        <v>146</v>
      </c>
      <c r="F17" s="217">
        <v>188.76</v>
      </c>
      <c r="G17" s="219">
        <v>1</v>
      </c>
      <c r="H17" s="220" t="e">
        <f>H16</f>
        <v>#REF!</v>
      </c>
      <c r="I17" s="220" t="e">
        <f t="shared" ref="I17:I20" si="1">D17*G17*H17</f>
        <v>#REF!</v>
      </c>
      <c r="J17" s="221" t="e">
        <f t="shared" ref="J17:J20" si="2">I17*B17</f>
        <v>#REF!</v>
      </c>
      <c r="K17" s="734"/>
    </row>
    <row r="18" spans="1:14" ht="15.75">
      <c r="A18" s="222" t="s">
        <v>97</v>
      </c>
      <c r="B18" s="215">
        <f>'Cálculo do Número de Serventes'!B18</f>
        <v>153.69999999999999</v>
      </c>
      <c r="C18" s="216">
        <v>1500</v>
      </c>
      <c r="D18" s="217">
        <f t="shared" si="0"/>
        <v>6.6666666666666664E-4</v>
      </c>
      <c r="E18" s="218" t="s">
        <v>146</v>
      </c>
      <c r="F18" s="217">
        <v>188.76</v>
      </c>
      <c r="G18" s="219">
        <v>1</v>
      </c>
      <c r="H18" s="220" t="e">
        <f>H16</f>
        <v>#REF!</v>
      </c>
      <c r="I18" s="220" t="e">
        <f t="shared" si="1"/>
        <v>#REF!</v>
      </c>
      <c r="J18" s="221" t="e">
        <f t="shared" si="2"/>
        <v>#REF!</v>
      </c>
      <c r="K18" s="734"/>
    </row>
    <row r="19" spans="1:14" ht="15.75">
      <c r="A19" s="222" t="s">
        <v>98</v>
      </c>
      <c r="B19" s="215">
        <f>'Cálculo do Número de Serventes'!B19</f>
        <v>56</v>
      </c>
      <c r="C19" s="216">
        <v>1000</v>
      </c>
      <c r="D19" s="217">
        <f t="shared" si="0"/>
        <v>1E-3</v>
      </c>
      <c r="E19" s="218" t="s">
        <v>146</v>
      </c>
      <c r="F19" s="217">
        <v>188.76</v>
      </c>
      <c r="G19" s="219">
        <v>1</v>
      </c>
      <c r="H19" s="220" t="e">
        <f>H16</f>
        <v>#REF!</v>
      </c>
      <c r="I19" s="220" t="e">
        <f t="shared" si="1"/>
        <v>#REF!</v>
      </c>
      <c r="J19" s="221" t="e">
        <f t="shared" si="2"/>
        <v>#REF!</v>
      </c>
      <c r="K19" s="734"/>
    </row>
    <row r="20" spans="1:14" ht="15.75">
      <c r="A20" s="222" t="s">
        <v>99</v>
      </c>
      <c r="B20" s="215">
        <f>'Cálculo do Número de Serventes'!B20</f>
        <v>99.67</v>
      </c>
      <c r="C20" s="216">
        <v>200</v>
      </c>
      <c r="D20" s="217">
        <f t="shared" si="0"/>
        <v>5.0000000000000001E-3</v>
      </c>
      <c r="E20" s="218" t="s">
        <v>146</v>
      </c>
      <c r="F20" s="217">
        <v>188.76</v>
      </c>
      <c r="G20" s="219">
        <v>1</v>
      </c>
      <c r="H20" s="220" t="e">
        <f>H16</f>
        <v>#REF!</v>
      </c>
      <c r="I20" s="220" t="e">
        <f t="shared" si="1"/>
        <v>#REF!</v>
      </c>
      <c r="J20" s="221" t="e">
        <f t="shared" si="2"/>
        <v>#REF!</v>
      </c>
      <c r="K20" s="734"/>
    </row>
    <row r="21" spans="1:14" ht="15.75">
      <c r="A21" s="211" t="s">
        <v>100</v>
      </c>
      <c r="B21" s="212">
        <f>SUM(B22:B27)</f>
        <v>3401.3100000000004</v>
      </c>
      <c r="C21" s="223"/>
      <c r="D21" s="223" t="s">
        <v>127</v>
      </c>
      <c r="E21" s="224" t="s">
        <v>127</v>
      </c>
      <c r="F21" s="223" t="s">
        <v>127</v>
      </c>
      <c r="G21" s="223" t="s">
        <v>127</v>
      </c>
      <c r="H21" s="223" t="s">
        <v>127</v>
      </c>
      <c r="I21" s="223" t="s">
        <v>127</v>
      </c>
      <c r="J21" s="225" t="s">
        <v>127</v>
      </c>
      <c r="K21" s="734"/>
    </row>
    <row r="22" spans="1:14" ht="15.75">
      <c r="A22" s="222" t="s">
        <v>101</v>
      </c>
      <c r="B22" s="215">
        <f>'Cálculo do Número de Serventes'!B22</f>
        <v>153.69999999999999</v>
      </c>
      <c r="C22" s="226">
        <v>1800</v>
      </c>
      <c r="D22" s="217">
        <f>1/C22</f>
        <v>5.5555555555555556E-4</v>
      </c>
      <c r="E22" s="218" t="s">
        <v>146</v>
      </c>
      <c r="F22" s="217">
        <v>188.76</v>
      </c>
      <c r="G22" s="219">
        <v>1</v>
      </c>
      <c r="H22" s="220" t="e">
        <f>H16</f>
        <v>#REF!</v>
      </c>
      <c r="I22" s="227" t="e">
        <f>D22*G22*H22</f>
        <v>#REF!</v>
      </c>
      <c r="J22" s="221" t="e">
        <f>I22*B22</f>
        <v>#REF!</v>
      </c>
      <c r="K22" s="734"/>
      <c r="M22" s="241"/>
    </row>
    <row r="23" spans="1:14" ht="15.75">
      <c r="A23" s="222" t="s">
        <v>102</v>
      </c>
      <c r="B23" s="215">
        <f>'Cálculo do Número de Serventes'!B23</f>
        <v>1385.5</v>
      </c>
      <c r="C23" s="226">
        <v>6000</v>
      </c>
      <c r="D23" s="217">
        <f t="shared" ref="D23:D27" si="3">1/C23</f>
        <v>1.6666666666666666E-4</v>
      </c>
      <c r="E23" s="218" t="s">
        <v>146</v>
      </c>
      <c r="F23" s="217">
        <v>188.76</v>
      </c>
      <c r="G23" s="219">
        <v>1</v>
      </c>
      <c r="H23" s="220" t="e">
        <f>H22</f>
        <v>#REF!</v>
      </c>
      <c r="I23" s="227" t="e">
        <f t="shared" ref="I23:I27" si="4">D23*G23*H23</f>
        <v>#REF!</v>
      </c>
      <c r="J23" s="221" t="e">
        <f t="shared" ref="J23:J27" si="5">I23*B23</f>
        <v>#REF!</v>
      </c>
      <c r="K23" s="734"/>
    </row>
    <row r="24" spans="1:14" ht="15.75">
      <c r="A24" s="222" t="s">
        <v>103</v>
      </c>
      <c r="B24" s="215">
        <f>'Cálculo do Número de Serventes'!B24</f>
        <v>441.5</v>
      </c>
      <c r="C24" s="226">
        <v>1800</v>
      </c>
      <c r="D24" s="217">
        <f t="shared" si="3"/>
        <v>5.5555555555555556E-4</v>
      </c>
      <c r="E24" s="218" t="s">
        <v>146</v>
      </c>
      <c r="F24" s="217">
        <v>188.76</v>
      </c>
      <c r="G24" s="219">
        <v>1</v>
      </c>
      <c r="H24" s="220" t="e">
        <f>H22</f>
        <v>#REF!</v>
      </c>
      <c r="I24" s="227" t="e">
        <f t="shared" si="4"/>
        <v>#REF!</v>
      </c>
      <c r="J24" s="221" t="e">
        <f t="shared" si="5"/>
        <v>#REF!</v>
      </c>
      <c r="K24" s="734"/>
    </row>
    <row r="25" spans="1:14" ht="15.75">
      <c r="A25" s="222" t="s">
        <v>104</v>
      </c>
      <c r="B25" s="215">
        <f>'Cálculo do Número de Serventes'!B25</f>
        <v>384.73</v>
      </c>
      <c r="C25" s="226">
        <v>1800</v>
      </c>
      <c r="D25" s="217">
        <f t="shared" si="3"/>
        <v>5.5555555555555556E-4</v>
      </c>
      <c r="E25" s="218" t="s">
        <v>146</v>
      </c>
      <c r="F25" s="217">
        <v>188.76</v>
      </c>
      <c r="G25" s="219">
        <v>1</v>
      </c>
      <c r="H25" s="220" t="e">
        <f>H22</f>
        <v>#REF!</v>
      </c>
      <c r="I25" s="227" t="e">
        <f t="shared" si="4"/>
        <v>#REF!</v>
      </c>
      <c r="J25" s="221" t="e">
        <f t="shared" si="5"/>
        <v>#REF!</v>
      </c>
      <c r="K25" s="734"/>
    </row>
    <row r="26" spans="1:14" ht="15.75">
      <c r="A26" s="222" t="s">
        <v>105</v>
      </c>
      <c r="B26" s="215">
        <f>'Cálculo do Número de Serventes'!B26</f>
        <v>594.38</v>
      </c>
      <c r="C26" s="226">
        <v>1800</v>
      </c>
      <c r="D26" s="217">
        <f t="shared" si="3"/>
        <v>5.5555555555555556E-4</v>
      </c>
      <c r="E26" s="218" t="s">
        <v>146</v>
      </c>
      <c r="F26" s="217">
        <v>188.76</v>
      </c>
      <c r="G26" s="219">
        <v>1</v>
      </c>
      <c r="H26" s="220" t="e">
        <f>H16</f>
        <v>#REF!</v>
      </c>
      <c r="I26" s="227" t="e">
        <f t="shared" si="4"/>
        <v>#REF!</v>
      </c>
      <c r="J26" s="221" t="e">
        <f t="shared" si="5"/>
        <v>#REF!</v>
      </c>
      <c r="K26" s="734"/>
      <c r="M26" s="241" t="e">
        <f>5*H16</f>
        <v>#REF!</v>
      </c>
    </row>
    <row r="27" spans="1:14" ht="15.75">
      <c r="A27" s="222" t="s">
        <v>106</v>
      </c>
      <c r="B27" s="215">
        <f>'Cálculo do Número de Serventes'!B27</f>
        <v>441.5</v>
      </c>
      <c r="C27" s="226">
        <v>100000</v>
      </c>
      <c r="D27" s="217">
        <f t="shared" si="3"/>
        <v>1.0000000000000001E-5</v>
      </c>
      <c r="E27" s="218" t="s">
        <v>146</v>
      </c>
      <c r="F27" s="217">
        <v>188.76</v>
      </c>
      <c r="G27" s="219">
        <v>1</v>
      </c>
      <c r="H27" s="220" t="e">
        <f>H16</f>
        <v>#REF!</v>
      </c>
      <c r="I27" s="227" t="e">
        <f t="shared" si="4"/>
        <v>#REF!</v>
      </c>
      <c r="J27" s="221" t="e">
        <f t="shared" si="5"/>
        <v>#REF!</v>
      </c>
      <c r="K27" s="734"/>
      <c r="M27" s="250" t="e">
        <f>H29</f>
        <v>#REF!</v>
      </c>
      <c r="N27" s="241"/>
    </row>
    <row r="28" spans="1:14" ht="15.75">
      <c r="A28" s="211" t="s">
        <v>107</v>
      </c>
      <c r="B28" s="212">
        <f>SUM(B29:B31)</f>
        <v>3204.3</v>
      </c>
      <c r="C28" s="223"/>
      <c r="D28" s="223" t="s">
        <v>127</v>
      </c>
      <c r="E28" s="224" t="s">
        <v>127</v>
      </c>
      <c r="F28" s="223" t="s">
        <v>127</v>
      </c>
      <c r="G28" s="223" t="s">
        <v>127</v>
      </c>
      <c r="H28" s="223" t="s">
        <v>127</v>
      </c>
      <c r="I28" s="223" t="s">
        <v>127</v>
      </c>
      <c r="J28" s="225" t="s">
        <v>127</v>
      </c>
      <c r="K28" s="734"/>
      <c r="M28" s="241" t="e">
        <f>SUM(M26:M27)</f>
        <v>#REF!</v>
      </c>
    </row>
    <row r="29" spans="1:14" ht="15.75">
      <c r="A29" s="222" t="s">
        <v>108</v>
      </c>
      <c r="B29" s="215">
        <f>'Cálculo do Número de Serventes'!B29</f>
        <v>1068.0999999999999</v>
      </c>
      <c r="C29" s="216">
        <v>130</v>
      </c>
      <c r="D29" s="217">
        <f>1/C29</f>
        <v>7.6923076923076927E-3</v>
      </c>
      <c r="E29" s="218" t="s">
        <v>129</v>
      </c>
      <c r="F29" s="228">
        <v>16</v>
      </c>
      <c r="G29" s="219">
        <f t="shared" ref="G29:G31" si="6">F29/$F$16</f>
        <v>8.47637211273575E-2</v>
      </c>
      <c r="H29" s="220" t="e">
        <f>'Lavador (Fachada)'!E137</f>
        <v>#REF!</v>
      </c>
      <c r="I29" s="227" t="e">
        <f>D29*G29*H29</f>
        <v>#REF!</v>
      </c>
      <c r="J29" s="221" t="e">
        <f>I29*B29</f>
        <v>#REF!</v>
      </c>
      <c r="K29" s="734"/>
      <c r="M29" s="241"/>
    </row>
    <row r="30" spans="1:14" ht="15.75">
      <c r="A30" s="229" t="s">
        <v>109</v>
      </c>
      <c r="B30" s="230">
        <f>'Cálculo do Número de Serventes'!B30</f>
        <v>534.04999999999995</v>
      </c>
      <c r="C30" s="231">
        <v>300</v>
      </c>
      <c r="D30" s="217">
        <f t="shared" ref="D30:D31" si="7">1/C30</f>
        <v>3.3333333333333335E-3</v>
      </c>
      <c r="E30" s="218" t="s">
        <v>129</v>
      </c>
      <c r="F30" s="228">
        <v>16</v>
      </c>
      <c r="G30" s="219">
        <f t="shared" si="6"/>
        <v>8.47637211273575E-2</v>
      </c>
      <c r="H30" s="220" t="e">
        <f>H16</f>
        <v>#REF!</v>
      </c>
      <c r="I30" s="227" t="e">
        <f t="shared" ref="I30:I31" si="8">D30*G30*H30</f>
        <v>#REF!</v>
      </c>
      <c r="J30" s="221" t="e">
        <f t="shared" ref="J30:J31" si="9">I30*B30</f>
        <v>#REF!</v>
      </c>
      <c r="K30" s="734"/>
    </row>
    <row r="31" spans="1:14" ht="15.75">
      <c r="A31" s="232" t="s">
        <v>110</v>
      </c>
      <c r="B31" s="233">
        <f>'Cálculo do Número de Serventes'!B31</f>
        <v>1602.15</v>
      </c>
      <c r="C31" s="578">
        <v>300</v>
      </c>
      <c r="D31" s="217">
        <f t="shared" si="7"/>
        <v>3.3333333333333335E-3</v>
      </c>
      <c r="E31" s="217" t="s">
        <v>129</v>
      </c>
      <c r="F31" s="228">
        <v>16</v>
      </c>
      <c r="G31" s="219">
        <f t="shared" si="6"/>
        <v>8.47637211273575E-2</v>
      </c>
      <c r="H31" s="220" t="e">
        <f>H16</f>
        <v>#REF!</v>
      </c>
      <c r="I31" s="227" t="e">
        <f t="shared" si="8"/>
        <v>#REF!</v>
      </c>
      <c r="J31" s="221" t="e">
        <f t="shared" si="9"/>
        <v>#REF!</v>
      </c>
      <c r="K31" s="734"/>
    </row>
    <row r="32" spans="1:14" ht="15.75">
      <c r="A32" s="234" t="s">
        <v>111</v>
      </c>
      <c r="B32" s="235">
        <f>B33</f>
        <v>2156.8000000000002</v>
      </c>
      <c r="C32" s="236"/>
      <c r="D32" s="223" t="s">
        <v>127</v>
      </c>
      <c r="E32" s="223" t="s">
        <v>127</v>
      </c>
      <c r="F32" s="223" t="s">
        <v>127</v>
      </c>
      <c r="G32" s="223" t="s">
        <v>127</v>
      </c>
      <c r="H32" s="223" t="s">
        <v>127</v>
      </c>
      <c r="I32" s="223" t="s">
        <v>127</v>
      </c>
      <c r="J32" s="225" t="s">
        <v>127</v>
      </c>
      <c r="K32" s="734"/>
    </row>
    <row r="33" spans="1:11" ht="16.5" thickBot="1">
      <c r="A33" s="237" t="s">
        <v>112</v>
      </c>
      <c r="B33" s="238">
        <f>'Cálculo do Número de Serventes'!B33</f>
        <v>2156.8000000000002</v>
      </c>
      <c r="C33" s="239">
        <v>130</v>
      </c>
      <c r="D33" s="217">
        <f>1/C33</f>
        <v>7.6923076923076927E-3</v>
      </c>
      <c r="E33" s="217" t="s">
        <v>130</v>
      </c>
      <c r="F33" s="228">
        <v>8</v>
      </c>
      <c r="G33" s="219">
        <f>F33/1132.6</f>
        <v>7.0633939607981644E-3</v>
      </c>
      <c r="H33" s="220" t="e">
        <f>H29</f>
        <v>#REF!</v>
      </c>
      <c r="I33" s="227" t="e">
        <f>D33*G33*H33</f>
        <v>#REF!</v>
      </c>
      <c r="J33" s="221" t="e">
        <f>I33*B33</f>
        <v>#REF!</v>
      </c>
      <c r="K33" s="735"/>
    </row>
  </sheetData>
  <mergeCells count="6">
    <mergeCell ref="K14:K33"/>
    <mergeCell ref="A6:G6"/>
    <mergeCell ref="A7:G7"/>
    <mergeCell ref="A8:G8"/>
    <mergeCell ref="A9:G9"/>
    <mergeCell ref="A10:G10"/>
  </mergeCells>
  <pageMargins left="0.7" right="0.7" top="0.75" bottom="0.75" header="0.3" footer="0.3"/>
  <pageSetup paperSize="9"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0"/>
  <dimension ref="A2:M138"/>
  <sheetViews>
    <sheetView showGridLines="0" view="pageBreakPreview" topLeftCell="A109" zoomScaleNormal="95" zoomScaleSheetLayoutView="100" workbookViewId="0">
      <selection activeCell="D122" sqref="D122"/>
    </sheetView>
  </sheetViews>
  <sheetFormatPr defaultColWidth="9.140625" defaultRowHeight="14.25"/>
  <cols>
    <col min="1" max="1" width="7.28515625" style="2" customWidth="1"/>
    <col min="2" max="2" width="31.5703125" style="1" customWidth="1"/>
    <col min="3" max="3" width="26" style="1" customWidth="1"/>
    <col min="4" max="4" width="14.28515625" style="4" customWidth="1"/>
    <col min="5" max="5" width="23.5703125" style="1" customWidth="1"/>
    <col min="6" max="6" width="2.85546875" style="1" customWidth="1"/>
    <col min="7" max="7" width="9.140625" style="1" customWidth="1"/>
    <col min="8" max="8" width="9.140625" style="1"/>
    <col min="9" max="9" width="10.140625" style="1" bestFit="1" customWidth="1"/>
    <col min="10" max="10" width="9.140625" style="1"/>
    <col min="11" max="11" width="11.28515625" style="1" bestFit="1" customWidth="1"/>
    <col min="12" max="12" width="9.140625" style="1"/>
    <col min="13" max="13" width="10.5703125" style="1" bestFit="1" customWidth="1"/>
    <col min="14" max="16384" width="9.140625" style="1"/>
  </cols>
  <sheetData>
    <row r="2" spans="1:5">
      <c r="A2" s="758" t="s">
        <v>147</v>
      </c>
      <c r="B2" s="758"/>
      <c r="C2" s="758"/>
      <c r="D2" s="758"/>
      <c r="E2" s="758"/>
    </row>
    <row r="3" spans="1:5">
      <c r="A3" s="29"/>
      <c r="B3" s="29"/>
      <c r="C3" s="29"/>
      <c r="D3" s="29"/>
      <c r="E3" s="29"/>
    </row>
    <row r="4" spans="1:5" ht="15.75">
      <c r="A4" s="816" t="s">
        <v>148</v>
      </c>
      <c r="B4" s="816"/>
      <c r="C4" s="816"/>
      <c r="D4" s="816"/>
      <c r="E4" s="816"/>
    </row>
    <row r="5" spans="1:5" ht="15.75">
      <c r="A5" s="816" t="s">
        <v>149</v>
      </c>
      <c r="B5" s="816"/>
      <c r="C5" s="816"/>
      <c r="D5" s="816"/>
      <c r="E5" s="816"/>
    </row>
    <row r="6" spans="1:5">
      <c r="A6" s="93"/>
      <c r="B6" s="93"/>
      <c r="C6" s="93"/>
      <c r="D6" s="93"/>
      <c r="E6" s="93"/>
    </row>
    <row r="7" spans="1:5" ht="16.5" customHeight="1">
      <c r="A7" s="750" t="s">
        <v>150</v>
      </c>
      <c r="B7" s="750"/>
      <c r="C7" s="750"/>
      <c r="D7" s="750"/>
      <c r="E7" s="750"/>
    </row>
    <row r="8" spans="1:5" ht="42" customHeight="1">
      <c r="A8" s="295" t="s">
        <v>115</v>
      </c>
      <c r="B8" s="770" t="s">
        <v>151</v>
      </c>
      <c r="C8" s="770"/>
      <c r="D8" s="817">
        <v>44748</v>
      </c>
      <c r="E8" s="815"/>
    </row>
    <row r="9" spans="1:5" ht="15" customHeight="1">
      <c r="A9" s="295" t="s">
        <v>116</v>
      </c>
      <c r="B9" s="770" t="s">
        <v>152</v>
      </c>
      <c r="C9" s="770"/>
      <c r="D9" s="813" t="s">
        <v>153</v>
      </c>
      <c r="E9" s="814"/>
    </row>
    <row r="10" spans="1:5" ht="29.25" customHeight="1">
      <c r="A10" s="295" t="s">
        <v>117</v>
      </c>
      <c r="B10" s="770" t="s">
        <v>154</v>
      </c>
      <c r="C10" s="770"/>
      <c r="D10" s="818" t="s">
        <v>155</v>
      </c>
      <c r="E10" s="819"/>
    </row>
    <row r="11" spans="1:5">
      <c r="A11" s="295" t="s">
        <v>156</v>
      </c>
      <c r="B11" s="770" t="s">
        <v>157</v>
      </c>
      <c r="C11" s="770"/>
      <c r="D11" s="815">
        <v>12</v>
      </c>
      <c r="E11" s="815"/>
    </row>
    <row r="12" spans="1:5">
      <c r="A12" s="14"/>
      <c r="B12" s="15"/>
      <c r="C12" s="15"/>
      <c r="D12" s="14"/>
      <c r="E12" s="14"/>
    </row>
    <row r="13" spans="1:5" ht="28.5">
      <c r="A13" s="296" t="s">
        <v>158</v>
      </c>
      <c r="B13" s="296" t="s">
        <v>159</v>
      </c>
      <c r="C13" s="800" t="s">
        <v>160</v>
      </c>
      <c r="D13" s="768"/>
      <c r="E13" s="296" t="s">
        <v>161</v>
      </c>
    </row>
    <row r="14" spans="1:5">
      <c r="A14" s="297">
        <v>1</v>
      </c>
      <c r="B14" s="297" t="s">
        <v>162</v>
      </c>
      <c r="C14" s="807" t="s">
        <v>163</v>
      </c>
      <c r="D14" s="807"/>
      <c r="E14" s="298"/>
    </row>
    <row r="15" spans="1:5">
      <c r="A15" s="14"/>
      <c r="B15" s="15"/>
      <c r="C15" s="15"/>
      <c r="D15" s="14"/>
      <c r="E15" s="14"/>
    </row>
    <row r="16" spans="1:5" ht="15.75">
      <c r="A16" s="808" t="s">
        <v>164</v>
      </c>
      <c r="B16" s="808"/>
      <c r="C16" s="808"/>
      <c r="D16" s="808"/>
      <c r="E16" s="808"/>
    </row>
    <row r="17" spans="1:7">
      <c r="A17" s="750" t="s">
        <v>165</v>
      </c>
      <c r="B17" s="750"/>
      <c r="C17" s="750"/>
      <c r="D17" s="809"/>
      <c r="E17" s="809"/>
    </row>
    <row r="18" spans="1:7" ht="45" customHeight="1">
      <c r="A18" s="295">
        <v>1</v>
      </c>
      <c r="B18" s="770" t="s">
        <v>166</v>
      </c>
      <c r="C18" s="788"/>
      <c r="D18" s="810" t="s">
        <v>167</v>
      </c>
      <c r="E18" s="811"/>
    </row>
    <row r="19" spans="1:7">
      <c r="A19" s="295">
        <v>2</v>
      </c>
      <c r="B19" s="788" t="s">
        <v>168</v>
      </c>
      <c r="C19" s="789"/>
      <c r="D19" s="812" t="s">
        <v>169</v>
      </c>
      <c r="E19" s="812"/>
      <c r="G19" s="34"/>
    </row>
    <row r="20" spans="1:7" ht="15" customHeight="1">
      <c r="A20" s="295">
        <v>3</v>
      </c>
      <c r="B20" s="770" t="s">
        <v>170</v>
      </c>
      <c r="C20" s="770"/>
      <c r="D20" s="804">
        <v>1227.0899999999999</v>
      </c>
      <c r="E20" s="805"/>
    </row>
    <row r="21" spans="1:7">
      <c r="A21" s="295">
        <v>4</v>
      </c>
      <c r="B21" s="770" t="s">
        <v>171</v>
      </c>
      <c r="C21" s="770"/>
      <c r="D21" s="806" t="s">
        <v>172</v>
      </c>
      <c r="E21" s="806"/>
    </row>
    <row r="22" spans="1:7">
      <c r="A22" s="295">
        <v>5</v>
      </c>
      <c r="B22" s="770" t="s">
        <v>173</v>
      </c>
      <c r="C22" s="770"/>
      <c r="D22" s="801"/>
      <c r="E22" s="801"/>
    </row>
    <row r="23" spans="1:7">
      <c r="A23" s="802"/>
      <c r="B23" s="802"/>
      <c r="C23" s="802"/>
      <c r="D23" s="802"/>
      <c r="E23" s="802"/>
    </row>
    <row r="24" spans="1:7">
      <c r="A24" s="757" t="s">
        <v>174</v>
      </c>
      <c r="B24" s="758"/>
      <c r="C24" s="758"/>
      <c r="D24" s="758"/>
      <c r="E24" s="758"/>
    </row>
    <row r="25" spans="1:7">
      <c r="A25" s="296">
        <v>1</v>
      </c>
      <c r="B25" s="803" t="s">
        <v>175</v>
      </c>
      <c r="C25" s="803"/>
      <c r="D25" s="300" t="s">
        <v>176</v>
      </c>
      <c r="E25" s="51" t="s">
        <v>177</v>
      </c>
    </row>
    <row r="26" spans="1:7">
      <c r="A26" s="295" t="s">
        <v>178</v>
      </c>
      <c r="B26" s="746" t="s">
        <v>179</v>
      </c>
      <c r="C26" s="746"/>
      <c r="D26" s="301"/>
      <c r="E26" s="52">
        <f>D20</f>
        <v>1227.0899999999999</v>
      </c>
    </row>
    <row r="27" spans="1:7">
      <c r="A27" s="295" t="s">
        <v>116</v>
      </c>
      <c r="B27" s="746" t="s">
        <v>180</v>
      </c>
      <c r="C27" s="746"/>
      <c r="D27" s="302"/>
      <c r="E27" s="39">
        <f>E26*D27</f>
        <v>0</v>
      </c>
    </row>
    <row r="28" spans="1:7">
      <c r="A28" s="295" t="s">
        <v>117</v>
      </c>
      <c r="B28" s="746" t="s">
        <v>181</v>
      </c>
      <c r="C28" s="746"/>
      <c r="D28" s="302"/>
      <c r="E28" s="39">
        <f>D28*E26</f>
        <v>0</v>
      </c>
    </row>
    <row r="29" spans="1:7">
      <c r="A29" s="295" t="s">
        <v>156</v>
      </c>
      <c r="B29" s="746" t="s">
        <v>182</v>
      </c>
      <c r="C29" s="746"/>
      <c r="D29" s="302"/>
      <c r="E29" s="39">
        <f>(E26+E27)/220*D29*15*7</f>
        <v>0</v>
      </c>
    </row>
    <row r="30" spans="1:7">
      <c r="A30" s="295" t="s">
        <v>183</v>
      </c>
      <c r="B30" s="746" t="s">
        <v>184</v>
      </c>
      <c r="C30" s="746"/>
      <c r="D30" s="302"/>
      <c r="E30" s="39">
        <f>(E26+E27)/220*(D30+D29)*15*1</f>
        <v>0</v>
      </c>
    </row>
    <row r="31" spans="1:7">
      <c r="A31" s="295" t="s">
        <v>185</v>
      </c>
      <c r="B31" s="746" t="s">
        <v>186</v>
      </c>
      <c r="C31" s="746"/>
      <c r="D31" s="302"/>
      <c r="E31" s="43">
        <v>0</v>
      </c>
    </row>
    <row r="32" spans="1:7" s="5" customFormat="1">
      <c r="A32" s="796" t="s">
        <v>187</v>
      </c>
      <c r="B32" s="796"/>
      <c r="C32" s="796"/>
      <c r="D32" s="800"/>
      <c r="E32" s="42">
        <f>SUM(E26:E31)</f>
        <v>1227.0899999999999</v>
      </c>
      <c r="F32" s="30">
        <f>E32*0.06</f>
        <v>73.625399999999999</v>
      </c>
    </row>
    <row r="33" spans="1:9" s="5" customFormat="1">
      <c r="A33" s="16"/>
      <c r="B33" s="16"/>
      <c r="C33" s="16"/>
      <c r="D33" s="16"/>
      <c r="E33" s="8"/>
    </row>
    <row r="34" spans="1:9" s="5" customFormat="1">
      <c r="A34" s="757" t="s">
        <v>188</v>
      </c>
      <c r="B34" s="758"/>
      <c r="C34" s="758"/>
      <c r="D34" s="758"/>
      <c r="E34" s="758"/>
    </row>
    <row r="35" spans="1:9" s="5" customFormat="1">
      <c r="A35" s="759" t="s">
        <v>189</v>
      </c>
      <c r="B35" s="759"/>
      <c r="C35" s="759"/>
      <c r="D35" s="759"/>
      <c r="E35" s="759"/>
    </row>
    <row r="36" spans="1:9" s="5" customFormat="1">
      <c r="A36" s="53" t="s">
        <v>190</v>
      </c>
      <c r="B36" s="760" t="s">
        <v>191</v>
      </c>
      <c r="C36" s="760"/>
      <c r="D36" s="53" t="s">
        <v>176</v>
      </c>
      <c r="E36" s="53" t="s">
        <v>177</v>
      </c>
    </row>
    <row r="37" spans="1:9" s="5" customFormat="1">
      <c r="A37" s="54" t="s">
        <v>178</v>
      </c>
      <c r="B37" s="786" t="s">
        <v>192</v>
      </c>
      <c r="C37" s="799"/>
      <c r="D37" s="94">
        <f>1/12</f>
        <v>8.3333333333333329E-2</v>
      </c>
      <c r="E37" s="55">
        <f>D37*E32</f>
        <v>102.25749999999999</v>
      </c>
    </row>
    <row r="38" spans="1:9" s="5" customFormat="1">
      <c r="A38" s="86" t="s">
        <v>193</v>
      </c>
      <c r="B38" s="299" t="s">
        <v>194</v>
      </c>
      <c r="C38" s="303"/>
      <c r="D38" s="304">
        <v>2.7799999999999998E-2</v>
      </c>
      <c r="E38" s="40">
        <f>D38*E32</f>
        <v>34.113101999999998</v>
      </c>
    </row>
    <row r="39" spans="1:9" s="5" customFormat="1">
      <c r="A39" s="750" t="s">
        <v>195</v>
      </c>
      <c r="B39" s="750"/>
      <c r="C39" s="750"/>
      <c r="D39" s="17">
        <f>SUM(D37:D38)</f>
        <v>0.11113333333333333</v>
      </c>
      <c r="E39" s="41">
        <f>SUM(E37:E38)</f>
        <v>136.37060199999999</v>
      </c>
    </row>
    <row r="40" spans="1:9" s="5" customFormat="1">
      <c r="A40" s="18"/>
      <c r="B40" s="18"/>
      <c r="C40" s="18"/>
      <c r="D40" s="19"/>
      <c r="E40" s="20"/>
    </row>
    <row r="41" spans="1:9" s="5" customFormat="1">
      <c r="A41" s="759" t="s">
        <v>196</v>
      </c>
      <c r="B41" s="759"/>
      <c r="C41" s="759"/>
      <c r="D41" s="759"/>
      <c r="E41" s="759"/>
    </row>
    <row r="42" spans="1:9" s="5" customFormat="1">
      <c r="A42" s="53" t="s">
        <v>197</v>
      </c>
      <c r="B42" s="761" t="s">
        <v>198</v>
      </c>
      <c r="C42" s="761"/>
      <c r="D42" s="51" t="s">
        <v>176</v>
      </c>
      <c r="E42" s="51" t="s">
        <v>177</v>
      </c>
    </row>
    <row r="43" spans="1:9" s="5" customFormat="1" ht="15" customHeight="1">
      <c r="A43" s="56" t="s">
        <v>178</v>
      </c>
      <c r="B43" s="797" t="s">
        <v>199</v>
      </c>
      <c r="C43" s="798"/>
      <c r="D43" s="94">
        <v>0.2</v>
      </c>
      <c r="E43" s="57">
        <f>($E$32+$E$39)*D43</f>
        <v>272.69212039999996</v>
      </c>
      <c r="F43" s="736"/>
      <c r="G43" s="736"/>
      <c r="H43" s="736"/>
      <c r="I43" s="736"/>
    </row>
    <row r="44" spans="1:9" s="5" customFormat="1" ht="13.9" customHeight="1">
      <c r="A44" s="579" t="s">
        <v>193</v>
      </c>
      <c r="B44" s="792" t="s">
        <v>200</v>
      </c>
      <c r="C44" s="793"/>
      <c r="D44" s="304">
        <v>2.5000000000000001E-2</v>
      </c>
      <c r="E44" s="44">
        <f t="shared" ref="E44:E50" si="0">($E$32+$E$39)*D44</f>
        <v>34.086515049999996</v>
      </c>
    </row>
    <row r="45" spans="1:9" s="5" customFormat="1" ht="13.9" customHeight="1">
      <c r="A45" s="579" t="s">
        <v>117</v>
      </c>
      <c r="B45" s="792" t="s">
        <v>201</v>
      </c>
      <c r="C45" s="793"/>
      <c r="D45" s="94">
        <v>0.01</v>
      </c>
      <c r="E45" s="44">
        <f t="shared" si="0"/>
        <v>13.63460602</v>
      </c>
      <c r="F45" s="736" t="s">
        <v>202</v>
      </c>
      <c r="G45" s="736"/>
      <c r="H45" s="736"/>
      <c r="I45" s="736"/>
    </row>
    <row r="46" spans="1:9" s="5" customFormat="1" ht="13.9" customHeight="1">
      <c r="A46" s="579" t="s">
        <v>156</v>
      </c>
      <c r="B46" s="792" t="s">
        <v>203</v>
      </c>
      <c r="C46" s="793"/>
      <c r="D46" s="304">
        <v>1.4999999999999999E-2</v>
      </c>
      <c r="E46" s="44">
        <f t="shared" si="0"/>
        <v>20.451909029999996</v>
      </c>
    </row>
    <row r="47" spans="1:9" s="5" customFormat="1" ht="13.9" customHeight="1">
      <c r="A47" s="579" t="s">
        <v>183</v>
      </c>
      <c r="B47" s="792" t="s">
        <v>204</v>
      </c>
      <c r="C47" s="793"/>
      <c r="D47" s="94">
        <v>0.01</v>
      </c>
      <c r="E47" s="44">
        <f t="shared" si="0"/>
        <v>13.63460602</v>
      </c>
    </row>
    <row r="48" spans="1:9" s="5" customFormat="1" ht="13.9" customHeight="1">
      <c r="A48" s="579" t="s">
        <v>205</v>
      </c>
      <c r="B48" s="790" t="s">
        <v>206</v>
      </c>
      <c r="C48" s="791"/>
      <c r="D48" s="304">
        <v>6.0000000000000001E-3</v>
      </c>
      <c r="E48" s="44">
        <f t="shared" si="0"/>
        <v>8.1807636119999998</v>
      </c>
    </row>
    <row r="49" spans="1:13" s="5" customFormat="1" ht="13.9" customHeight="1">
      <c r="A49" s="579" t="s">
        <v>207</v>
      </c>
      <c r="B49" s="792" t="s">
        <v>208</v>
      </c>
      <c r="C49" s="793"/>
      <c r="D49" s="94">
        <v>2E-3</v>
      </c>
      <c r="E49" s="44">
        <f t="shared" si="0"/>
        <v>2.7269212039999999</v>
      </c>
    </row>
    <row r="50" spans="1:13" s="5" customFormat="1" ht="13.9" customHeight="1">
      <c r="A50" s="580" t="s">
        <v>209</v>
      </c>
      <c r="B50" s="794" t="s">
        <v>210</v>
      </c>
      <c r="C50" s="795"/>
      <c r="D50" s="304">
        <v>0.08</v>
      </c>
      <c r="E50" s="44">
        <f t="shared" si="0"/>
        <v>109.07684816</v>
      </c>
    </row>
    <row r="51" spans="1:13" s="5" customFormat="1">
      <c r="A51" s="796" t="s">
        <v>211</v>
      </c>
      <c r="B51" s="796"/>
      <c r="C51" s="796"/>
      <c r="D51" s="305">
        <f>SUM(D43:D50)</f>
        <v>0.34800000000000003</v>
      </c>
      <c r="E51" s="45">
        <f>SUM(E43:E50)</f>
        <v>474.48428949599992</v>
      </c>
    </row>
    <row r="52" spans="1:13" s="5" customFormat="1">
      <c r="A52" s="16"/>
      <c r="B52" s="16"/>
      <c r="C52" s="16"/>
      <c r="D52" s="16"/>
      <c r="E52" s="8"/>
    </row>
    <row r="53" spans="1:13" s="5" customFormat="1">
      <c r="A53" s="759" t="s">
        <v>212</v>
      </c>
      <c r="B53" s="759"/>
      <c r="C53" s="759"/>
      <c r="D53" s="759"/>
      <c r="E53" s="759"/>
    </row>
    <row r="54" spans="1:13" s="6" customFormat="1" ht="14.45" customHeight="1">
      <c r="A54" s="53" t="s">
        <v>213</v>
      </c>
      <c r="B54" s="760" t="s">
        <v>214</v>
      </c>
      <c r="C54" s="760"/>
      <c r="D54" s="53"/>
      <c r="E54" s="53" t="s">
        <v>177</v>
      </c>
    </row>
    <row r="55" spans="1:13" s="6" customFormat="1" ht="15">
      <c r="A55" s="58" t="s">
        <v>115</v>
      </c>
      <c r="B55" s="786" t="s">
        <v>215</v>
      </c>
      <c r="C55" s="787"/>
      <c r="D55" s="176">
        <v>3.7</v>
      </c>
      <c r="E55" s="59">
        <f>IF((D55*22*2-6%*E26)&gt;0,D55*22*2-6%*E26,0)</f>
        <v>89.174600000000012</v>
      </c>
      <c r="G55" t="s">
        <v>216</v>
      </c>
      <c r="M55" s="31">
        <f>E26*0.06</f>
        <v>73.625399999999999</v>
      </c>
    </row>
    <row r="56" spans="1:13" s="6" customFormat="1" ht="27.75" customHeight="1">
      <c r="A56" s="295" t="s">
        <v>116</v>
      </c>
      <c r="B56" s="788" t="s">
        <v>217</v>
      </c>
      <c r="C56" s="789"/>
      <c r="D56" s="306">
        <v>22</v>
      </c>
      <c r="E56" s="46">
        <f>((($D$56*22)-($D$56*22)*0.15))</f>
        <v>411.4</v>
      </c>
      <c r="G56" t="s">
        <v>218</v>
      </c>
      <c r="I56" s="31">
        <f>E55</f>
        <v>89.174600000000012</v>
      </c>
      <c r="K56" s="6" t="s">
        <v>219</v>
      </c>
      <c r="M56" s="31">
        <f>M55+I56</f>
        <v>162.80000000000001</v>
      </c>
    </row>
    <row r="57" spans="1:13" s="6" customFormat="1">
      <c r="A57" s="295" t="s">
        <v>117</v>
      </c>
      <c r="B57" s="788" t="s">
        <v>220</v>
      </c>
      <c r="C57" s="789"/>
      <c r="D57" s="307"/>
      <c r="E57" s="44">
        <v>15</v>
      </c>
    </row>
    <row r="58" spans="1:13" s="6" customFormat="1">
      <c r="A58" s="2" t="s">
        <v>156</v>
      </c>
      <c r="B58" s="737" t="s">
        <v>221</v>
      </c>
      <c r="C58" s="738"/>
      <c r="D58" s="308"/>
      <c r="E58" s="60"/>
      <c r="G58" s="6" t="s">
        <v>222</v>
      </c>
      <c r="I58" s="37">
        <f>22*D56-E56</f>
        <v>72.600000000000023</v>
      </c>
      <c r="K58" s="37">
        <f>22*D56</f>
        <v>484</v>
      </c>
    </row>
    <row r="59" spans="1:13" s="5" customFormat="1">
      <c r="A59" s="772" t="s">
        <v>223</v>
      </c>
      <c r="B59" s="773"/>
      <c r="C59" s="773"/>
      <c r="D59" s="773"/>
      <c r="E59" s="50">
        <f>SUM(E55:E57)</f>
        <v>515.57459999999992</v>
      </c>
    </row>
    <row r="60" spans="1:13" s="5" customFormat="1" ht="15" customHeight="1">
      <c r="A60" s="62"/>
      <c r="B60" s="784"/>
      <c r="C60" s="784"/>
      <c r="D60" s="784"/>
      <c r="E60" s="785"/>
    </row>
    <row r="61" spans="1:13" s="5" customFormat="1" ht="15" customHeight="1">
      <c r="A61" s="774" t="s">
        <v>224</v>
      </c>
      <c r="B61" s="775"/>
      <c r="C61" s="775"/>
      <c r="D61" s="775"/>
      <c r="E61" s="776"/>
    </row>
    <row r="62" spans="1:13" s="5" customFormat="1" ht="15" customHeight="1">
      <c r="A62" s="21" t="s">
        <v>115</v>
      </c>
      <c r="B62" s="777" t="s">
        <v>225</v>
      </c>
      <c r="C62" s="778"/>
      <c r="D62" s="22"/>
      <c r="E62" s="23">
        <f>E32/220*1.5*15*0.5*D62</f>
        <v>0</v>
      </c>
      <c r="G62" s="5" t="s">
        <v>226</v>
      </c>
    </row>
    <row r="63" spans="1:13" s="5" customFormat="1" ht="15" customHeight="1">
      <c r="A63" s="24"/>
      <c r="B63" s="779" t="s">
        <v>227</v>
      </c>
      <c r="C63" s="780"/>
      <c r="D63" s="24"/>
      <c r="E63" s="25">
        <f>E62</f>
        <v>0</v>
      </c>
      <c r="G63" s="5" t="s">
        <v>228</v>
      </c>
    </row>
    <row r="64" spans="1:13" s="5" customFormat="1" ht="15" customHeight="1">
      <c r="A64" s="781"/>
      <c r="B64" s="782"/>
      <c r="C64" s="782"/>
      <c r="D64" s="782"/>
      <c r="E64" s="783"/>
      <c r="G64" s="5" t="s">
        <v>229</v>
      </c>
    </row>
    <row r="65" spans="1:7" s="5" customFormat="1">
      <c r="A65" s="744" t="s">
        <v>230</v>
      </c>
      <c r="B65" s="744"/>
      <c r="C65" s="744"/>
      <c r="D65" s="744"/>
      <c r="E65" s="744"/>
      <c r="G65" s="5" t="s">
        <v>231</v>
      </c>
    </row>
    <row r="66" spans="1:7" s="5" customFormat="1">
      <c r="A66" s="53"/>
      <c r="B66" s="761" t="s">
        <v>232</v>
      </c>
      <c r="C66" s="761"/>
      <c r="D66" s="53" t="s">
        <v>233</v>
      </c>
      <c r="E66" s="51" t="s">
        <v>177</v>
      </c>
      <c r="G66" s="5" t="s">
        <v>234</v>
      </c>
    </row>
    <row r="67" spans="1:7" s="5" customFormat="1">
      <c r="A67" s="9" t="s">
        <v>190</v>
      </c>
      <c r="B67" s="745" t="s">
        <v>235</v>
      </c>
      <c r="C67" s="745"/>
      <c r="D67" s="95">
        <f>D39</f>
        <v>0.11113333333333333</v>
      </c>
      <c r="E67" s="65">
        <f>E39</f>
        <v>136.37060199999999</v>
      </c>
    </row>
    <row r="68" spans="1:7" s="5" customFormat="1">
      <c r="A68" s="581" t="s">
        <v>197</v>
      </c>
      <c r="B68" s="746" t="s">
        <v>236</v>
      </c>
      <c r="C68" s="746"/>
      <c r="D68" s="309">
        <f>D51</f>
        <v>0.34800000000000003</v>
      </c>
      <c r="E68" s="39">
        <f>E51</f>
        <v>474.48428949599992</v>
      </c>
    </row>
    <row r="69" spans="1:7" s="5" customFormat="1">
      <c r="A69" s="581" t="s">
        <v>213</v>
      </c>
      <c r="B69" s="746" t="s">
        <v>237</v>
      </c>
      <c r="C69" s="746"/>
      <c r="D69" s="309">
        <v>0</v>
      </c>
      <c r="E69" s="39">
        <f>E59</f>
        <v>515.57459999999992</v>
      </c>
    </row>
    <row r="70" spans="1:7" s="5" customFormat="1">
      <c r="A70" s="581" t="s">
        <v>238</v>
      </c>
      <c r="B70" s="746" t="s">
        <v>239</v>
      </c>
      <c r="C70" s="746"/>
      <c r="D70" s="309">
        <v>0</v>
      </c>
      <c r="E70" s="39">
        <f>E63</f>
        <v>0</v>
      </c>
    </row>
    <row r="71" spans="1:7" s="5" customFormat="1">
      <c r="A71" s="751" t="s">
        <v>240</v>
      </c>
      <c r="B71" s="752"/>
      <c r="C71" s="753"/>
      <c r="D71" s="26">
        <f>SUM(D67:D70)</f>
        <v>0.45913333333333339</v>
      </c>
      <c r="E71" s="42">
        <f>SUM(E67:E70)</f>
        <v>1126.4294914959999</v>
      </c>
    </row>
    <row r="72" spans="1:7" s="5" customFormat="1">
      <c r="A72" s="18"/>
      <c r="B72" s="18"/>
      <c r="C72" s="18"/>
      <c r="D72" s="27"/>
      <c r="E72" s="8"/>
    </row>
    <row r="73" spans="1:7" s="5" customFormat="1">
      <c r="A73" s="757" t="s">
        <v>241</v>
      </c>
      <c r="B73" s="758"/>
      <c r="C73" s="758"/>
      <c r="D73" s="758"/>
      <c r="E73" s="758"/>
    </row>
    <row r="74" spans="1:7" s="5" customFormat="1">
      <c r="A74" s="759" t="s">
        <v>241</v>
      </c>
      <c r="B74" s="759"/>
      <c r="C74" s="759"/>
      <c r="D74" s="759"/>
      <c r="E74" s="759"/>
    </row>
    <row r="75" spans="1:7" s="5" customFormat="1">
      <c r="A75" s="53">
        <v>3</v>
      </c>
      <c r="B75" s="761" t="s">
        <v>242</v>
      </c>
      <c r="C75" s="761"/>
      <c r="D75" s="51" t="s">
        <v>233</v>
      </c>
      <c r="E75" s="64" t="s">
        <v>177</v>
      </c>
    </row>
    <row r="76" spans="1:7" s="5" customFormat="1">
      <c r="A76" s="63" t="s">
        <v>178</v>
      </c>
      <c r="B76" s="745" t="s">
        <v>243</v>
      </c>
      <c r="C76" s="745"/>
      <c r="D76" s="94">
        <f>(5%*(1/12))</f>
        <v>4.1666666666666666E-3</v>
      </c>
      <c r="E76" s="39">
        <f>D76*$E$32</f>
        <v>5.1128749999999998</v>
      </c>
    </row>
    <row r="77" spans="1:7" s="5" customFormat="1" ht="13.9" customHeight="1">
      <c r="A77" s="87" t="s">
        <v>193</v>
      </c>
      <c r="B77" s="746" t="s">
        <v>244</v>
      </c>
      <c r="C77" s="746"/>
      <c r="D77" s="304">
        <v>2.9999999999999997E-4</v>
      </c>
      <c r="E77" s="39">
        <f t="shared" ref="E77:E81" si="1">D77*$E$32</f>
        <v>0.36812699999999993</v>
      </c>
    </row>
    <row r="78" spans="1:7" s="5" customFormat="1" ht="13.9" customHeight="1">
      <c r="A78" s="87" t="s">
        <v>245</v>
      </c>
      <c r="B78" s="746" t="s">
        <v>246</v>
      </c>
      <c r="C78" s="746"/>
      <c r="D78" s="94">
        <f>((0.08*0.4*0.9)*(1+0.0833+0.09075+0.03025))</f>
        <v>3.4683840000000001E-2</v>
      </c>
      <c r="E78" s="39">
        <f t="shared" si="1"/>
        <v>42.560193225599996</v>
      </c>
    </row>
    <row r="79" spans="1:7" s="5" customFormat="1" ht="13.9" customHeight="1">
      <c r="A79" s="87" t="s">
        <v>118</v>
      </c>
      <c r="B79" s="746" t="s">
        <v>247</v>
      </c>
      <c r="C79" s="746"/>
      <c r="D79" s="304">
        <f>((1/30)*7)/12</f>
        <v>1.9444444444444445E-2</v>
      </c>
      <c r="E79" s="39">
        <f t="shared" si="1"/>
        <v>23.860083333333332</v>
      </c>
    </row>
    <row r="80" spans="1:7" s="5" customFormat="1" ht="13.9" customHeight="1">
      <c r="A80" s="87" t="s">
        <v>119</v>
      </c>
      <c r="B80" s="764" t="s">
        <v>248</v>
      </c>
      <c r="C80" s="771"/>
      <c r="D80" s="94">
        <f>(D50*D79)</f>
        <v>1.5555555555555557E-3</v>
      </c>
      <c r="E80" s="39">
        <f t="shared" si="1"/>
        <v>1.9088066666666668</v>
      </c>
    </row>
    <row r="81" spans="1:5" s="5" customFormat="1">
      <c r="A81" s="87" t="s">
        <v>205</v>
      </c>
      <c r="B81" s="764" t="s">
        <v>249</v>
      </c>
      <c r="C81" s="771"/>
      <c r="D81" s="304">
        <f>ROUNDUP(((0.08*0.4)*D51)/100,4)</f>
        <v>2.0000000000000001E-4</v>
      </c>
      <c r="E81" s="39">
        <f t="shared" si="1"/>
        <v>0.245418</v>
      </c>
    </row>
    <row r="82" spans="1:5" s="5" customFormat="1" ht="14.45" customHeight="1">
      <c r="A82" s="751" t="s">
        <v>250</v>
      </c>
      <c r="B82" s="752"/>
      <c r="C82" s="753"/>
      <c r="D82" s="26">
        <f>SUM(D76:D81)</f>
        <v>6.0350506666666665E-2</v>
      </c>
      <c r="E82" s="42">
        <f>SUM(E76:E81)</f>
        <v>74.055503225599992</v>
      </c>
    </row>
    <row r="83" spans="1:5" s="5" customFormat="1">
      <c r="A83" s="18"/>
      <c r="B83" s="18"/>
      <c r="C83" s="18"/>
      <c r="D83" s="27"/>
      <c r="E83" s="8"/>
    </row>
    <row r="84" spans="1:5" s="5" customFormat="1">
      <c r="A84" s="757" t="s">
        <v>251</v>
      </c>
      <c r="B84" s="758"/>
      <c r="C84" s="758"/>
      <c r="D84" s="758"/>
      <c r="E84" s="758"/>
    </row>
    <row r="85" spans="1:5" s="5" customFormat="1" ht="16.5" customHeight="1">
      <c r="A85" s="759" t="s">
        <v>252</v>
      </c>
      <c r="B85" s="759"/>
      <c r="C85" s="759"/>
      <c r="D85" s="759"/>
      <c r="E85" s="759"/>
    </row>
    <row r="86" spans="1:5" s="5" customFormat="1">
      <c r="A86" s="53" t="s">
        <v>253</v>
      </c>
      <c r="B86" s="760" t="s">
        <v>254</v>
      </c>
      <c r="C86" s="760"/>
      <c r="D86" s="53" t="s">
        <v>233</v>
      </c>
      <c r="E86" s="53" t="s">
        <v>177</v>
      </c>
    </row>
    <row r="87" spans="1:5" s="5" customFormat="1">
      <c r="A87" s="54" t="s">
        <v>178</v>
      </c>
      <c r="B87" s="769" t="s">
        <v>255</v>
      </c>
      <c r="C87" s="769"/>
      <c r="D87" s="94">
        <v>8.3299999999999999E-2</v>
      </c>
      <c r="E87" s="65">
        <f>D87*$E$32</f>
        <v>102.21659699999999</v>
      </c>
    </row>
    <row r="88" spans="1:5" s="5" customFormat="1">
      <c r="A88" s="86" t="s">
        <v>193</v>
      </c>
      <c r="B88" s="770" t="s">
        <v>254</v>
      </c>
      <c r="C88" s="770"/>
      <c r="D88" s="94">
        <v>1.6299999999999999E-2</v>
      </c>
      <c r="E88" s="39">
        <f t="shared" ref="E88:E92" si="2">D88*$E$32</f>
        <v>20.001566999999998</v>
      </c>
    </row>
    <row r="89" spans="1:5" s="5" customFormat="1">
      <c r="A89" s="86" t="s">
        <v>245</v>
      </c>
      <c r="B89" s="770" t="s">
        <v>256</v>
      </c>
      <c r="C89" s="770"/>
      <c r="D89" s="94">
        <v>2.0000000000000001E-4</v>
      </c>
      <c r="E89" s="39">
        <f t="shared" si="2"/>
        <v>0.245418</v>
      </c>
    </row>
    <row r="90" spans="1:5" s="5" customFormat="1" ht="29.25" customHeight="1">
      <c r="A90" s="86" t="s">
        <v>118</v>
      </c>
      <c r="B90" s="770" t="s">
        <v>257</v>
      </c>
      <c r="C90" s="770"/>
      <c r="D90" s="94">
        <v>3.3E-3</v>
      </c>
      <c r="E90" s="39">
        <f t="shared" si="2"/>
        <v>4.0493969999999999</v>
      </c>
    </row>
    <row r="91" spans="1:5" s="5" customFormat="1">
      <c r="A91" s="86" t="s">
        <v>119</v>
      </c>
      <c r="B91" s="770" t="s">
        <v>258</v>
      </c>
      <c r="C91" s="770"/>
      <c r="D91" s="94">
        <v>5.5000000000000003E-4</v>
      </c>
      <c r="E91" s="39">
        <f t="shared" si="2"/>
        <v>0.67489949999999999</v>
      </c>
    </row>
    <row r="92" spans="1:5" s="5" customFormat="1">
      <c r="A92" s="87" t="s">
        <v>185</v>
      </c>
      <c r="B92" s="746" t="s">
        <v>259</v>
      </c>
      <c r="C92" s="746"/>
      <c r="D92" s="96">
        <v>0</v>
      </c>
      <c r="E92" s="39">
        <f t="shared" si="2"/>
        <v>0</v>
      </c>
    </row>
    <row r="93" spans="1:5" s="5" customFormat="1">
      <c r="A93" s="766" t="s">
        <v>260</v>
      </c>
      <c r="B93" s="767"/>
      <c r="C93" s="768"/>
      <c r="D93" s="311">
        <f>SUM(D87:D92)</f>
        <v>0.10364999999999999</v>
      </c>
      <c r="E93" s="42">
        <f>SUM(E87:E92)</f>
        <v>127.18787849999998</v>
      </c>
    </row>
    <row r="94" spans="1:5" s="5" customFormat="1">
      <c r="A94" s="18"/>
      <c r="B94" s="18"/>
      <c r="C94" s="18"/>
      <c r="D94" s="27"/>
      <c r="E94" s="8"/>
    </row>
    <row r="95" spans="1:5" s="5" customFormat="1">
      <c r="A95" s="759" t="s">
        <v>261</v>
      </c>
      <c r="B95" s="759"/>
      <c r="C95" s="759"/>
      <c r="D95" s="759"/>
      <c r="E95" s="759"/>
    </row>
    <row r="96" spans="1:5" s="5" customFormat="1">
      <c r="A96" s="53" t="s">
        <v>262</v>
      </c>
      <c r="B96" s="760" t="s">
        <v>263</v>
      </c>
      <c r="C96" s="760"/>
      <c r="D96" s="53" t="s">
        <v>233</v>
      </c>
      <c r="E96" s="53" t="s">
        <v>177</v>
      </c>
    </row>
    <row r="97" spans="1:5">
      <c r="A97" s="54" t="s">
        <v>178</v>
      </c>
      <c r="B97" s="769" t="s">
        <v>264</v>
      </c>
      <c r="C97" s="769"/>
      <c r="D97" s="97">
        <v>0</v>
      </c>
      <c r="E97" s="65">
        <f>(E32+E71+E82)/220*1*15*D97</f>
        <v>0</v>
      </c>
    </row>
    <row r="98" spans="1:5">
      <c r="A98" s="751" t="s">
        <v>265</v>
      </c>
      <c r="B98" s="752"/>
      <c r="C98" s="752"/>
      <c r="D98" s="752"/>
      <c r="E98" s="42">
        <f>E97</f>
        <v>0</v>
      </c>
    </row>
    <row r="99" spans="1:5">
      <c r="A99" s="9"/>
      <c r="B99" s="15"/>
      <c r="C99" s="15"/>
      <c r="D99" s="10"/>
      <c r="E99" s="7"/>
    </row>
    <row r="100" spans="1:5">
      <c r="A100" s="744" t="s">
        <v>266</v>
      </c>
      <c r="B100" s="744"/>
      <c r="C100" s="744"/>
      <c r="D100" s="744"/>
      <c r="E100" s="744"/>
    </row>
    <row r="101" spans="1:5">
      <c r="A101" s="53"/>
      <c r="B101" s="761" t="s">
        <v>267</v>
      </c>
      <c r="C101" s="761"/>
      <c r="D101" s="53" t="s">
        <v>233</v>
      </c>
      <c r="E101" s="51" t="s">
        <v>177</v>
      </c>
    </row>
    <row r="102" spans="1:5">
      <c r="A102" s="9" t="s">
        <v>253</v>
      </c>
      <c r="B102" s="745" t="s">
        <v>254</v>
      </c>
      <c r="C102" s="745"/>
      <c r="D102" s="95">
        <f>D93</f>
        <v>0.10364999999999999</v>
      </c>
      <c r="E102" s="65">
        <f>E93</f>
        <v>127.18787849999998</v>
      </c>
    </row>
    <row r="103" spans="1:5">
      <c r="A103" s="581" t="s">
        <v>262</v>
      </c>
      <c r="B103" s="746" t="s">
        <v>263</v>
      </c>
      <c r="C103" s="746"/>
      <c r="D103" s="312">
        <v>0</v>
      </c>
      <c r="E103" s="43">
        <f>E98</f>
        <v>0</v>
      </c>
    </row>
    <row r="104" spans="1:5">
      <c r="A104" s="751" t="s">
        <v>268</v>
      </c>
      <c r="B104" s="752"/>
      <c r="C104" s="753"/>
      <c r="D104" s="26">
        <f>SUM(D102:D103)</f>
        <v>0.10364999999999999</v>
      </c>
      <c r="E104" s="42">
        <f>E102+E103</f>
        <v>127.18787849999998</v>
      </c>
    </row>
    <row r="105" spans="1:5">
      <c r="A105" s="13"/>
      <c r="B105" s="18"/>
      <c r="C105" s="18"/>
      <c r="D105" s="27"/>
      <c r="E105" s="8"/>
    </row>
    <row r="106" spans="1:5">
      <c r="A106" s="757" t="s">
        <v>269</v>
      </c>
      <c r="B106" s="758"/>
      <c r="C106" s="758"/>
      <c r="D106" s="758"/>
      <c r="E106" s="758"/>
    </row>
    <row r="107" spans="1:5">
      <c r="A107" s="759" t="s">
        <v>269</v>
      </c>
      <c r="B107" s="759"/>
      <c r="C107" s="759"/>
      <c r="D107" s="759"/>
      <c r="E107" s="759"/>
    </row>
    <row r="108" spans="1:5">
      <c r="A108" s="53">
        <v>5</v>
      </c>
      <c r="B108" s="761" t="s">
        <v>270</v>
      </c>
      <c r="C108" s="761"/>
      <c r="D108" s="761"/>
      <c r="E108" s="51" t="s">
        <v>177</v>
      </c>
    </row>
    <row r="109" spans="1:5">
      <c r="A109" s="54" t="s">
        <v>178</v>
      </c>
      <c r="B109" s="762" t="s">
        <v>271</v>
      </c>
      <c r="C109" s="763"/>
      <c r="D109" s="763"/>
      <c r="E109" s="252" t="e">
        <f>#REF!</f>
        <v>#REF!</v>
      </c>
    </row>
    <row r="110" spans="1:5">
      <c r="A110" s="86" t="s">
        <v>193</v>
      </c>
      <c r="B110" s="764" t="s">
        <v>272</v>
      </c>
      <c r="C110" s="765"/>
      <c r="D110" s="765"/>
      <c r="E110" s="38">
        <f>'Eq. e Mat. Serv. Auxiliar'!G76</f>
        <v>8.4533333333333331</v>
      </c>
    </row>
    <row r="111" spans="1:5">
      <c r="A111" s="86" t="s">
        <v>117</v>
      </c>
      <c r="B111" s="764" t="s">
        <v>273</v>
      </c>
      <c r="C111" s="765"/>
      <c r="D111" s="765"/>
      <c r="E111" s="38">
        <f>'Eq. e Mat. Serv. Auxiliar'!G69</f>
        <v>458.53819444444451</v>
      </c>
    </row>
    <row r="112" spans="1:5">
      <c r="A112" s="86" t="s">
        <v>118</v>
      </c>
      <c r="B112" s="310" t="s">
        <v>274</v>
      </c>
      <c r="C112" s="313"/>
      <c r="D112" s="313"/>
      <c r="E112" s="38">
        <f>'Eq. e Mat. Serv. Auxiliar'!G70</f>
        <v>1133.4455833333334</v>
      </c>
    </row>
    <row r="113" spans="1:5">
      <c r="A113" s="86" t="s">
        <v>183</v>
      </c>
      <c r="B113" s="310" t="s">
        <v>275</v>
      </c>
      <c r="C113" s="313"/>
      <c r="D113" s="313"/>
      <c r="E113" s="38">
        <v>35</v>
      </c>
    </row>
    <row r="114" spans="1:5" s="5" customFormat="1" ht="15" thickBot="1">
      <c r="A114" s="751" t="s">
        <v>276</v>
      </c>
      <c r="B114" s="752"/>
      <c r="C114" s="752"/>
      <c r="D114" s="753"/>
      <c r="E114" s="48" t="e">
        <f>SUM(E109:E113)</f>
        <v>#REF!</v>
      </c>
    </row>
    <row r="115" spans="1:5">
      <c r="E115" s="12">
        <f>D71+D82+D104</f>
        <v>0.62313384000000005</v>
      </c>
    </row>
    <row r="116" spans="1:5">
      <c r="A116" s="754" t="s">
        <v>277</v>
      </c>
      <c r="B116" s="755"/>
      <c r="C116" s="755"/>
      <c r="D116" s="756"/>
      <c r="E116" s="314">
        <f>D39+D51+D82+D93</f>
        <v>0.62313384000000005</v>
      </c>
    </row>
    <row r="117" spans="1:5">
      <c r="A117" s="757" t="s">
        <v>278</v>
      </c>
      <c r="B117" s="758"/>
      <c r="C117" s="758"/>
      <c r="D117" s="758"/>
      <c r="E117" s="758"/>
    </row>
    <row r="118" spans="1:5" s="6" customFormat="1">
      <c r="A118" s="759" t="s">
        <v>278</v>
      </c>
      <c r="B118" s="759"/>
      <c r="C118" s="759"/>
      <c r="D118" s="759"/>
      <c r="E118" s="759"/>
    </row>
    <row r="119" spans="1:5">
      <c r="A119" s="53">
        <v>6</v>
      </c>
      <c r="B119" s="760" t="s">
        <v>279</v>
      </c>
      <c r="C119" s="760"/>
      <c r="D119" s="53" t="s">
        <v>176</v>
      </c>
      <c r="E119" s="53" t="s">
        <v>177</v>
      </c>
    </row>
    <row r="120" spans="1:5">
      <c r="A120" s="11" t="s">
        <v>178</v>
      </c>
      <c r="B120" s="745" t="s">
        <v>280</v>
      </c>
      <c r="C120" s="745"/>
      <c r="D120" s="96">
        <v>7.4999999999999997E-3</v>
      </c>
      <c r="E120" s="65" t="e">
        <f>D120*E135</f>
        <v>#REF!</v>
      </c>
    </row>
    <row r="121" spans="1:5">
      <c r="A121" s="582" t="s">
        <v>193</v>
      </c>
      <c r="B121" s="746" t="s">
        <v>281</v>
      </c>
      <c r="C121" s="746"/>
      <c r="D121" s="96">
        <v>7.0000000000000001E-3</v>
      </c>
      <c r="E121" s="39" t="e">
        <f>D121*(E120+E135)</f>
        <v>#REF!</v>
      </c>
    </row>
    <row r="122" spans="1:5">
      <c r="A122" s="747" t="s">
        <v>117</v>
      </c>
      <c r="B122" s="750" t="s">
        <v>282</v>
      </c>
      <c r="C122" s="750"/>
      <c r="D122" s="311"/>
      <c r="E122" s="50"/>
    </row>
    <row r="123" spans="1:5">
      <c r="A123" s="748"/>
      <c r="B123" s="746" t="s">
        <v>283</v>
      </c>
      <c r="C123" s="746"/>
      <c r="D123" s="315">
        <v>6.4999999999999997E-3</v>
      </c>
      <c r="E123" s="39" t="e">
        <f>($E$120+$E$121+$E$135)/(1-($D$123+$D$124+$D$125))*D123</f>
        <v>#REF!</v>
      </c>
    </row>
    <row r="124" spans="1:5">
      <c r="A124" s="748"/>
      <c r="B124" s="746" t="s">
        <v>284</v>
      </c>
      <c r="C124" s="746"/>
      <c r="D124" s="315">
        <v>0.03</v>
      </c>
      <c r="E124" s="39" t="e">
        <f t="shared" ref="E124:E125" si="3">($E$120+$E$121+$E$135)/(1-($D$123+$D$124+$D$125))*D124</f>
        <v>#REF!</v>
      </c>
    </row>
    <row r="125" spans="1:5" s="3" customFormat="1">
      <c r="A125" s="749"/>
      <c r="B125" s="746" t="s">
        <v>285</v>
      </c>
      <c r="C125" s="746"/>
      <c r="D125" s="316">
        <v>0.05</v>
      </c>
      <c r="E125" s="39" t="e">
        <f t="shared" si="3"/>
        <v>#REF!</v>
      </c>
    </row>
    <row r="126" spans="1:5">
      <c r="A126" s="741" t="s">
        <v>286</v>
      </c>
      <c r="B126" s="742"/>
      <c r="C126" s="743"/>
      <c r="D126" s="28">
        <f>SUM(D120:D125)</f>
        <v>0.10100000000000001</v>
      </c>
      <c r="E126" s="49" t="e">
        <f>SUM(E120:E125)</f>
        <v>#REF!</v>
      </c>
    </row>
    <row r="127" spans="1:5">
      <c r="D127" s="33"/>
    </row>
    <row r="128" spans="1:5">
      <c r="A128" s="744" t="s">
        <v>287</v>
      </c>
      <c r="B128" s="744"/>
      <c r="C128" s="744"/>
      <c r="D128" s="744"/>
      <c r="E128" s="744"/>
    </row>
    <row r="129" spans="1:5" ht="14.45" customHeight="1">
      <c r="A129" s="740" t="s">
        <v>288</v>
      </c>
      <c r="B129" s="740"/>
      <c r="C129" s="740"/>
      <c r="D129" s="740"/>
      <c r="E129" s="53" t="s">
        <v>289</v>
      </c>
    </row>
    <row r="130" spans="1:5">
      <c r="A130" s="36" t="s">
        <v>178</v>
      </c>
      <c r="B130" s="739" t="s">
        <v>290</v>
      </c>
      <c r="C130" s="739"/>
      <c r="D130" s="739"/>
      <c r="E130" s="67">
        <f>E32</f>
        <v>1227.0899999999999</v>
      </c>
    </row>
    <row r="131" spans="1:5">
      <c r="A131" s="36" t="s">
        <v>193</v>
      </c>
      <c r="B131" s="739" t="s">
        <v>291</v>
      </c>
      <c r="C131" s="739"/>
      <c r="D131" s="739"/>
      <c r="E131" s="68">
        <f>E71</f>
        <v>1126.4294914959999</v>
      </c>
    </row>
    <row r="132" spans="1:5">
      <c r="A132" s="36" t="s">
        <v>245</v>
      </c>
      <c r="B132" s="739" t="s">
        <v>292</v>
      </c>
      <c r="C132" s="739"/>
      <c r="D132" s="739"/>
      <c r="E132" s="68">
        <f>E82</f>
        <v>74.055503225599992</v>
      </c>
    </row>
    <row r="133" spans="1:5">
      <c r="A133" s="36" t="s">
        <v>118</v>
      </c>
      <c r="B133" s="739" t="s">
        <v>293</v>
      </c>
      <c r="C133" s="739"/>
      <c r="D133" s="739"/>
      <c r="E133" s="68">
        <f>E104</f>
        <v>127.18787849999998</v>
      </c>
    </row>
    <row r="134" spans="1:5">
      <c r="A134" s="36" t="s">
        <v>119</v>
      </c>
      <c r="B134" s="66" t="s">
        <v>294</v>
      </c>
      <c r="C134" s="66"/>
      <c r="D134" s="36"/>
      <c r="E134" s="67" t="e">
        <f>E114</f>
        <v>#REF!</v>
      </c>
    </row>
    <row r="135" spans="1:5">
      <c r="A135" s="740" t="s">
        <v>295</v>
      </c>
      <c r="B135" s="740"/>
      <c r="C135" s="740"/>
      <c r="D135" s="740"/>
      <c r="E135" s="69" t="e">
        <f>SUM(E130:E134)</f>
        <v>#REF!</v>
      </c>
    </row>
    <row r="136" spans="1:5" s="5" customFormat="1">
      <c r="A136" s="36" t="s">
        <v>185</v>
      </c>
      <c r="B136" s="739" t="s">
        <v>296</v>
      </c>
      <c r="C136" s="739"/>
      <c r="D136" s="739"/>
      <c r="E136" s="68" t="e">
        <f>E126</f>
        <v>#REF!</v>
      </c>
    </row>
    <row r="137" spans="1:5">
      <c r="A137" s="740" t="s">
        <v>297</v>
      </c>
      <c r="B137" s="740"/>
      <c r="C137" s="740"/>
      <c r="D137" s="740"/>
      <c r="E137" s="41" t="e">
        <f>SUM(E135:E136)</f>
        <v>#REF!</v>
      </c>
    </row>
    <row r="138" spans="1:5">
      <c r="E138" s="32"/>
    </row>
  </sheetData>
  <mergeCells count="130">
    <mergeCell ref="B9:C9"/>
    <mergeCell ref="D9:E9"/>
    <mergeCell ref="B10:C10"/>
    <mergeCell ref="B11:C11"/>
    <mergeCell ref="D11:E11"/>
    <mergeCell ref="A2:E2"/>
    <mergeCell ref="A4:E4"/>
    <mergeCell ref="A5:E5"/>
    <mergeCell ref="A7:E7"/>
    <mergeCell ref="B8:C8"/>
    <mergeCell ref="D8:E8"/>
    <mergeCell ref="D10:E10"/>
    <mergeCell ref="B19:C19"/>
    <mergeCell ref="B20:C20"/>
    <mergeCell ref="D20:E20"/>
    <mergeCell ref="B21:C21"/>
    <mergeCell ref="D21:E21"/>
    <mergeCell ref="C13:D13"/>
    <mergeCell ref="C14:D14"/>
    <mergeCell ref="A16:E16"/>
    <mergeCell ref="A17:E17"/>
    <mergeCell ref="B18:C18"/>
    <mergeCell ref="D18:E18"/>
    <mergeCell ref="D19:E19"/>
    <mergeCell ref="B27:C27"/>
    <mergeCell ref="B28:C28"/>
    <mergeCell ref="B29:C29"/>
    <mergeCell ref="B30:C30"/>
    <mergeCell ref="B31:C31"/>
    <mergeCell ref="A32:D32"/>
    <mergeCell ref="B22:C22"/>
    <mergeCell ref="D22:E22"/>
    <mergeCell ref="A23:E23"/>
    <mergeCell ref="A24:E24"/>
    <mergeCell ref="B25:C25"/>
    <mergeCell ref="B26:C26"/>
    <mergeCell ref="B42:C42"/>
    <mergeCell ref="B43:C43"/>
    <mergeCell ref="B44:C44"/>
    <mergeCell ref="B45:C45"/>
    <mergeCell ref="B46:C46"/>
    <mergeCell ref="B47:C47"/>
    <mergeCell ref="A34:E34"/>
    <mergeCell ref="A35:E35"/>
    <mergeCell ref="B36:C36"/>
    <mergeCell ref="B37:C37"/>
    <mergeCell ref="A39:C39"/>
    <mergeCell ref="A41:E41"/>
    <mergeCell ref="B55:C55"/>
    <mergeCell ref="B56:C56"/>
    <mergeCell ref="B57:C57"/>
    <mergeCell ref="B48:C48"/>
    <mergeCell ref="B49:C49"/>
    <mergeCell ref="B50:C50"/>
    <mergeCell ref="A51:C51"/>
    <mergeCell ref="A53:E53"/>
    <mergeCell ref="B54:C54"/>
    <mergeCell ref="B66:C66"/>
    <mergeCell ref="B67:C67"/>
    <mergeCell ref="B68:C68"/>
    <mergeCell ref="B69:C69"/>
    <mergeCell ref="B70:C70"/>
    <mergeCell ref="A71:C71"/>
    <mergeCell ref="A59:D59"/>
    <mergeCell ref="A61:E61"/>
    <mergeCell ref="B62:C62"/>
    <mergeCell ref="B63:C63"/>
    <mergeCell ref="A64:E64"/>
    <mergeCell ref="A65:E65"/>
    <mergeCell ref="B60:E60"/>
    <mergeCell ref="B79:C79"/>
    <mergeCell ref="B80:C80"/>
    <mergeCell ref="B81:C81"/>
    <mergeCell ref="A82:C82"/>
    <mergeCell ref="A84:E84"/>
    <mergeCell ref="A85:E85"/>
    <mergeCell ref="A73:E73"/>
    <mergeCell ref="A74:E74"/>
    <mergeCell ref="B75:C75"/>
    <mergeCell ref="B76:C76"/>
    <mergeCell ref="B77:C77"/>
    <mergeCell ref="B78:C78"/>
    <mergeCell ref="B92:C92"/>
    <mergeCell ref="A93:C93"/>
    <mergeCell ref="A95:E95"/>
    <mergeCell ref="B96:C96"/>
    <mergeCell ref="B97:C97"/>
    <mergeCell ref="A98:D98"/>
    <mergeCell ref="B86:C86"/>
    <mergeCell ref="B87:C87"/>
    <mergeCell ref="B88:C88"/>
    <mergeCell ref="B89:C89"/>
    <mergeCell ref="B90:C90"/>
    <mergeCell ref="B91:C91"/>
    <mergeCell ref="B119:C119"/>
    <mergeCell ref="A107:E107"/>
    <mergeCell ref="B108:D108"/>
    <mergeCell ref="B109:D109"/>
    <mergeCell ref="B110:D110"/>
    <mergeCell ref="B111:D111"/>
    <mergeCell ref="A100:E100"/>
    <mergeCell ref="B101:C101"/>
    <mergeCell ref="B102:C102"/>
    <mergeCell ref="B103:C103"/>
    <mergeCell ref="A104:C104"/>
    <mergeCell ref="A106:E106"/>
    <mergeCell ref="F43:I43"/>
    <mergeCell ref="F45:I45"/>
    <mergeCell ref="B58:C58"/>
    <mergeCell ref="B133:D133"/>
    <mergeCell ref="A135:D135"/>
    <mergeCell ref="B136:D136"/>
    <mergeCell ref="A137:D137"/>
    <mergeCell ref="A126:C126"/>
    <mergeCell ref="A128:E128"/>
    <mergeCell ref="A129:D129"/>
    <mergeCell ref="B130:D130"/>
    <mergeCell ref="B131:D131"/>
    <mergeCell ref="B132:D132"/>
    <mergeCell ref="B120:C120"/>
    <mergeCell ref="B121:C121"/>
    <mergeCell ref="A122:A125"/>
    <mergeCell ref="B122:C122"/>
    <mergeCell ref="B123:C123"/>
    <mergeCell ref="B124:C124"/>
    <mergeCell ref="B125:C125"/>
    <mergeCell ref="A114:D114"/>
    <mergeCell ref="A116:D116"/>
    <mergeCell ref="A117:E117"/>
    <mergeCell ref="A118:E118"/>
  </mergeCells>
  <printOptions horizontalCentered="1"/>
  <pageMargins left="1.1811023622047245" right="0.59055118110236227" top="1.5748031496062993" bottom="0.78740157480314965" header="0.31496062992125984" footer="0.31496062992125984"/>
  <pageSetup paperSize="9" scale="49" orientation="portrait" r:id="rId1"/>
  <headerFooter alignWithMargins="0">
    <oddFooter xml:space="preserve">&amp;CRua Ingá Qd. 42 Lote 01 S/N Casa 01/A Parque Primavera - Aparecida de Goiânia-GO
</oddFooter>
  </headerFooter>
  <rowBreaks count="1" manualBreakCount="1">
    <brk id="70" max="4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1"/>
  <dimension ref="A2:M138"/>
  <sheetViews>
    <sheetView showGridLines="0" view="pageBreakPreview" topLeftCell="A121" zoomScaleNormal="95" zoomScaleSheetLayoutView="100" workbookViewId="0">
      <selection activeCell="D122" sqref="D122"/>
    </sheetView>
  </sheetViews>
  <sheetFormatPr defaultColWidth="9.140625" defaultRowHeight="14.25"/>
  <cols>
    <col min="1" max="1" width="7.28515625" style="2" customWidth="1"/>
    <col min="2" max="2" width="31.5703125" style="1" customWidth="1"/>
    <col min="3" max="3" width="26" style="1" customWidth="1"/>
    <col min="4" max="4" width="14.28515625" style="4" customWidth="1"/>
    <col min="5" max="5" width="23.5703125" style="1" customWidth="1"/>
    <col min="6" max="6" width="2.85546875" style="1" customWidth="1"/>
    <col min="7" max="7" width="9.140625" style="1" customWidth="1"/>
    <col min="8" max="8" width="9.140625" style="1"/>
    <col min="9" max="9" width="10.140625" style="1" bestFit="1" customWidth="1"/>
    <col min="10" max="10" width="9.140625" style="1"/>
    <col min="11" max="11" width="11.28515625" style="1" bestFit="1" customWidth="1"/>
    <col min="12" max="12" width="9.140625" style="1"/>
    <col min="13" max="13" width="10.5703125" style="1" bestFit="1" customWidth="1"/>
    <col min="14" max="16384" width="9.140625" style="1"/>
  </cols>
  <sheetData>
    <row r="2" spans="1:5">
      <c r="A2" s="758" t="s">
        <v>147</v>
      </c>
      <c r="B2" s="758"/>
      <c r="C2" s="758"/>
      <c r="D2" s="758"/>
      <c r="E2" s="758"/>
    </row>
    <row r="3" spans="1:5">
      <c r="A3" s="29"/>
      <c r="B3" s="29"/>
      <c r="C3" s="29"/>
      <c r="D3" s="29"/>
      <c r="E3" s="29"/>
    </row>
    <row r="4" spans="1:5" ht="15.75">
      <c r="A4" s="816" t="s">
        <v>148</v>
      </c>
      <c r="B4" s="816"/>
      <c r="C4" s="816"/>
      <c r="D4" s="816"/>
      <c r="E4" s="816"/>
    </row>
    <row r="5" spans="1:5" ht="15.75">
      <c r="A5" s="816" t="str">
        <f>'Servente de Limpeza'!A5:E5</f>
        <v>Data:  06/07//22</v>
      </c>
      <c r="B5" s="816"/>
      <c r="C5" s="816"/>
      <c r="D5" s="816"/>
      <c r="E5" s="816"/>
    </row>
    <row r="6" spans="1:5">
      <c r="A6" s="93"/>
      <c r="B6" s="93"/>
      <c r="C6" s="93"/>
      <c r="D6" s="93"/>
      <c r="E6" s="93"/>
    </row>
    <row r="7" spans="1:5" ht="16.5" customHeight="1">
      <c r="A7" s="750" t="s">
        <v>150</v>
      </c>
      <c r="B7" s="750"/>
      <c r="C7" s="750"/>
      <c r="D7" s="750"/>
      <c r="E7" s="750"/>
    </row>
    <row r="8" spans="1:5" ht="42" customHeight="1">
      <c r="A8" s="295" t="s">
        <v>115</v>
      </c>
      <c r="B8" s="770" t="s">
        <v>151</v>
      </c>
      <c r="C8" s="770"/>
      <c r="D8" s="817">
        <f>'Servente de Limpeza'!D8:E8</f>
        <v>44748</v>
      </c>
      <c r="E8" s="815"/>
    </row>
    <row r="9" spans="1:5" ht="15" customHeight="1">
      <c r="A9" s="295" t="s">
        <v>116</v>
      </c>
      <c r="B9" s="770" t="s">
        <v>152</v>
      </c>
      <c r="C9" s="770"/>
      <c r="D9" s="813" t="s">
        <v>153</v>
      </c>
      <c r="E9" s="814"/>
    </row>
    <row r="10" spans="1:5" ht="29.25" customHeight="1">
      <c r="A10" s="295" t="s">
        <v>117</v>
      </c>
      <c r="B10" s="770" t="s">
        <v>154</v>
      </c>
      <c r="C10" s="770"/>
      <c r="D10" s="818" t="str">
        <f>'Servente de Limpeza'!D10:E10</f>
        <v>AP000001/2022</v>
      </c>
      <c r="E10" s="819"/>
    </row>
    <row r="11" spans="1:5">
      <c r="A11" s="295" t="s">
        <v>156</v>
      </c>
      <c r="B11" s="770" t="s">
        <v>157</v>
      </c>
      <c r="C11" s="770"/>
      <c r="D11" s="815">
        <v>12</v>
      </c>
      <c r="E11" s="815"/>
    </row>
    <row r="12" spans="1:5">
      <c r="A12" s="14"/>
      <c r="B12" s="15"/>
      <c r="C12" s="15"/>
      <c r="D12" s="14"/>
      <c r="E12" s="14"/>
    </row>
    <row r="13" spans="1:5" ht="28.5">
      <c r="A13" s="296" t="s">
        <v>158</v>
      </c>
      <c r="B13" s="296" t="s">
        <v>159</v>
      </c>
      <c r="C13" s="800" t="s">
        <v>160</v>
      </c>
      <c r="D13" s="768"/>
      <c r="E13" s="296" t="s">
        <v>161</v>
      </c>
    </row>
    <row r="14" spans="1:5">
      <c r="A14" s="297">
        <v>1</v>
      </c>
      <c r="B14" s="297" t="s">
        <v>162</v>
      </c>
      <c r="C14" s="807" t="s">
        <v>163</v>
      </c>
      <c r="D14" s="807"/>
      <c r="E14" s="317">
        <v>5361.1</v>
      </c>
    </row>
    <row r="15" spans="1:5">
      <c r="A15" s="14"/>
      <c r="B15" s="15"/>
      <c r="C15" s="15"/>
      <c r="D15" s="14"/>
      <c r="E15" s="14"/>
    </row>
    <row r="16" spans="1:5" ht="15.75">
      <c r="A16" s="808" t="s">
        <v>164</v>
      </c>
      <c r="B16" s="808"/>
      <c r="C16" s="808"/>
      <c r="D16" s="808"/>
      <c r="E16" s="808"/>
    </row>
    <row r="17" spans="1:7">
      <c r="A17" s="750" t="s">
        <v>165</v>
      </c>
      <c r="B17" s="750"/>
      <c r="C17" s="750"/>
      <c r="D17" s="809"/>
      <c r="E17" s="809"/>
    </row>
    <row r="18" spans="1:7" ht="45" customHeight="1">
      <c r="A18" s="295">
        <v>1</v>
      </c>
      <c r="B18" s="770" t="s">
        <v>166</v>
      </c>
      <c r="C18" s="788"/>
      <c r="D18" s="810" t="s">
        <v>167</v>
      </c>
      <c r="E18" s="811"/>
    </row>
    <row r="19" spans="1:7">
      <c r="A19" s="295">
        <v>2</v>
      </c>
      <c r="B19" s="788" t="s">
        <v>168</v>
      </c>
      <c r="C19" s="789"/>
      <c r="D19" s="812" t="s">
        <v>298</v>
      </c>
      <c r="E19" s="812"/>
      <c r="G19" s="34"/>
    </row>
    <row r="20" spans="1:7" ht="15" customHeight="1">
      <c r="A20" s="295">
        <v>3</v>
      </c>
      <c r="B20" s="770" t="s">
        <v>170</v>
      </c>
      <c r="C20" s="770"/>
      <c r="D20" s="804">
        <f>'Servente de Limpeza'!D20:E20</f>
        <v>1227.0899999999999</v>
      </c>
      <c r="E20" s="805"/>
    </row>
    <row r="21" spans="1:7">
      <c r="A21" s="295">
        <v>4</v>
      </c>
      <c r="B21" s="770" t="s">
        <v>171</v>
      </c>
      <c r="C21" s="770"/>
      <c r="D21" s="806" t="s">
        <v>299</v>
      </c>
      <c r="E21" s="806"/>
    </row>
    <row r="22" spans="1:7">
      <c r="A22" s="295">
        <v>5</v>
      </c>
      <c r="B22" s="770" t="s">
        <v>173</v>
      </c>
      <c r="C22" s="770"/>
      <c r="D22" s="801"/>
      <c r="E22" s="801"/>
    </row>
    <row r="23" spans="1:7">
      <c r="A23" s="802"/>
      <c r="B23" s="802"/>
      <c r="C23" s="802"/>
      <c r="D23" s="802"/>
      <c r="E23" s="802"/>
    </row>
    <row r="24" spans="1:7">
      <c r="A24" s="757" t="s">
        <v>174</v>
      </c>
      <c r="B24" s="758"/>
      <c r="C24" s="758"/>
      <c r="D24" s="758"/>
      <c r="E24" s="758"/>
    </row>
    <row r="25" spans="1:7">
      <c r="A25" s="296">
        <v>1</v>
      </c>
      <c r="B25" s="803" t="s">
        <v>175</v>
      </c>
      <c r="C25" s="803"/>
      <c r="D25" s="300" t="s">
        <v>176</v>
      </c>
      <c r="E25" s="51" t="s">
        <v>177</v>
      </c>
    </row>
    <row r="26" spans="1:7">
      <c r="A26" s="295" t="s">
        <v>178</v>
      </c>
      <c r="B26" s="746" t="s">
        <v>179</v>
      </c>
      <c r="C26" s="746"/>
      <c r="D26" s="301"/>
      <c r="E26" s="52">
        <f>D20</f>
        <v>1227.0899999999999</v>
      </c>
    </row>
    <row r="27" spans="1:7">
      <c r="A27" s="295" t="s">
        <v>116</v>
      </c>
      <c r="B27" s="746" t="s">
        <v>180</v>
      </c>
      <c r="C27" s="746"/>
      <c r="D27" s="302"/>
      <c r="E27" s="39">
        <f>E26*D27</f>
        <v>0</v>
      </c>
    </row>
    <row r="28" spans="1:7">
      <c r="A28" s="295" t="s">
        <v>117</v>
      </c>
      <c r="B28" s="746" t="s">
        <v>181</v>
      </c>
      <c r="C28" s="746"/>
      <c r="D28" s="302"/>
      <c r="E28" s="39">
        <f>D28*E26</f>
        <v>0</v>
      </c>
    </row>
    <row r="29" spans="1:7">
      <c r="A29" s="295" t="s">
        <v>156</v>
      </c>
      <c r="B29" s="746" t="s">
        <v>182</v>
      </c>
      <c r="C29" s="746"/>
      <c r="D29" s="302"/>
      <c r="E29" s="39">
        <f>(E26+E27)/220*D29*15*7</f>
        <v>0</v>
      </c>
    </row>
    <row r="30" spans="1:7">
      <c r="A30" s="295" t="s">
        <v>183</v>
      </c>
      <c r="B30" s="746" t="s">
        <v>184</v>
      </c>
      <c r="C30" s="746"/>
      <c r="D30" s="302"/>
      <c r="E30" s="39">
        <f>(E26+E27)/220*(D30+D29)*15*1</f>
        <v>0</v>
      </c>
    </row>
    <row r="31" spans="1:7">
      <c r="A31" s="295" t="s">
        <v>185</v>
      </c>
      <c r="B31" s="746" t="s">
        <v>186</v>
      </c>
      <c r="C31" s="746"/>
      <c r="D31" s="302"/>
      <c r="E31" s="43">
        <v>0</v>
      </c>
    </row>
    <row r="32" spans="1:7" s="5" customFormat="1">
      <c r="A32" s="796" t="s">
        <v>187</v>
      </c>
      <c r="B32" s="796"/>
      <c r="C32" s="796"/>
      <c r="D32" s="800"/>
      <c r="E32" s="42">
        <f>SUM(E26:E31)</f>
        <v>1227.0899999999999</v>
      </c>
      <c r="F32" s="30">
        <f>E32*0.06</f>
        <v>73.625399999999999</v>
      </c>
    </row>
    <row r="33" spans="1:9" s="5" customFormat="1">
      <c r="A33" s="16"/>
      <c r="B33" s="16"/>
      <c r="C33" s="16"/>
      <c r="D33" s="16"/>
      <c r="E33" s="8"/>
    </row>
    <row r="34" spans="1:9" s="5" customFormat="1">
      <c r="A34" s="757" t="s">
        <v>188</v>
      </c>
      <c r="B34" s="758"/>
      <c r="C34" s="758"/>
      <c r="D34" s="758"/>
      <c r="E34" s="758"/>
    </row>
    <row r="35" spans="1:9" s="5" customFormat="1">
      <c r="A35" s="759" t="s">
        <v>189</v>
      </c>
      <c r="B35" s="759"/>
      <c r="C35" s="759"/>
      <c r="D35" s="759"/>
      <c r="E35" s="759"/>
    </row>
    <row r="36" spans="1:9" s="5" customFormat="1">
      <c r="A36" s="53" t="s">
        <v>190</v>
      </c>
      <c r="B36" s="760" t="s">
        <v>191</v>
      </c>
      <c r="C36" s="760"/>
      <c r="D36" s="53" t="s">
        <v>176</v>
      </c>
      <c r="E36" s="53" t="s">
        <v>177</v>
      </c>
    </row>
    <row r="37" spans="1:9" s="5" customFormat="1">
      <c r="A37" s="54" t="s">
        <v>178</v>
      </c>
      <c r="B37" s="786" t="s">
        <v>192</v>
      </c>
      <c r="C37" s="799"/>
      <c r="D37" s="94">
        <f>'Servente de Limpeza'!D37</f>
        <v>8.3333333333333329E-2</v>
      </c>
      <c r="E37" s="55">
        <f>D37*E32</f>
        <v>102.25749999999999</v>
      </c>
    </row>
    <row r="38" spans="1:9" s="5" customFormat="1">
      <c r="A38" s="86" t="s">
        <v>193</v>
      </c>
      <c r="B38" s="299" t="s">
        <v>194</v>
      </c>
      <c r="C38" s="303"/>
      <c r="D38" s="94">
        <f>'Servente de Limpeza'!D38</f>
        <v>2.7799999999999998E-2</v>
      </c>
      <c r="E38" s="40">
        <f>D38*E32</f>
        <v>34.113101999999998</v>
      </c>
    </row>
    <row r="39" spans="1:9" s="5" customFormat="1" ht="15" thickBot="1">
      <c r="A39" s="750" t="s">
        <v>195</v>
      </c>
      <c r="B39" s="750"/>
      <c r="C39" s="750"/>
      <c r="D39" s="17">
        <f>D37+D38</f>
        <v>0.11113333333333333</v>
      </c>
      <c r="E39" s="41">
        <f>SUM(E37:E38)</f>
        <v>136.37060199999999</v>
      </c>
    </row>
    <row r="40" spans="1:9" s="5" customFormat="1">
      <c r="A40" s="18"/>
      <c r="B40" s="18"/>
      <c r="C40" s="18"/>
      <c r="D40" s="19"/>
      <c r="E40" s="20"/>
    </row>
    <row r="41" spans="1:9" s="5" customFormat="1">
      <c r="A41" s="759" t="s">
        <v>196</v>
      </c>
      <c r="B41" s="759"/>
      <c r="C41" s="759"/>
      <c r="D41" s="759"/>
      <c r="E41" s="759"/>
    </row>
    <row r="42" spans="1:9" s="5" customFormat="1">
      <c r="A42" s="53" t="s">
        <v>197</v>
      </c>
      <c r="B42" s="761" t="s">
        <v>198</v>
      </c>
      <c r="C42" s="761"/>
      <c r="D42" s="51" t="s">
        <v>176</v>
      </c>
      <c r="E42" s="51" t="s">
        <v>177</v>
      </c>
    </row>
    <row r="43" spans="1:9" s="5" customFormat="1" ht="15" customHeight="1">
      <c r="A43" s="56" t="s">
        <v>178</v>
      </c>
      <c r="B43" s="797" t="s">
        <v>199</v>
      </c>
      <c r="C43" s="798"/>
      <c r="D43" s="283">
        <f>'Servente de Limpeza'!D43</f>
        <v>0.2</v>
      </c>
      <c r="E43" s="57">
        <f>($E$32+$E$39)*D43</f>
        <v>272.69212039999996</v>
      </c>
      <c r="F43" s="736"/>
      <c r="G43" s="736"/>
      <c r="H43" s="736"/>
      <c r="I43" s="736"/>
    </row>
    <row r="44" spans="1:9" s="5" customFormat="1" ht="13.9" customHeight="1">
      <c r="A44" s="579" t="s">
        <v>193</v>
      </c>
      <c r="B44" s="792" t="s">
        <v>200</v>
      </c>
      <c r="C44" s="793"/>
      <c r="D44" s="583">
        <f>'Servente de Limpeza'!D44</f>
        <v>2.5000000000000001E-2</v>
      </c>
      <c r="E44" s="44">
        <f t="shared" ref="E44:E50" si="0">($E$32+$E$39)*D44</f>
        <v>34.086515049999996</v>
      </c>
    </row>
    <row r="45" spans="1:9" s="5" customFormat="1" ht="13.9" customHeight="1">
      <c r="A45" s="579" t="s">
        <v>117</v>
      </c>
      <c r="B45" s="792" t="s">
        <v>201</v>
      </c>
      <c r="C45" s="793"/>
      <c r="D45" s="583">
        <f>'Servente de Limpeza'!D45</f>
        <v>0.01</v>
      </c>
      <c r="E45" s="44">
        <f t="shared" si="0"/>
        <v>13.63460602</v>
      </c>
      <c r="F45" s="736" t="s">
        <v>202</v>
      </c>
      <c r="G45" s="736"/>
      <c r="H45" s="736"/>
      <c r="I45" s="736"/>
    </row>
    <row r="46" spans="1:9" s="5" customFormat="1" ht="13.9" customHeight="1">
      <c r="A46" s="579" t="s">
        <v>156</v>
      </c>
      <c r="B46" s="792" t="s">
        <v>203</v>
      </c>
      <c r="C46" s="793"/>
      <c r="D46" s="583">
        <f>'Servente de Limpeza'!D46</f>
        <v>1.4999999999999999E-2</v>
      </c>
      <c r="E46" s="44">
        <f t="shared" si="0"/>
        <v>20.451909029999996</v>
      </c>
    </row>
    <row r="47" spans="1:9" s="5" customFormat="1" ht="13.9" customHeight="1">
      <c r="A47" s="579" t="s">
        <v>183</v>
      </c>
      <c r="B47" s="792" t="s">
        <v>204</v>
      </c>
      <c r="C47" s="793"/>
      <c r="D47" s="583">
        <f>'Servente de Limpeza'!D47</f>
        <v>0.01</v>
      </c>
      <c r="E47" s="44">
        <f t="shared" si="0"/>
        <v>13.63460602</v>
      </c>
    </row>
    <row r="48" spans="1:9" s="5" customFormat="1" ht="13.9" customHeight="1">
      <c r="A48" s="579" t="s">
        <v>205</v>
      </c>
      <c r="B48" s="790" t="s">
        <v>206</v>
      </c>
      <c r="C48" s="791"/>
      <c r="D48" s="583">
        <f>'Servente de Limpeza'!D48</f>
        <v>6.0000000000000001E-3</v>
      </c>
      <c r="E48" s="44">
        <f t="shared" si="0"/>
        <v>8.1807636119999998</v>
      </c>
    </row>
    <row r="49" spans="1:13" s="5" customFormat="1" ht="13.9" customHeight="1">
      <c r="A49" s="579" t="s">
        <v>207</v>
      </c>
      <c r="B49" s="792" t="s">
        <v>208</v>
      </c>
      <c r="C49" s="793"/>
      <c r="D49" s="583">
        <f>'Servente de Limpeza'!D49</f>
        <v>2E-3</v>
      </c>
      <c r="E49" s="44">
        <f t="shared" si="0"/>
        <v>2.7269212039999999</v>
      </c>
    </row>
    <row r="50" spans="1:13" s="5" customFormat="1" ht="13.9" customHeight="1">
      <c r="A50" s="580" t="s">
        <v>209</v>
      </c>
      <c r="B50" s="794" t="s">
        <v>210</v>
      </c>
      <c r="C50" s="795"/>
      <c r="D50" s="584">
        <f>'Servente de Limpeza'!D50</f>
        <v>0.08</v>
      </c>
      <c r="E50" s="44">
        <f t="shared" si="0"/>
        <v>109.07684816</v>
      </c>
    </row>
    <row r="51" spans="1:13" s="5" customFormat="1">
      <c r="A51" s="796" t="s">
        <v>211</v>
      </c>
      <c r="B51" s="796"/>
      <c r="C51" s="796"/>
      <c r="D51" s="305">
        <f>SUM(D43:D50)</f>
        <v>0.34800000000000003</v>
      </c>
      <c r="E51" s="45">
        <f>SUM(E43:E50)</f>
        <v>474.48428949599992</v>
      </c>
    </row>
    <row r="52" spans="1:13" s="5" customFormat="1">
      <c r="A52" s="16"/>
      <c r="B52" s="16"/>
      <c r="C52" s="16"/>
      <c r="D52" s="16"/>
      <c r="E52" s="8"/>
    </row>
    <row r="53" spans="1:13" s="5" customFormat="1">
      <c r="A53" s="759" t="s">
        <v>212</v>
      </c>
      <c r="B53" s="759"/>
      <c r="C53" s="759"/>
      <c r="D53" s="759"/>
      <c r="E53" s="759"/>
    </row>
    <row r="54" spans="1:13" s="6" customFormat="1" ht="14.45" customHeight="1">
      <c r="A54" s="53" t="s">
        <v>213</v>
      </c>
      <c r="B54" s="760" t="s">
        <v>214</v>
      </c>
      <c r="C54" s="760"/>
      <c r="D54" s="53"/>
      <c r="E54" s="53" t="s">
        <v>177</v>
      </c>
    </row>
    <row r="55" spans="1:13" s="6" customFormat="1" ht="15">
      <c r="A55" s="58" t="s">
        <v>115</v>
      </c>
      <c r="B55" s="786" t="s">
        <v>215</v>
      </c>
      <c r="C55" s="787"/>
      <c r="D55" s="176">
        <f>'Servente de Limpeza'!D55</f>
        <v>3.7</v>
      </c>
      <c r="E55" s="59">
        <f>IF((D55*22*2-6%*E26)&gt;0,D55*22*2-6%*E26,0)</f>
        <v>89.174600000000012</v>
      </c>
      <c r="G55" t="s">
        <v>216</v>
      </c>
      <c r="M55" s="31">
        <f>E26*0.06</f>
        <v>73.625399999999999</v>
      </c>
    </row>
    <row r="56" spans="1:13" s="6" customFormat="1" ht="27.75" customHeight="1">
      <c r="A56" s="295" t="s">
        <v>116</v>
      </c>
      <c r="B56" s="788" t="s">
        <v>217</v>
      </c>
      <c r="C56" s="789"/>
      <c r="D56" s="176">
        <f>'Servente de Limpeza'!D56</f>
        <v>22</v>
      </c>
      <c r="E56" s="46">
        <f>'Servente de Limpeza'!E56</f>
        <v>411.4</v>
      </c>
      <c r="G56" t="s">
        <v>218</v>
      </c>
      <c r="I56" s="31">
        <f>E55</f>
        <v>89.174600000000012</v>
      </c>
      <c r="K56" s="6" t="s">
        <v>219</v>
      </c>
      <c r="M56" s="31">
        <f>M55+I56</f>
        <v>162.80000000000001</v>
      </c>
    </row>
    <row r="57" spans="1:13" s="6" customFormat="1">
      <c r="A57" s="295" t="s">
        <v>117</v>
      </c>
      <c r="B57" s="788" t="s">
        <v>220</v>
      </c>
      <c r="C57" s="789"/>
      <c r="D57" s="307"/>
      <c r="E57" s="44">
        <v>15</v>
      </c>
    </row>
    <row r="58" spans="1:13" s="6" customFormat="1">
      <c r="A58" s="2" t="s">
        <v>156</v>
      </c>
      <c r="B58" s="737" t="s">
        <v>221</v>
      </c>
      <c r="C58" s="738"/>
      <c r="D58" s="308"/>
      <c r="E58" s="60"/>
      <c r="G58" s="6" t="s">
        <v>222</v>
      </c>
      <c r="I58" s="37">
        <f>22*D56-E56</f>
        <v>72.600000000000023</v>
      </c>
      <c r="K58" s="37">
        <f>22*D56</f>
        <v>484</v>
      </c>
    </row>
    <row r="59" spans="1:13" s="5" customFormat="1" ht="15" thickBot="1">
      <c r="A59" s="772" t="s">
        <v>223</v>
      </c>
      <c r="B59" s="773"/>
      <c r="C59" s="773"/>
      <c r="D59" s="773"/>
      <c r="E59" s="50">
        <f>SUM(E55:E57)</f>
        <v>515.57459999999992</v>
      </c>
    </row>
    <row r="60" spans="1:13" s="5" customFormat="1" ht="15" customHeight="1" thickBot="1">
      <c r="A60" s="62"/>
      <c r="B60" s="784"/>
      <c r="C60" s="784"/>
      <c r="D60" s="784"/>
      <c r="E60" s="785"/>
    </row>
    <row r="61" spans="1:13" s="5" customFormat="1" ht="15" customHeight="1" thickBot="1">
      <c r="A61" s="774" t="s">
        <v>224</v>
      </c>
      <c r="B61" s="775"/>
      <c r="C61" s="775"/>
      <c r="D61" s="775"/>
      <c r="E61" s="776"/>
    </row>
    <row r="62" spans="1:13" s="5" customFormat="1" ht="15" customHeight="1" thickBot="1">
      <c r="A62" s="21" t="s">
        <v>115</v>
      </c>
      <c r="B62" s="777" t="s">
        <v>225</v>
      </c>
      <c r="C62" s="778"/>
      <c r="D62" s="22"/>
      <c r="E62" s="23">
        <f>E32/220*1.5*15*0.5*D62</f>
        <v>0</v>
      </c>
      <c r="G62" s="5" t="s">
        <v>226</v>
      </c>
    </row>
    <row r="63" spans="1:13" s="5" customFormat="1" ht="15" customHeight="1" thickBot="1">
      <c r="A63" s="24"/>
      <c r="B63" s="779" t="s">
        <v>227</v>
      </c>
      <c r="C63" s="780"/>
      <c r="D63" s="24"/>
      <c r="E63" s="25">
        <f>E62</f>
        <v>0</v>
      </c>
      <c r="G63" s="5" t="s">
        <v>228</v>
      </c>
    </row>
    <row r="64" spans="1:13" s="5" customFormat="1" ht="15" customHeight="1">
      <c r="A64" s="781"/>
      <c r="B64" s="782"/>
      <c r="C64" s="782"/>
      <c r="D64" s="782"/>
      <c r="E64" s="783"/>
      <c r="G64" s="5" t="s">
        <v>229</v>
      </c>
    </row>
    <row r="65" spans="1:7" s="5" customFormat="1">
      <c r="A65" s="744" t="s">
        <v>230</v>
      </c>
      <c r="B65" s="744"/>
      <c r="C65" s="744"/>
      <c r="D65" s="744"/>
      <c r="E65" s="744"/>
      <c r="G65" s="5" t="s">
        <v>231</v>
      </c>
    </row>
    <row r="66" spans="1:7" s="5" customFormat="1">
      <c r="A66" s="53"/>
      <c r="B66" s="761" t="s">
        <v>232</v>
      </c>
      <c r="C66" s="761"/>
      <c r="D66" s="53" t="s">
        <v>233</v>
      </c>
      <c r="E66" s="51" t="s">
        <v>177</v>
      </c>
      <c r="G66" s="5" t="s">
        <v>234</v>
      </c>
    </row>
    <row r="67" spans="1:7" s="5" customFormat="1">
      <c r="A67" s="9" t="s">
        <v>190</v>
      </c>
      <c r="B67" s="745" t="s">
        <v>235</v>
      </c>
      <c r="C67" s="745"/>
      <c r="D67" s="95">
        <f>D39</f>
        <v>0.11113333333333333</v>
      </c>
      <c r="E67" s="65">
        <f>E39</f>
        <v>136.37060199999999</v>
      </c>
    </row>
    <row r="68" spans="1:7" s="5" customFormat="1">
      <c r="A68" s="581" t="s">
        <v>197</v>
      </c>
      <c r="B68" s="746" t="s">
        <v>236</v>
      </c>
      <c r="C68" s="746"/>
      <c r="D68" s="309">
        <f>D51</f>
        <v>0.34800000000000003</v>
      </c>
      <c r="E68" s="39">
        <f>E51</f>
        <v>474.48428949599992</v>
      </c>
    </row>
    <row r="69" spans="1:7" s="5" customFormat="1">
      <c r="A69" s="581" t="s">
        <v>213</v>
      </c>
      <c r="B69" s="746" t="s">
        <v>237</v>
      </c>
      <c r="C69" s="746"/>
      <c r="D69" s="309">
        <v>0</v>
      </c>
      <c r="E69" s="39">
        <f>E59</f>
        <v>515.57459999999992</v>
      </c>
    </row>
    <row r="70" spans="1:7" s="5" customFormat="1">
      <c r="A70" s="581" t="s">
        <v>238</v>
      </c>
      <c r="B70" s="746" t="s">
        <v>239</v>
      </c>
      <c r="C70" s="746"/>
      <c r="D70" s="309">
        <v>0</v>
      </c>
      <c r="E70" s="39">
        <f>E63</f>
        <v>0</v>
      </c>
    </row>
    <row r="71" spans="1:7" s="5" customFormat="1" ht="15" thickBot="1">
      <c r="A71" s="751" t="s">
        <v>240</v>
      </c>
      <c r="B71" s="752"/>
      <c r="C71" s="753"/>
      <c r="D71" s="26">
        <f>SUM(D67:D70)</f>
        <v>0.45913333333333339</v>
      </c>
      <c r="E71" s="42">
        <f>SUM(E67:E70)</f>
        <v>1126.4294914959999</v>
      </c>
    </row>
    <row r="72" spans="1:7" s="5" customFormat="1">
      <c r="A72" s="18"/>
      <c r="B72" s="18"/>
      <c r="C72" s="18"/>
      <c r="D72" s="27"/>
      <c r="E72" s="8"/>
    </row>
    <row r="73" spans="1:7" s="5" customFormat="1">
      <c r="A73" s="757" t="s">
        <v>241</v>
      </c>
      <c r="B73" s="758"/>
      <c r="C73" s="758"/>
      <c r="D73" s="758"/>
      <c r="E73" s="758"/>
    </row>
    <row r="74" spans="1:7" s="5" customFormat="1">
      <c r="A74" s="759" t="s">
        <v>241</v>
      </c>
      <c r="B74" s="759"/>
      <c r="C74" s="759"/>
      <c r="D74" s="759"/>
      <c r="E74" s="759"/>
    </row>
    <row r="75" spans="1:7" s="5" customFormat="1">
      <c r="A75" s="53">
        <v>3</v>
      </c>
      <c r="B75" s="761" t="s">
        <v>242</v>
      </c>
      <c r="C75" s="761"/>
      <c r="D75" s="51" t="s">
        <v>233</v>
      </c>
      <c r="E75" s="64" t="s">
        <v>177</v>
      </c>
    </row>
    <row r="76" spans="1:7" s="5" customFormat="1">
      <c r="A76" s="63" t="s">
        <v>178</v>
      </c>
      <c r="B76" s="745" t="s">
        <v>243</v>
      </c>
      <c r="C76" s="745"/>
      <c r="D76" s="96">
        <f>'Servente de Limpeza'!D76</f>
        <v>4.1666666666666666E-3</v>
      </c>
      <c r="E76" s="39">
        <f>D76*$E$32</f>
        <v>5.1128749999999998</v>
      </c>
    </row>
    <row r="77" spans="1:7" s="5" customFormat="1" ht="13.9" customHeight="1">
      <c r="A77" s="87" t="s">
        <v>193</v>
      </c>
      <c r="B77" s="746" t="s">
        <v>244</v>
      </c>
      <c r="C77" s="746"/>
      <c r="D77" s="96">
        <f>'Servente de Limpeza'!D77</f>
        <v>2.9999999999999997E-4</v>
      </c>
      <c r="E77" s="39">
        <f t="shared" ref="E77:E81" si="1">D77*$E$32</f>
        <v>0.36812699999999993</v>
      </c>
    </row>
    <row r="78" spans="1:7" s="5" customFormat="1" ht="13.9" customHeight="1">
      <c r="A78" s="87" t="s">
        <v>245</v>
      </c>
      <c r="B78" s="746" t="s">
        <v>246</v>
      </c>
      <c r="C78" s="746"/>
      <c r="D78" s="96">
        <f>'Servente de Limpeza'!D78</f>
        <v>3.4683840000000001E-2</v>
      </c>
      <c r="E78" s="39">
        <f t="shared" si="1"/>
        <v>42.560193225599996</v>
      </c>
    </row>
    <row r="79" spans="1:7" s="5" customFormat="1" ht="13.9" customHeight="1">
      <c r="A79" s="87" t="s">
        <v>118</v>
      </c>
      <c r="B79" s="746" t="s">
        <v>247</v>
      </c>
      <c r="C79" s="746"/>
      <c r="D79" s="96">
        <f>'Servente de Limpeza'!D79</f>
        <v>1.9444444444444445E-2</v>
      </c>
      <c r="E79" s="39">
        <f t="shared" si="1"/>
        <v>23.860083333333332</v>
      </c>
    </row>
    <row r="80" spans="1:7" s="5" customFormat="1" ht="13.9" customHeight="1">
      <c r="A80" s="87" t="s">
        <v>119</v>
      </c>
      <c r="B80" s="764" t="s">
        <v>248</v>
      </c>
      <c r="C80" s="771"/>
      <c r="D80" s="96">
        <f>'Servente de Limpeza'!D80</f>
        <v>1.5555555555555557E-3</v>
      </c>
      <c r="E80" s="39">
        <f t="shared" si="1"/>
        <v>1.9088066666666668</v>
      </c>
    </row>
    <row r="81" spans="1:5" s="5" customFormat="1">
      <c r="A81" s="87" t="s">
        <v>205</v>
      </c>
      <c r="B81" s="764" t="s">
        <v>249</v>
      </c>
      <c r="C81" s="771"/>
      <c r="D81" s="96">
        <f>'Servente de Limpeza'!D81</f>
        <v>2.0000000000000001E-4</v>
      </c>
      <c r="E81" s="39">
        <f t="shared" si="1"/>
        <v>0.245418</v>
      </c>
    </row>
    <row r="82" spans="1:5" s="5" customFormat="1" ht="14.45" customHeight="1" thickBot="1">
      <c r="A82" s="751" t="s">
        <v>250</v>
      </c>
      <c r="B82" s="752"/>
      <c r="C82" s="753"/>
      <c r="D82" s="26">
        <f>SUM(D76:D81)</f>
        <v>6.0350506666666665E-2</v>
      </c>
      <c r="E82" s="42">
        <f>SUM(E76:E81)</f>
        <v>74.055503225599992</v>
      </c>
    </row>
    <row r="83" spans="1:5" s="5" customFormat="1">
      <c r="A83" s="18"/>
      <c r="B83" s="18"/>
      <c r="C83" s="18"/>
      <c r="D83" s="27"/>
      <c r="E83" s="8"/>
    </row>
    <row r="84" spans="1:5" s="5" customFormat="1">
      <c r="A84" s="757" t="s">
        <v>251</v>
      </c>
      <c r="B84" s="758"/>
      <c r="C84" s="758"/>
      <c r="D84" s="758"/>
      <c r="E84" s="758"/>
    </row>
    <row r="85" spans="1:5" s="5" customFormat="1" ht="16.5" customHeight="1">
      <c r="A85" s="759" t="s">
        <v>252</v>
      </c>
      <c r="B85" s="759"/>
      <c r="C85" s="759"/>
      <c r="D85" s="759"/>
      <c r="E85" s="759"/>
    </row>
    <row r="86" spans="1:5" s="5" customFormat="1">
      <c r="A86" s="53" t="s">
        <v>253</v>
      </c>
      <c r="B86" s="760" t="s">
        <v>254</v>
      </c>
      <c r="C86" s="760"/>
      <c r="D86" s="53" t="s">
        <v>233</v>
      </c>
      <c r="E86" s="53" t="s">
        <v>177</v>
      </c>
    </row>
    <row r="87" spans="1:5" s="5" customFormat="1">
      <c r="A87" s="54" t="s">
        <v>178</v>
      </c>
      <c r="B87" s="769" t="s">
        <v>255</v>
      </c>
      <c r="C87" s="769"/>
      <c r="D87" s="96">
        <f>'Servente de Limpeza'!D87</f>
        <v>8.3299999999999999E-2</v>
      </c>
      <c r="E87" s="65">
        <f>D87*$E$32</f>
        <v>102.21659699999999</v>
      </c>
    </row>
    <row r="88" spans="1:5" s="5" customFormat="1">
      <c r="A88" s="86" t="s">
        <v>193</v>
      </c>
      <c r="B88" s="770" t="s">
        <v>254</v>
      </c>
      <c r="C88" s="770"/>
      <c r="D88" s="96">
        <f>'Servente de Limpeza'!D88</f>
        <v>1.6299999999999999E-2</v>
      </c>
      <c r="E88" s="39">
        <f t="shared" ref="E88:E92" si="2">D88*$E$32</f>
        <v>20.001566999999998</v>
      </c>
    </row>
    <row r="89" spans="1:5" s="5" customFormat="1">
      <c r="A89" s="86" t="s">
        <v>245</v>
      </c>
      <c r="B89" s="770" t="s">
        <v>256</v>
      </c>
      <c r="C89" s="770"/>
      <c r="D89" s="96">
        <f>'Servente de Limpeza'!D89</f>
        <v>2.0000000000000001E-4</v>
      </c>
      <c r="E89" s="39">
        <f t="shared" si="2"/>
        <v>0.245418</v>
      </c>
    </row>
    <row r="90" spans="1:5" s="5" customFormat="1" ht="29.25" customHeight="1">
      <c r="A90" s="86" t="s">
        <v>118</v>
      </c>
      <c r="B90" s="770" t="s">
        <v>257</v>
      </c>
      <c r="C90" s="770"/>
      <c r="D90" s="94">
        <f>'Servente de Limpeza'!D90</f>
        <v>3.3E-3</v>
      </c>
      <c r="E90" s="39">
        <f t="shared" si="2"/>
        <v>4.0493969999999999</v>
      </c>
    </row>
    <row r="91" spans="1:5" s="5" customFormat="1">
      <c r="A91" s="86" t="s">
        <v>119</v>
      </c>
      <c r="B91" s="770" t="s">
        <v>258</v>
      </c>
      <c r="C91" s="770"/>
      <c r="D91" s="96">
        <f>'Servente de Limpeza'!D91</f>
        <v>5.5000000000000003E-4</v>
      </c>
      <c r="E91" s="39">
        <f t="shared" si="2"/>
        <v>0.67489949999999999</v>
      </c>
    </row>
    <row r="92" spans="1:5" s="5" customFormat="1">
      <c r="A92" s="87" t="s">
        <v>185</v>
      </c>
      <c r="B92" s="746" t="s">
        <v>259</v>
      </c>
      <c r="C92" s="746"/>
      <c r="D92" s="96">
        <f>'Servente de Limpeza'!D92</f>
        <v>0</v>
      </c>
      <c r="E92" s="39">
        <f t="shared" si="2"/>
        <v>0</v>
      </c>
    </row>
    <row r="93" spans="1:5" s="5" customFormat="1">
      <c r="A93" s="766" t="s">
        <v>260</v>
      </c>
      <c r="B93" s="767"/>
      <c r="C93" s="768"/>
      <c r="D93" s="311">
        <f>SUM(D87:D92)</f>
        <v>0.10364999999999999</v>
      </c>
      <c r="E93" s="42">
        <f>SUM(E87:E92)</f>
        <v>127.18787849999998</v>
      </c>
    </row>
    <row r="94" spans="1:5" s="5" customFormat="1">
      <c r="A94" s="18"/>
      <c r="B94" s="18"/>
      <c r="C94" s="18"/>
      <c r="D94" s="27"/>
      <c r="E94" s="8"/>
    </row>
    <row r="95" spans="1:5" s="5" customFormat="1">
      <c r="A95" s="759" t="s">
        <v>261</v>
      </c>
      <c r="B95" s="759"/>
      <c r="C95" s="759"/>
      <c r="D95" s="759"/>
      <c r="E95" s="759"/>
    </row>
    <row r="96" spans="1:5" s="5" customFormat="1">
      <c r="A96" s="53" t="s">
        <v>262</v>
      </c>
      <c r="B96" s="760" t="s">
        <v>263</v>
      </c>
      <c r="C96" s="760"/>
      <c r="D96" s="53" t="s">
        <v>233</v>
      </c>
      <c r="E96" s="53" t="s">
        <v>177</v>
      </c>
    </row>
    <row r="97" spans="1:5">
      <c r="A97" s="54" t="s">
        <v>178</v>
      </c>
      <c r="B97" s="769" t="s">
        <v>264</v>
      </c>
      <c r="C97" s="769"/>
      <c r="D97" s="97">
        <v>0</v>
      </c>
      <c r="E97" s="65">
        <f>(E32+E71+E82)/220*1*15*D97</f>
        <v>0</v>
      </c>
    </row>
    <row r="98" spans="1:5" ht="15" thickBot="1">
      <c r="A98" s="751" t="s">
        <v>265</v>
      </c>
      <c r="B98" s="752"/>
      <c r="C98" s="752"/>
      <c r="D98" s="752"/>
      <c r="E98" s="42">
        <f>E97</f>
        <v>0</v>
      </c>
    </row>
    <row r="99" spans="1:5">
      <c r="A99" s="9"/>
      <c r="B99" s="15"/>
      <c r="C99" s="15"/>
      <c r="D99" s="10"/>
      <c r="E99" s="7"/>
    </row>
    <row r="100" spans="1:5">
      <c r="A100" s="744" t="s">
        <v>266</v>
      </c>
      <c r="B100" s="744"/>
      <c r="C100" s="744"/>
      <c r="D100" s="744"/>
      <c r="E100" s="744"/>
    </row>
    <row r="101" spans="1:5">
      <c r="A101" s="53"/>
      <c r="B101" s="761" t="s">
        <v>267</v>
      </c>
      <c r="C101" s="761"/>
      <c r="D101" s="53" t="s">
        <v>233</v>
      </c>
      <c r="E101" s="51" t="s">
        <v>177</v>
      </c>
    </row>
    <row r="102" spans="1:5">
      <c r="A102" s="9" t="s">
        <v>253</v>
      </c>
      <c r="B102" s="745" t="s">
        <v>254</v>
      </c>
      <c r="C102" s="745"/>
      <c r="D102" s="95">
        <f>D93</f>
        <v>0.10364999999999999</v>
      </c>
      <c r="E102" s="65">
        <f>E93</f>
        <v>127.18787849999998</v>
      </c>
    </row>
    <row r="103" spans="1:5">
      <c r="A103" s="581" t="s">
        <v>262</v>
      </c>
      <c r="B103" s="746" t="s">
        <v>263</v>
      </c>
      <c r="C103" s="746"/>
      <c r="D103" s="312">
        <v>0</v>
      </c>
      <c r="E103" s="43">
        <f>E98</f>
        <v>0</v>
      </c>
    </row>
    <row r="104" spans="1:5" ht="15" thickBot="1">
      <c r="A104" s="751" t="s">
        <v>268</v>
      </c>
      <c r="B104" s="752"/>
      <c r="C104" s="753"/>
      <c r="D104" s="26">
        <f>SUM(D102:D103)</f>
        <v>0.10364999999999999</v>
      </c>
      <c r="E104" s="42">
        <f>E102+E103</f>
        <v>127.18787849999998</v>
      </c>
    </row>
    <row r="105" spans="1:5">
      <c r="A105" s="13"/>
      <c r="B105" s="18"/>
      <c r="C105" s="18"/>
      <c r="D105" s="27"/>
      <c r="E105" s="8"/>
    </row>
    <row r="106" spans="1:5">
      <c r="A106" s="757" t="s">
        <v>269</v>
      </c>
      <c r="B106" s="758"/>
      <c r="C106" s="758"/>
      <c r="D106" s="758"/>
      <c r="E106" s="758"/>
    </row>
    <row r="107" spans="1:5">
      <c r="A107" s="759" t="s">
        <v>269</v>
      </c>
      <c r="B107" s="759"/>
      <c r="C107" s="759"/>
      <c r="D107" s="759"/>
      <c r="E107" s="759"/>
    </row>
    <row r="108" spans="1:5">
      <c r="A108" s="53">
        <v>5</v>
      </c>
      <c r="B108" s="761" t="s">
        <v>270</v>
      </c>
      <c r="C108" s="761"/>
      <c r="D108" s="761"/>
      <c r="E108" s="51" t="s">
        <v>177</v>
      </c>
    </row>
    <row r="109" spans="1:5">
      <c r="A109" s="54" t="s">
        <v>178</v>
      </c>
      <c r="B109" s="762" t="s">
        <v>271</v>
      </c>
      <c r="C109" s="763"/>
      <c r="D109" s="763"/>
      <c r="E109" s="255" t="e">
        <f>#REF!</f>
        <v>#REF!</v>
      </c>
    </row>
    <row r="110" spans="1:5">
      <c r="A110" s="86" t="s">
        <v>193</v>
      </c>
      <c r="B110" s="764" t="s">
        <v>272</v>
      </c>
      <c r="C110" s="765"/>
      <c r="D110" s="765"/>
      <c r="E110" s="38">
        <f>'Eq. Materiais Lavador'!H22</f>
        <v>0.69055555555555559</v>
      </c>
    </row>
    <row r="111" spans="1:5">
      <c r="A111" s="86" t="s">
        <v>117</v>
      </c>
      <c r="B111" s="764" t="s">
        <v>273</v>
      </c>
      <c r="C111" s="765"/>
      <c r="D111" s="765"/>
      <c r="E111" s="266">
        <f>'Eq. Materiais Lavador'!H16</f>
        <v>8.7433333333333323</v>
      </c>
    </row>
    <row r="112" spans="1:5">
      <c r="A112" s="86" t="s">
        <v>118</v>
      </c>
      <c r="B112" s="310" t="s">
        <v>274</v>
      </c>
      <c r="C112" s="313"/>
      <c r="D112" s="313"/>
      <c r="E112" s="266">
        <f>'Eq. Materiais Lavador'!H4</f>
        <v>24.022166666666667</v>
      </c>
    </row>
    <row r="113" spans="1:5">
      <c r="A113" s="86" t="str">
        <f>'Servente de Limpeza'!A113</f>
        <v>E</v>
      </c>
      <c r="B113" s="310" t="str">
        <f>'Servente de Limpeza'!B113</f>
        <v>Medicina do Trabalho</v>
      </c>
      <c r="C113" s="313"/>
      <c r="D113" s="313"/>
      <c r="E113" s="38">
        <f>'Servente de Limpeza'!E113</f>
        <v>35</v>
      </c>
    </row>
    <row r="114" spans="1:5" s="5" customFormat="1" ht="15" thickBot="1">
      <c r="A114" s="751" t="s">
        <v>276</v>
      </c>
      <c r="B114" s="752"/>
      <c r="C114" s="752"/>
      <c r="D114" s="753"/>
      <c r="E114" s="284" t="e">
        <f>SUM(E109:E113)</f>
        <v>#REF!</v>
      </c>
    </row>
    <row r="115" spans="1:5">
      <c r="E115" s="12">
        <f>D71+D82+D104</f>
        <v>0.62313384000000005</v>
      </c>
    </row>
    <row r="116" spans="1:5">
      <c r="A116" s="754" t="s">
        <v>277</v>
      </c>
      <c r="B116" s="755"/>
      <c r="C116" s="755"/>
      <c r="D116" s="756"/>
      <c r="E116" s="314">
        <f>D39+D51+D82+D93</f>
        <v>0.62313384000000005</v>
      </c>
    </row>
    <row r="117" spans="1:5">
      <c r="A117" s="757" t="s">
        <v>278</v>
      </c>
      <c r="B117" s="758"/>
      <c r="C117" s="758"/>
      <c r="D117" s="758"/>
      <c r="E117" s="758"/>
    </row>
    <row r="118" spans="1:5" s="6" customFormat="1">
      <c r="A118" s="759" t="s">
        <v>278</v>
      </c>
      <c r="B118" s="759"/>
      <c r="C118" s="759"/>
      <c r="D118" s="759"/>
      <c r="E118" s="759"/>
    </row>
    <row r="119" spans="1:5">
      <c r="A119" s="53">
        <v>6</v>
      </c>
      <c r="B119" s="760" t="s">
        <v>279</v>
      </c>
      <c r="C119" s="760"/>
      <c r="D119" s="53" t="s">
        <v>176</v>
      </c>
      <c r="E119" s="53" t="s">
        <v>177</v>
      </c>
    </row>
    <row r="120" spans="1:5">
      <c r="A120" s="11" t="s">
        <v>178</v>
      </c>
      <c r="B120" s="745" t="s">
        <v>280</v>
      </c>
      <c r="C120" s="745"/>
      <c r="D120" s="96">
        <f>'Servente de Limpeza'!D120</f>
        <v>7.4999999999999997E-3</v>
      </c>
      <c r="E120" s="65" t="e">
        <f>D120*E135</f>
        <v>#REF!</v>
      </c>
    </row>
    <row r="121" spans="1:5">
      <c r="A121" s="582" t="s">
        <v>193</v>
      </c>
      <c r="B121" s="746" t="s">
        <v>281</v>
      </c>
      <c r="C121" s="746"/>
      <c r="D121" s="96">
        <f>'Servente de Limpeza'!D121</f>
        <v>7.0000000000000001E-3</v>
      </c>
      <c r="E121" s="39" t="e">
        <f>D121*(E120+E135)</f>
        <v>#REF!</v>
      </c>
    </row>
    <row r="122" spans="1:5">
      <c r="A122" s="747" t="s">
        <v>117</v>
      </c>
      <c r="B122" s="750" t="s">
        <v>282</v>
      </c>
      <c r="C122" s="750"/>
      <c r="D122" s="311"/>
      <c r="E122" s="50"/>
    </row>
    <row r="123" spans="1:5">
      <c r="A123" s="748"/>
      <c r="B123" s="746" t="s">
        <v>283</v>
      </c>
      <c r="C123" s="746"/>
      <c r="D123" s="315">
        <f>'Servente de Limpeza'!D123</f>
        <v>6.4999999999999997E-3</v>
      </c>
      <c r="E123" s="39" t="e">
        <f>($E$120+$E$121+$E$135)/(1-($D$123+$D$124+$D$125))*D123</f>
        <v>#REF!</v>
      </c>
    </row>
    <row r="124" spans="1:5">
      <c r="A124" s="748"/>
      <c r="B124" s="746" t="s">
        <v>284</v>
      </c>
      <c r="C124" s="746"/>
      <c r="D124" s="315">
        <f>'Servente de Limpeza'!D124</f>
        <v>0.03</v>
      </c>
      <c r="E124" s="39" t="e">
        <f t="shared" ref="E124:E125" si="3">($E$120+$E$121+$E$135)/(1-($D$123+$D$124+$D$125))*D124</f>
        <v>#REF!</v>
      </c>
    </row>
    <row r="125" spans="1:5" s="3" customFormat="1">
      <c r="A125" s="749"/>
      <c r="B125" s="746" t="s">
        <v>285</v>
      </c>
      <c r="C125" s="746"/>
      <c r="D125" s="315">
        <f>'Servente de Limpeza'!D125</f>
        <v>0.05</v>
      </c>
      <c r="E125" s="39" t="e">
        <f t="shared" si="3"/>
        <v>#REF!</v>
      </c>
    </row>
    <row r="126" spans="1:5" ht="15" thickBot="1">
      <c r="A126" s="741" t="s">
        <v>286</v>
      </c>
      <c r="B126" s="742"/>
      <c r="C126" s="743"/>
      <c r="D126" s="28">
        <f>SUM(D120:D125)</f>
        <v>0.10100000000000001</v>
      </c>
      <c r="E126" s="49" t="e">
        <f>SUM(E120:E125)</f>
        <v>#REF!</v>
      </c>
    </row>
    <row r="127" spans="1:5">
      <c r="D127" s="33"/>
    </row>
    <row r="128" spans="1:5">
      <c r="A128" s="744" t="s">
        <v>287</v>
      </c>
      <c r="B128" s="744"/>
      <c r="C128" s="744"/>
      <c r="D128" s="744"/>
      <c r="E128" s="744"/>
    </row>
    <row r="129" spans="1:5" ht="14.45" customHeight="1">
      <c r="A129" s="740" t="s">
        <v>288</v>
      </c>
      <c r="B129" s="740"/>
      <c r="C129" s="740"/>
      <c r="D129" s="740"/>
      <c r="E129" s="53" t="s">
        <v>289</v>
      </c>
    </row>
    <row r="130" spans="1:5">
      <c r="A130" s="36" t="s">
        <v>178</v>
      </c>
      <c r="B130" s="739" t="s">
        <v>290</v>
      </c>
      <c r="C130" s="739"/>
      <c r="D130" s="739"/>
      <c r="E130" s="67">
        <f>E32</f>
        <v>1227.0899999999999</v>
      </c>
    </row>
    <row r="131" spans="1:5">
      <c r="A131" s="36" t="s">
        <v>193</v>
      </c>
      <c r="B131" s="739" t="s">
        <v>291</v>
      </c>
      <c r="C131" s="739"/>
      <c r="D131" s="739"/>
      <c r="E131" s="68">
        <f>E71</f>
        <v>1126.4294914959999</v>
      </c>
    </row>
    <row r="132" spans="1:5">
      <c r="A132" s="36" t="s">
        <v>245</v>
      </c>
      <c r="B132" s="739" t="s">
        <v>292</v>
      </c>
      <c r="C132" s="739"/>
      <c r="D132" s="739"/>
      <c r="E132" s="68">
        <f>E82</f>
        <v>74.055503225599992</v>
      </c>
    </row>
    <row r="133" spans="1:5">
      <c r="A133" s="36" t="s">
        <v>118</v>
      </c>
      <c r="B133" s="739" t="s">
        <v>293</v>
      </c>
      <c r="C133" s="739"/>
      <c r="D133" s="739"/>
      <c r="E133" s="68">
        <f>E104</f>
        <v>127.18787849999998</v>
      </c>
    </row>
    <row r="134" spans="1:5">
      <c r="A134" s="36" t="s">
        <v>119</v>
      </c>
      <c r="B134" s="66" t="s">
        <v>294</v>
      </c>
      <c r="C134" s="66"/>
      <c r="D134" s="36"/>
      <c r="E134" s="67" t="e">
        <f>E114</f>
        <v>#REF!</v>
      </c>
    </row>
    <row r="135" spans="1:5">
      <c r="A135" s="740" t="s">
        <v>295</v>
      </c>
      <c r="B135" s="740"/>
      <c r="C135" s="740"/>
      <c r="D135" s="740"/>
      <c r="E135" s="69" t="e">
        <f>SUM(E130:E134)</f>
        <v>#REF!</v>
      </c>
    </row>
    <row r="136" spans="1:5" s="5" customFormat="1">
      <c r="A136" s="36" t="s">
        <v>185</v>
      </c>
      <c r="B136" s="739" t="s">
        <v>296</v>
      </c>
      <c r="C136" s="739"/>
      <c r="D136" s="739"/>
      <c r="E136" s="68" t="e">
        <f>E126</f>
        <v>#REF!</v>
      </c>
    </row>
    <row r="137" spans="1:5">
      <c r="A137" s="740" t="s">
        <v>297</v>
      </c>
      <c r="B137" s="740"/>
      <c r="C137" s="740"/>
      <c r="D137" s="740"/>
      <c r="E137" s="41" t="e">
        <f>SUM(E135:E136)</f>
        <v>#REF!</v>
      </c>
    </row>
    <row r="138" spans="1:5">
      <c r="E138" s="32"/>
    </row>
  </sheetData>
  <mergeCells count="130">
    <mergeCell ref="B133:D133"/>
    <mergeCell ref="A135:D135"/>
    <mergeCell ref="B136:D136"/>
    <mergeCell ref="A137:D137"/>
    <mergeCell ref="A126:C126"/>
    <mergeCell ref="A128:E128"/>
    <mergeCell ref="A129:D129"/>
    <mergeCell ref="B130:D130"/>
    <mergeCell ref="B131:D131"/>
    <mergeCell ref="B132:D132"/>
    <mergeCell ref="B121:C121"/>
    <mergeCell ref="A122:A125"/>
    <mergeCell ref="B122:C122"/>
    <mergeCell ref="B123:C123"/>
    <mergeCell ref="B124:C124"/>
    <mergeCell ref="B125:C125"/>
    <mergeCell ref="A114:D114"/>
    <mergeCell ref="A116:D116"/>
    <mergeCell ref="A117:E117"/>
    <mergeCell ref="A118:E118"/>
    <mergeCell ref="B119:C119"/>
    <mergeCell ref="B120:C120"/>
    <mergeCell ref="A106:E106"/>
    <mergeCell ref="A107:E107"/>
    <mergeCell ref="B108:D108"/>
    <mergeCell ref="B109:D109"/>
    <mergeCell ref="B110:D110"/>
    <mergeCell ref="B111:D111"/>
    <mergeCell ref="A98:D98"/>
    <mergeCell ref="A100:E100"/>
    <mergeCell ref="B101:C101"/>
    <mergeCell ref="B102:C102"/>
    <mergeCell ref="B103:C103"/>
    <mergeCell ref="A104:C104"/>
    <mergeCell ref="B91:C91"/>
    <mergeCell ref="B92:C92"/>
    <mergeCell ref="A93:C93"/>
    <mergeCell ref="A95:E95"/>
    <mergeCell ref="B96:C96"/>
    <mergeCell ref="B97:C97"/>
    <mergeCell ref="A85:E85"/>
    <mergeCell ref="B86:C86"/>
    <mergeCell ref="B87:C87"/>
    <mergeCell ref="B88:C88"/>
    <mergeCell ref="B89:C89"/>
    <mergeCell ref="B90:C90"/>
    <mergeCell ref="B78:C78"/>
    <mergeCell ref="B79:C79"/>
    <mergeCell ref="B80:C80"/>
    <mergeCell ref="B81:C81"/>
    <mergeCell ref="A82:C82"/>
    <mergeCell ref="A84:E84"/>
    <mergeCell ref="A71:C71"/>
    <mergeCell ref="A73:E73"/>
    <mergeCell ref="A74:E74"/>
    <mergeCell ref="B75:C75"/>
    <mergeCell ref="B76:C76"/>
    <mergeCell ref="B77:C77"/>
    <mergeCell ref="A65:E65"/>
    <mergeCell ref="B66:C66"/>
    <mergeCell ref="B67:C67"/>
    <mergeCell ref="B68:C68"/>
    <mergeCell ref="B69:C69"/>
    <mergeCell ref="B70:C70"/>
    <mergeCell ref="A59:D59"/>
    <mergeCell ref="B60:E60"/>
    <mergeCell ref="A61:E61"/>
    <mergeCell ref="B62:C62"/>
    <mergeCell ref="B63:C63"/>
    <mergeCell ref="A64:E64"/>
    <mergeCell ref="A53:E53"/>
    <mergeCell ref="B54:C54"/>
    <mergeCell ref="B55:C55"/>
    <mergeCell ref="B56:C56"/>
    <mergeCell ref="B57:C57"/>
    <mergeCell ref="B58:C58"/>
    <mergeCell ref="B46:C46"/>
    <mergeCell ref="B47:C47"/>
    <mergeCell ref="B48:C48"/>
    <mergeCell ref="B49:C49"/>
    <mergeCell ref="B50:C50"/>
    <mergeCell ref="A51:C51"/>
    <mergeCell ref="B42:C42"/>
    <mergeCell ref="B43:C43"/>
    <mergeCell ref="F43:I43"/>
    <mergeCell ref="B44:C44"/>
    <mergeCell ref="B45:C45"/>
    <mergeCell ref="F45:I45"/>
    <mergeCell ref="A34:E34"/>
    <mergeCell ref="A35:E35"/>
    <mergeCell ref="B36:C36"/>
    <mergeCell ref="B37:C37"/>
    <mergeCell ref="A39:C39"/>
    <mergeCell ref="A41:E41"/>
    <mergeCell ref="B27:C27"/>
    <mergeCell ref="B28:C28"/>
    <mergeCell ref="B29:C29"/>
    <mergeCell ref="B30:C30"/>
    <mergeCell ref="B31:C31"/>
    <mergeCell ref="A32:D32"/>
    <mergeCell ref="B22:C22"/>
    <mergeCell ref="D22:E22"/>
    <mergeCell ref="A23:E23"/>
    <mergeCell ref="A24:E24"/>
    <mergeCell ref="B25:C25"/>
    <mergeCell ref="B26:C26"/>
    <mergeCell ref="B19:C19"/>
    <mergeCell ref="D19:E19"/>
    <mergeCell ref="B20:C20"/>
    <mergeCell ref="D20:E20"/>
    <mergeCell ref="B21:C21"/>
    <mergeCell ref="D21:E21"/>
    <mergeCell ref="C13:D13"/>
    <mergeCell ref="C14:D14"/>
    <mergeCell ref="A16:E16"/>
    <mergeCell ref="A17:E17"/>
    <mergeCell ref="B18:C18"/>
    <mergeCell ref="D18:E18"/>
    <mergeCell ref="B9:C9"/>
    <mergeCell ref="D9:E9"/>
    <mergeCell ref="B10:C10"/>
    <mergeCell ref="D10:E10"/>
    <mergeCell ref="B11:C11"/>
    <mergeCell ref="D11:E11"/>
    <mergeCell ref="A2:E2"/>
    <mergeCell ref="A4:E4"/>
    <mergeCell ref="A5:E5"/>
    <mergeCell ref="A7:E7"/>
    <mergeCell ref="B8:C8"/>
    <mergeCell ref="D8:E8"/>
  </mergeCells>
  <printOptions horizontalCentered="1"/>
  <pageMargins left="1.1811023622047245" right="0.59055118110236227" top="1.5748031496062993" bottom="0.78740157480314965" header="0.31496062992125984" footer="0.31496062992125984"/>
  <pageSetup paperSize="9" scale="49" orientation="portrait" r:id="rId1"/>
  <headerFooter alignWithMargins="0">
    <oddFooter xml:space="preserve">&amp;CRua Ingá Qd. 42 Lote 01 S/N Casa 01/A Parque Primavera - Aparecida de Goiânia-GO
</oddFooter>
  </headerFooter>
  <rowBreaks count="1" manualBreakCount="1">
    <brk id="70" max="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2">
    <tabColor theme="0"/>
  </sheetPr>
  <dimension ref="A2:M133"/>
  <sheetViews>
    <sheetView tabSelected="1" topLeftCell="A37" zoomScaleNormal="100" zoomScaleSheetLayoutView="110" workbookViewId="0">
      <selection activeCell="L62" sqref="L62"/>
    </sheetView>
  </sheetViews>
  <sheetFormatPr defaultColWidth="9.140625" defaultRowHeight="14.25"/>
  <cols>
    <col min="1" max="1" width="7.28515625" style="2" customWidth="1"/>
    <col min="2" max="2" width="31.5703125" style="1" customWidth="1"/>
    <col min="3" max="3" width="34.28515625" style="1" customWidth="1"/>
    <col min="4" max="4" width="16.28515625" style="2" customWidth="1"/>
    <col min="5" max="5" width="23.5703125" style="6" customWidth="1"/>
    <col min="6" max="6" width="18.42578125" style="1" hidden="1" customWidth="1"/>
    <col min="7" max="7" width="12.28515625" style="1" customWidth="1"/>
    <col min="8" max="8" width="11.28515625" style="542" bestFit="1" customWidth="1"/>
    <col min="9" max="9" width="9.140625" style="1"/>
    <col min="10" max="10" width="11.5703125" style="1" bestFit="1" customWidth="1"/>
    <col min="11" max="11" width="9.140625" style="1"/>
    <col min="12" max="12" width="16.5703125" style="1" customWidth="1"/>
    <col min="13" max="13" width="10.5703125" style="1" bestFit="1" customWidth="1"/>
    <col min="14" max="16384" width="9.140625" style="1"/>
  </cols>
  <sheetData>
    <row r="2" spans="1:5">
      <c r="A2" s="828" t="s">
        <v>300</v>
      </c>
      <c r="B2" s="829"/>
      <c r="C2" s="829"/>
      <c r="D2" s="829"/>
      <c r="E2" s="829"/>
    </row>
    <row r="3" spans="1:5">
      <c r="A3" s="837"/>
      <c r="B3" s="838"/>
      <c r="C3" s="838"/>
      <c r="D3" s="838"/>
      <c r="E3" s="838"/>
    </row>
    <row r="4" spans="1:5" ht="15.75">
      <c r="A4" s="830" t="s">
        <v>301</v>
      </c>
      <c r="B4" s="830"/>
      <c r="C4" s="830"/>
      <c r="D4" s="830"/>
      <c r="E4" s="830"/>
    </row>
    <row r="5" spans="1:5" ht="15.75">
      <c r="A5" s="830" t="s">
        <v>302</v>
      </c>
      <c r="B5" s="830"/>
      <c r="C5" s="830"/>
      <c r="D5" s="830"/>
      <c r="E5" s="830"/>
    </row>
    <row r="6" spans="1:5">
      <c r="A6" s="93"/>
      <c r="B6" s="93"/>
      <c r="C6" s="93"/>
      <c r="D6" s="93"/>
      <c r="E6" s="93"/>
    </row>
    <row r="7" spans="1:5">
      <c r="A7" s="750" t="s">
        <v>150</v>
      </c>
      <c r="B7" s="750"/>
      <c r="C7" s="750"/>
      <c r="D7" s="750"/>
      <c r="E7" s="750"/>
    </row>
    <row r="8" spans="1:5">
      <c r="A8" s="295" t="s">
        <v>115</v>
      </c>
      <c r="B8" s="770" t="s">
        <v>151</v>
      </c>
      <c r="C8" s="770"/>
      <c r="D8" s="831"/>
      <c r="E8" s="832"/>
    </row>
    <row r="9" spans="1:5">
      <c r="A9" s="295" t="s">
        <v>116</v>
      </c>
      <c r="B9" s="770" t="s">
        <v>152</v>
      </c>
      <c r="C9" s="770"/>
      <c r="D9" s="813" t="s">
        <v>303</v>
      </c>
      <c r="E9" s="814"/>
    </row>
    <row r="10" spans="1:5">
      <c r="A10" s="295" t="s">
        <v>117</v>
      </c>
      <c r="B10" s="770" t="s">
        <v>154</v>
      </c>
      <c r="C10" s="770"/>
      <c r="D10" s="820" t="s">
        <v>304</v>
      </c>
      <c r="E10" s="821"/>
    </row>
    <row r="11" spans="1:5">
      <c r="A11" s="295" t="s">
        <v>156</v>
      </c>
      <c r="B11" s="770" t="s">
        <v>157</v>
      </c>
      <c r="C11" s="770"/>
      <c r="D11" s="815">
        <v>12</v>
      </c>
      <c r="E11" s="815"/>
    </row>
    <row r="12" spans="1:5">
      <c r="A12" s="14"/>
      <c r="B12" s="15"/>
      <c r="C12" s="15"/>
      <c r="D12" s="14"/>
      <c r="E12" s="14"/>
    </row>
    <row r="13" spans="1:5">
      <c r="A13" s="750" t="s">
        <v>305</v>
      </c>
      <c r="B13" s="750"/>
      <c r="C13" s="750"/>
      <c r="D13" s="750"/>
      <c r="E13" s="750"/>
    </row>
    <row r="14" spans="1:5" ht="28.5">
      <c r="A14" s="296" t="s">
        <v>158</v>
      </c>
      <c r="B14" s="800" t="s">
        <v>159</v>
      </c>
      <c r="C14" s="768"/>
      <c r="D14" s="353" t="s">
        <v>160</v>
      </c>
      <c r="E14" s="296" t="s">
        <v>161</v>
      </c>
    </row>
    <row r="15" spans="1:5">
      <c r="A15" s="297">
        <v>1</v>
      </c>
      <c r="B15" s="839" t="s">
        <v>306</v>
      </c>
      <c r="C15" s="840"/>
      <c r="D15" s="370" t="s">
        <v>307</v>
      </c>
      <c r="E15" s="376"/>
    </row>
    <row r="16" spans="1:5">
      <c r="A16" s="14"/>
      <c r="B16" s="15"/>
      <c r="C16" s="16"/>
      <c r="D16" s="16"/>
      <c r="E16" s="349"/>
    </row>
    <row r="17" spans="1:8" ht="15.75">
      <c r="A17" s="808" t="s">
        <v>164</v>
      </c>
      <c r="B17" s="808"/>
      <c r="C17" s="808"/>
      <c r="D17" s="808"/>
      <c r="E17" s="808"/>
    </row>
    <row r="18" spans="1:8">
      <c r="A18" s="750" t="s">
        <v>165</v>
      </c>
      <c r="B18" s="750"/>
      <c r="C18" s="750"/>
      <c r="D18" s="750"/>
      <c r="E18" s="750"/>
    </row>
    <row r="19" spans="1:8">
      <c r="A19" s="295">
        <v>1</v>
      </c>
      <c r="B19" s="770" t="s">
        <v>166</v>
      </c>
      <c r="C19" s="770"/>
      <c r="D19" s="835" t="s">
        <v>1</v>
      </c>
      <c r="E19" s="836"/>
    </row>
    <row r="20" spans="1:8">
      <c r="A20" s="295">
        <v>2</v>
      </c>
      <c r="B20" s="788" t="s">
        <v>168</v>
      </c>
      <c r="C20" s="789"/>
      <c r="D20" s="833" t="s">
        <v>308</v>
      </c>
      <c r="E20" s="834"/>
      <c r="G20" s="34"/>
    </row>
    <row r="21" spans="1:8">
      <c r="A21" s="295">
        <v>3</v>
      </c>
      <c r="B21" s="770" t="s">
        <v>309</v>
      </c>
      <c r="C21" s="788"/>
      <c r="D21" s="508"/>
      <c r="E21" s="509">
        <f>'Estimativas (C3) (FINAL)'!C26</f>
        <v>3170.9838520666667</v>
      </c>
    </row>
    <row r="22" spans="1:8">
      <c r="A22" s="295">
        <v>4</v>
      </c>
      <c r="B22" s="770" t="s">
        <v>310</v>
      </c>
      <c r="C22" s="770"/>
      <c r="D22" s="822">
        <v>1518</v>
      </c>
      <c r="E22" s="823"/>
    </row>
    <row r="23" spans="1:8">
      <c r="A23" s="295">
        <v>5</v>
      </c>
      <c r="B23" s="770" t="s">
        <v>171</v>
      </c>
      <c r="C23" s="770"/>
      <c r="D23" s="806" t="s">
        <v>311</v>
      </c>
      <c r="E23" s="806"/>
    </row>
    <row r="24" spans="1:8">
      <c r="A24" s="295">
        <v>6</v>
      </c>
      <c r="B24" s="770" t="s">
        <v>173</v>
      </c>
      <c r="C24" s="770"/>
      <c r="D24" s="826">
        <v>45658</v>
      </c>
      <c r="E24" s="826"/>
    </row>
    <row r="25" spans="1:8">
      <c r="A25" s="295">
        <v>7</v>
      </c>
      <c r="B25" s="770" t="s">
        <v>312</v>
      </c>
      <c r="C25" s="770"/>
      <c r="D25" s="827" t="s">
        <v>313</v>
      </c>
      <c r="E25" s="827"/>
    </row>
    <row r="26" spans="1:8">
      <c r="A26" s="802"/>
      <c r="B26" s="802"/>
      <c r="C26" s="802"/>
      <c r="D26" s="802"/>
      <c r="E26" s="802"/>
    </row>
    <row r="27" spans="1:8">
      <c r="A27" s="757" t="s">
        <v>174</v>
      </c>
      <c r="B27" s="758"/>
      <c r="C27" s="758"/>
      <c r="D27" s="758"/>
      <c r="E27" s="758"/>
    </row>
    <row r="28" spans="1:8">
      <c r="A28" s="296">
        <v>1</v>
      </c>
      <c r="B28" s="803" t="s">
        <v>175</v>
      </c>
      <c r="C28" s="803"/>
      <c r="D28" s="353" t="s">
        <v>176</v>
      </c>
      <c r="E28" s="53" t="s">
        <v>177</v>
      </c>
    </row>
    <row r="29" spans="1:8">
      <c r="A29" s="295" t="s">
        <v>178</v>
      </c>
      <c r="B29" s="824" t="s">
        <v>314</v>
      </c>
      <c r="C29" s="746"/>
      <c r="D29" s="352"/>
      <c r="E29" s="356">
        <f>E21</f>
        <v>3170.9838520666667</v>
      </c>
    </row>
    <row r="30" spans="1:8">
      <c r="A30" s="580" t="s">
        <v>116</v>
      </c>
      <c r="B30" s="825" t="s">
        <v>259</v>
      </c>
      <c r="C30" s="825"/>
      <c r="D30" s="585"/>
      <c r="E30" s="357">
        <v>0</v>
      </c>
    </row>
    <row r="31" spans="1:8" s="5" customFormat="1">
      <c r="A31" s="796" t="s">
        <v>187</v>
      </c>
      <c r="B31" s="796"/>
      <c r="C31" s="796"/>
      <c r="D31" s="796"/>
      <c r="E31" s="358">
        <f>SUM(E29:E30)</f>
        <v>3170.9838520666667</v>
      </c>
      <c r="F31" s="30"/>
      <c r="G31" s="30"/>
      <c r="H31" s="543"/>
    </row>
    <row r="32" spans="1:8" s="5" customFormat="1">
      <c r="A32" s="16"/>
      <c r="B32" s="16"/>
      <c r="C32" s="16"/>
      <c r="D32" s="16"/>
      <c r="E32" s="359"/>
      <c r="H32" s="543"/>
    </row>
    <row r="33" spans="1:12" s="5" customFormat="1">
      <c r="A33" s="757" t="s">
        <v>188</v>
      </c>
      <c r="B33" s="758"/>
      <c r="C33" s="758"/>
      <c r="D33" s="758"/>
      <c r="E33" s="758"/>
      <c r="H33" s="543"/>
    </row>
    <row r="34" spans="1:12" s="5" customFormat="1">
      <c r="A34" s="759" t="s">
        <v>315</v>
      </c>
      <c r="B34" s="759"/>
      <c r="C34" s="759"/>
      <c r="D34" s="759"/>
      <c r="E34" s="759"/>
      <c r="H34" s="543"/>
    </row>
    <row r="35" spans="1:12" s="5" customFormat="1">
      <c r="A35" s="53" t="s">
        <v>190</v>
      </c>
      <c r="B35" s="760" t="s">
        <v>316</v>
      </c>
      <c r="C35" s="760"/>
      <c r="D35" s="53" t="s">
        <v>176</v>
      </c>
      <c r="E35" s="70" t="s">
        <v>177</v>
      </c>
      <c r="H35" s="543"/>
    </row>
    <row r="36" spans="1:12" s="5" customFormat="1">
      <c r="A36" s="54" t="s">
        <v>178</v>
      </c>
      <c r="B36" s="786" t="s">
        <v>317</v>
      </c>
      <c r="C36" s="799"/>
      <c r="D36" s="94">
        <v>8.3299999999999999E-2</v>
      </c>
      <c r="E36" s="40">
        <f>D36*E31</f>
        <v>264.14295487715333</v>
      </c>
      <c r="H36" s="543"/>
    </row>
    <row r="37" spans="1:12" s="5" customFormat="1">
      <c r="A37" s="86" t="s">
        <v>193</v>
      </c>
      <c r="B37" s="299" t="s">
        <v>194</v>
      </c>
      <c r="C37" s="318" t="s">
        <v>318</v>
      </c>
      <c r="D37" s="94">
        <v>0.1212</v>
      </c>
      <c r="E37" s="40">
        <f>D37*E31</f>
        <v>384.32324287047999</v>
      </c>
      <c r="G37" s="289"/>
      <c r="H37" s="543"/>
    </row>
    <row r="38" spans="1:12" s="5" customFormat="1" ht="15" thickBot="1">
      <c r="A38" s="750" t="s">
        <v>195</v>
      </c>
      <c r="B38" s="750"/>
      <c r="C38" s="750"/>
      <c r="D38" s="17">
        <f>D36+D37</f>
        <v>0.20450000000000002</v>
      </c>
      <c r="E38" s="41">
        <f>SUM(E36:E37)</f>
        <v>648.46619774763326</v>
      </c>
      <c r="H38" s="543"/>
    </row>
    <row r="39" spans="1:12" s="5" customFormat="1">
      <c r="A39" s="18"/>
      <c r="B39" s="18"/>
      <c r="C39" s="18"/>
      <c r="D39" s="19"/>
      <c r="E39" s="20"/>
      <c r="H39" s="543"/>
    </row>
    <row r="40" spans="1:12" s="5" customFormat="1">
      <c r="A40" s="759" t="s">
        <v>196</v>
      </c>
      <c r="B40" s="759"/>
      <c r="C40" s="759"/>
      <c r="D40" s="759"/>
      <c r="E40" s="759"/>
      <c r="H40" s="543"/>
    </row>
    <row r="41" spans="1:12" s="5" customFormat="1">
      <c r="A41" s="53" t="s">
        <v>197</v>
      </c>
      <c r="B41" s="761" t="s">
        <v>198</v>
      </c>
      <c r="C41" s="761"/>
      <c r="D41" s="53" t="s">
        <v>176</v>
      </c>
      <c r="E41" s="53" t="s">
        <v>177</v>
      </c>
      <c r="H41" s="543"/>
    </row>
    <row r="42" spans="1:12" s="5" customFormat="1" ht="15">
      <c r="A42" s="36" t="s">
        <v>178</v>
      </c>
      <c r="B42" s="739" t="s">
        <v>319</v>
      </c>
      <c r="C42" s="739"/>
      <c r="D42" s="378">
        <v>0.2</v>
      </c>
      <c r="E42" s="44">
        <f>($E$31+$E$38)*D42</f>
        <v>763.89000996285995</v>
      </c>
      <c r="F42" s="541"/>
      <c r="G42" s="541"/>
      <c r="K42" s="544"/>
      <c r="L42" s="30"/>
    </row>
    <row r="43" spans="1:12" s="5" customFormat="1" ht="15">
      <c r="A43" s="36" t="s">
        <v>193</v>
      </c>
      <c r="B43" s="739" t="s">
        <v>320</v>
      </c>
      <c r="C43" s="739"/>
      <c r="D43" s="378">
        <v>2.5000000000000001E-2</v>
      </c>
      <c r="E43" s="44">
        <f t="shared" ref="E43:E49" si="0">($E$31+$E$38)*D43</f>
        <v>95.486251245357494</v>
      </c>
      <c r="H43" s="543"/>
    </row>
    <row r="44" spans="1:12" s="5" customFormat="1" ht="15">
      <c r="A44" s="36" t="s">
        <v>117</v>
      </c>
      <c r="B44" s="739" t="s">
        <v>321</v>
      </c>
      <c r="C44" s="739"/>
      <c r="D44" s="378">
        <v>0.02</v>
      </c>
      <c r="E44" s="44">
        <f>($E$31+$E$38)*D44</f>
        <v>76.389000996286001</v>
      </c>
      <c r="F44" s="841"/>
      <c r="G44" s="736"/>
      <c r="H44" s="736"/>
      <c r="I44" s="736"/>
      <c r="L44" s="30"/>
    </row>
    <row r="45" spans="1:12" s="5" customFormat="1" ht="15">
      <c r="A45" s="36" t="s">
        <v>156</v>
      </c>
      <c r="B45" s="739" t="s">
        <v>322</v>
      </c>
      <c r="C45" s="739"/>
      <c r="D45" s="378">
        <v>1.4999999999999999E-2</v>
      </c>
      <c r="E45" s="44">
        <f t="shared" si="0"/>
        <v>57.291750747214493</v>
      </c>
      <c r="H45" s="543"/>
    </row>
    <row r="46" spans="1:12" s="5" customFormat="1" ht="15">
      <c r="A46" s="36" t="s">
        <v>183</v>
      </c>
      <c r="B46" s="739" t="s">
        <v>323</v>
      </c>
      <c r="C46" s="739"/>
      <c r="D46" s="378">
        <v>0.01</v>
      </c>
      <c r="E46" s="44">
        <f t="shared" si="0"/>
        <v>38.194500498143</v>
      </c>
      <c r="H46" s="543"/>
    </row>
    <row r="47" spans="1:12" s="5" customFormat="1" ht="15">
      <c r="A47" s="36" t="s">
        <v>205</v>
      </c>
      <c r="B47" s="739" t="s">
        <v>324</v>
      </c>
      <c r="C47" s="739"/>
      <c r="D47" s="378">
        <v>6.0000000000000001E-3</v>
      </c>
      <c r="E47" s="44">
        <f t="shared" si="0"/>
        <v>22.9167002988858</v>
      </c>
      <c r="H47" s="543"/>
    </row>
    <row r="48" spans="1:12" s="5" customFormat="1" ht="15">
      <c r="A48" s="36" t="s">
        <v>207</v>
      </c>
      <c r="B48" s="739" t="s">
        <v>325</v>
      </c>
      <c r="C48" s="739"/>
      <c r="D48" s="378">
        <v>2E-3</v>
      </c>
      <c r="E48" s="44">
        <f t="shared" si="0"/>
        <v>7.6389000996286001</v>
      </c>
      <c r="H48" s="543"/>
    </row>
    <row r="49" spans="1:13" s="5" customFormat="1" ht="15">
      <c r="A49" s="36" t="s">
        <v>209</v>
      </c>
      <c r="B49" s="739" t="s">
        <v>326</v>
      </c>
      <c r="C49" s="739"/>
      <c r="D49" s="378">
        <v>0.08</v>
      </c>
      <c r="E49" s="44">
        <f t="shared" si="0"/>
        <v>305.556003985144</v>
      </c>
      <c r="H49" s="543"/>
    </row>
    <row r="50" spans="1:13" s="5" customFormat="1">
      <c r="A50" s="740" t="s">
        <v>211</v>
      </c>
      <c r="B50" s="740"/>
      <c r="C50" s="740"/>
      <c r="D50" s="72">
        <f>SUM(D42:D49)</f>
        <v>0.35800000000000004</v>
      </c>
      <c r="E50" s="45">
        <f>SUM(E42:E49)</f>
        <v>1367.3631178335195</v>
      </c>
      <c r="H50" s="543"/>
    </row>
    <row r="51" spans="1:13" s="5" customFormat="1">
      <c r="A51" s="16"/>
      <c r="B51" s="16"/>
      <c r="C51" s="16"/>
      <c r="D51" s="16"/>
      <c r="E51" s="359"/>
      <c r="G51" s="6"/>
      <c r="H51" s="542"/>
    </row>
    <row r="52" spans="1:13" s="5" customFormat="1">
      <c r="A52" s="842" t="s">
        <v>212</v>
      </c>
      <c r="B52" s="842"/>
      <c r="C52" s="842"/>
      <c r="D52" s="842"/>
      <c r="E52" s="842"/>
      <c r="G52" s="6"/>
      <c r="H52" s="542"/>
    </row>
    <row r="53" spans="1:13" s="6" customFormat="1">
      <c r="A53" s="293" t="s">
        <v>213</v>
      </c>
      <c r="B53" s="843" t="s">
        <v>214</v>
      </c>
      <c r="C53" s="843"/>
      <c r="D53" s="293"/>
      <c r="E53" s="293" t="s">
        <v>177</v>
      </c>
      <c r="H53" s="542"/>
    </row>
    <row r="54" spans="1:13" s="6" customFormat="1">
      <c r="A54" s="36" t="s">
        <v>115</v>
      </c>
      <c r="B54" s="739" t="s">
        <v>215</v>
      </c>
      <c r="C54" s="739"/>
      <c r="D54" s="346">
        <v>5.5</v>
      </c>
      <c r="E54" s="292">
        <f>IF((D54*2*21-(E29*6%))&gt;0, D54*2*21-(E29*6%), 0)</f>
        <v>40.740968876000011</v>
      </c>
      <c r="H54" s="542"/>
      <c r="M54" s="31"/>
    </row>
    <row r="55" spans="1:13" s="6" customFormat="1">
      <c r="A55" s="36" t="s">
        <v>116</v>
      </c>
      <c r="B55" s="739" t="s">
        <v>327</v>
      </c>
      <c r="C55" s="739"/>
      <c r="D55" s="346">
        <v>44.3</v>
      </c>
      <c r="E55" s="292">
        <f>D55*21</f>
        <v>930.3</v>
      </c>
      <c r="F55" s="379"/>
      <c r="H55" s="542"/>
      <c r="I55" s="31"/>
      <c r="M55" s="31"/>
    </row>
    <row r="56" spans="1:13" s="6" customFormat="1">
      <c r="A56" s="36" t="s">
        <v>117</v>
      </c>
      <c r="B56" s="739" t="s">
        <v>328</v>
      </c>
      <c r="C56" s="739"/>
      <c r="D56" s="377"/>
      <c r="E56" s="292">
        <v>0</v>
      </c>
      <c r="H56" s="542"/>
      <c r="I56" s="31"/>
      <c r="M56" s="31"/>
    </row>
    <row r="57" spans="1:13" s="6" customFormat="1">
      <c r="A57" s="36" t="s">
        <v>156</v>
      </c>
      <c r="B57" s="536" t="s">
        <v>329</v>
      </c>
      <c r="C57" s="537"/>
      <c r="D57" s="377"/>
      <c r="E57" s="292">
        <v>0</v>
      </c>
      <c r="H57" s="542"/>
      <c r="I57" s="31"/>
      <c r="M57" s="31"/>
    </row>
    <row r="58" spans="1:13" s="6" customFormat="1">
      <c r="A58" s="73"/>
      <c r="B58" s="846" t="s">
        <v>330</v>
      </c>
      <c r="C58" s="847"/>
      <c r="D58" s="47"/>
      <c r="E58" s="291"/>
      <c r="H58" s="542"/>
    </row>
    <row r="59" spans="1:13" s="5" customFormat="1">
      <c r="A59" s="740" t="s">
        <v>223</v>
      </c>
      <c r="B59" s="740"/>
      <c r="C59" s="740"/>
      <c r="D59" s="740"/>
      <c r="E59" s="49">
        <f>SUM(E54:E58)</f>
        <v>971.04096887599997</v>
      </c>
      <c r="G59" s="6"/>
      <c r="H59" s="542"/>
    </row>
    <row r="60" spans="1:13" s="5" customFormat="1" ht="15" thickBot="1">
      <c r="A60" s="74"/>
      <c r="B60" s="75"/>
      <c r="C60" s="75"/>
      <c r="D60" s="75"/>
      <c r="E60" s="61"/>
      <c r="G60" s="6"/>
      <c r="H60" s="542"/>
    </row>
    <row r="61" spans="1:13" s="5" customFormat="1">
      <c r="A61" s="781"/>
      <c r="B61" s="782"/>
      <c r="C61" s="782"/>
      <c r="D61" s="782"/>
      <c r="E61" s="783"/>
      <c r="G61" s="6"/>
      <c r="H61" s="542"/>
    </row>
    <row r="62" spans="1:13" s="5" customFormat="1">
      <c r="A62" s="744" t="s">
        <v>230</v>
      </c>
      <c r="B62" s="744"/>
      <c r="C62" s="744"/>
      <c r="D62" s="744"/>
      <c r="E62" s="744"/>
      <c r="G62" s="6"/>
      <c r="H62" s="542"/>
    </row>
    <row r="63" spans="1:13" s="5" customFormat="1">
      <c r="A63" s="53"/>
      <c r="B63" s="761" t="s">
        <v>232</v>
      </c>
      <c r="C63" s="761"/>
      <c r="D63" s="53" t="s">
        <v>233</v>
      </c>
      <c r="E63" s="53" t="s">
        <v>177</v>
      </c>
      <c r="H63" s="543"/>
    </row>
    <row r="64" spans="1:13" s="5" customFormat="1">
      <c r="A64" s="36" t="s">
        <v>190</v>
      </c>
      <c r="B64" s="844" t="s">
        <v>235</v>
      </c>
      <c r="C64" s="844"/>
      <c r="D64" s="364">
        <f>D38</f>
        <v>0.20450000000000002</v>
      </c>
      <c r="E64" s="44">
        <f>E38</f>
        <v>648.46619774763326</v>
      </c>
      <c r="H64" s="543"/>
    </row>
    <row r="65" spans="1:8" s="5" customFormat="1">
      <c r="A65" s="36" t="s">
        <v>197</v>
      </c>
      <c r="B65" s="844" t="s">
        <v>236</v>
      </c>
      <c r="C65" s="844"/>
      <c r="D65" s="364">
        <f>D50</f>
        <v>0.35800000000000004</v>
      </c>
      <c r="E65" s="44">
        <f>E50</f>
        <v>1367.3631178335195</v>
      </c>
      <c r="H65" s="543"/>
    </row>
    <row r="66" spans="1:8" s="5" customFormat="1">
      <c r="A66" s="36" t="s">
        <v>213</v>
      </c>
      <c r="B66" s="844" t="s">
        <v>237</v>
      </c>
      <c r="C66" s="844"/>
      <c r="D66" s="364">
        <v>0</v>
      </c>
      <c r="E66" s="44">
        <f>E59</f>
        <v>971.04096887599997</v>
      </c>
      <c r="H66" s="543"/>
    </row>
    <row r="67" spans="1:8" s="5" customFormat="1">
      <c r="A67" s="845" t="s">
        <v>240</v>
      </c>
      <c r="B67" s="845"/>
      <c r="C67" s="845"/>
      <c r="D67" s="365">
        <f>SUM(D64:D66)</f>
        <v>0.5625</v>
      </c>
      <c r="E67" s="49">
        <f>SUM(E64:E66)</f>
        <v>2986.8702844571526</v>
      </c>
      <c r="H67" s="543"/>
    </row>
    <row r="68" spans="1:8" s="5" customFormat="1">
      <c r="A68" s="18"/>
      <c r="B68" s="18"/>
      <c r="C68" s="18"/>
      <c r="D68" s="351"/>
      <c r="E68" s="359"/>
      <c r="H68" s="543"/>
    </row>
    <row r="69" spans="1:8" s="5" customFormat="1">
      <c r="A69" s="757" t="s">
        <v>241</v>
      </c>
      <c r="B69" s="758"/>
      <c r="C69" s="758"/>
      <c r="D69" s="758"/>
      <c r="E69" s="758"/>
      <c r="H69" s="543"/>
    </row>
    <row r="70" spans="1:8" s="5" customFormat="1">
      <c r="A70" s="759" t="s">
        <v>241</v>
      </c>
      <c r="B70" s="759"/>
      <c r="C70" s="759"/>
      <c r="D70" s="759"/>
      <c r="E70" s="759"/>
      <c r="H70" s="543"/>
    </row>
    <row r="71" spans="1:8" s="5" customFormat="1">
      <c r="A71" s="53">
        <v>3</v>
      </c>
      <c r="B71" s="761" t="s">
        <v>242</v>
      </c>
      <c r="C71" s="761"/>
      <c r="D71" s="53" t="s">
        <v>233</v>
      </c>
      <c r="E71" s="53" t="s">
        <v>177</v>
      </c>
      <c r="H71" s="543"/>
    </row>
    <row r="72" spans="1:8" s="5" customFormat="1">
      <c r="A72" s="36" t="s">
        <v>178</v>
      </c>
      <c r="B72" s="849" t="s">
        <v>331</v>
      </c>
      <c r="C72" s="848"/>
      <c r="D72" s="290">
        <f>(0.05*(1/12))</f>
        <v>4.1666666666666666E-3</v>
      </c>
      <c r="E72" s="44">
        <f>D72*$E$31</f>
        <v>13.212432716944445</v>
      </c>
      <c r="G72" s="355"/>
      <c r="H72" s="543"/>
    </row>
    <row r="73" spans="1:8" s="5" customFormat="1">
      <c r="A73" s="36" t="s">
        <v>193</v>
      </c>
      <c r="B73" s="848" t="s">
        <v>332</v>
      </c>
      <c r="C73" s="848"/>
      <c r="D73" s="71">
        <f>D49*D72</f>
        <v>3.3333333333333332E-4</v>
      </c>
      <c r="E73" s="44">
        <f>D49*E72</f>
        <v>1.0569946173555556</v>
      </c>
      <c r="G73" s="347"/>
      <c r="H73" s="543"/>
    </row>
    <row r="74" spans="1:8" s="5" customFormat="1" ht="15">
      <c r="A74" s="36" t="s">
        <v>117</v>
      </c>
      <c r="B74" s="539" t="s">
        <v>333</v>
      </c>
      <c r="C74" s="538"/>
      <c r="D74" s="71">
        <v>3.44E-2</v>
      </c>
      <c r="E74" s="44">
        <f>D74*$E$31</f>
        <v>109.08184451109334</v>
      </c>
      <c r="G74" s="347"/>
      <c r="H74" s="543"/>
    </row>
    <row r="75" spans="1:8" s="5" customFormat="1" ht="15.75" customHeight="1">
      <c r="A75" s="36" t="s">
        <v>156</v>
      </c>
      <c r="B75" s="850" t="s">
        <v>334</v>
      </c>
      <c r="C75" s="851"/>
      <c r="D75" s="290">
        <f>((7/30)/12)</f>
        <v>1.9444444444444445E-2</v>
      </c>
      <c r="E75" s="44">
        <f>D75*$E$31</f>
        <v>61.65801934574074</v>
      </c>
      <c r="G75" s="348"/>
      <c r="H75" s="543"/>
    </row>
    <row r="76" spans="1:8" s="5" customFormat="1" ht="21.75" customHeight="1">
      <c r="A76" s="36" t="s">
        <v>183</v>
      </c>
      <c r="B76" s="848" t="s">
        <v>335</v>
      </c>
      <c r="C76" s="848"/>
      <c r="D76" s="71">
        <f>D50*D75</f>
        <v>6.9611111111111124E-3</v>
      </c>
      <c r="E76" s="44">
        <f>D50*E75</f>
        <v>22.073570925775186</v>
      </c>
      <c r="H76" s="543"/>
    </row>
    <row r="77" spans="1:8" s="5" customFormat="1" ht="29.25" customHeight="1">
      <c r="A77" s="36" t="s">
        <v>205</v>
      </c>
      <c r="B77" s="848" t="s">
        <v>336</v>
      </c>
      <c r="C77" s="848"/>
      <c r="D77" s="71">
        <v>5.5999999999999999E-3</v>
      </c>
      <c r="E77" s="44">
        <f>D77*$E$31</f>
        <v>17.757509571573333</v>
      </c>
      <c r="H77" s="543"/>
    </row>
    <row r="78" spans="1:8" s="5" customFormat="1">
      <c r="A78" s="845" t="s">
        <v>250</v>
      </c>
      <c r="B78" s="845"/>
      <c r="C78" s="845"/>
      <c r="D78" s="365">
        <f>SUM(D72:D77)</f>
        <v>7.0905555555555555E-2</v>
      </c>
      <c r="E78" s="49">
        <f>SUM(E72:E77)</f>
        <v>224.84037168848261</v>
      </c>
      <c r="H78" s="543"/>
    </row>
    <row r="79" spans="1:8" s="5" customFormat="1">
      <c r="A79" s="18"/>
      <c r="B79" s="18"/>
      <c r="C79" s="18"/>
      <c r="D79" s="351"/>
      <c r="E79" s="359"/>
      <c r="H79" s="543"/>
    </row>
    <row r="80" spans="1:8" s="5" customFormat="1">
      <c r="A80" s="757" t="s">
        <v>251</v>
      </c>
      <c r="B80" s="758"/>
      <c r="C80" s="758"/>
      <c r="D80" s="758"/>
      <c r="E80" s="758"/>
      <c r="H80" s="543"/>
    </row>
    <row r="81" spans="1:10" s="5" customFormat="1">
      <c r="A81" s="842" t="s">
        <v>252</v>
      </c>
      <c r="B81" s="842"/>
      <c r="C81" s="842"/>
      <c r="D81" s="842"/>
      <c r="E81" s="842"/>
      <c r="H81" s="543"/>
    </row>
    <row r="82" spans="1:10" s="5" customFormat="1">
      <c r="A82" s="852" t="s">
        <v>337</v>
      </c>
      <c r="B82" s="853"/>
      <c r="C82" s="853"/>
      <c r="D82" s="854"/>
      <c r="E82" s="367">
        <f>(E31+E38+E50)</f>
        <v>5186.8131676478188</v>
      </c>
      <c r="H82" s="543"/>
    </row>
    <row r="83" spans="1:10" s="5" customFormat="1">
      <c r="A83" s="293" t="s">
        <v>253</v>
      </c>
      <c r="B83" s="843" t="s">
        <v>254</v>
      </c>
      <c r="C83" s="843"/>
      <c r="D83" s="293" t="s">
        <v>233</v>
      </c>
      <c r="E83" s="293" t="s">
        <v>177</v>
      </c>
      <c r="H83" s="543"/>
    </row>
    <row r="84" spans="1:10" s="5" customFormat="1">
      <c r="A84" s="36" t="s">
        <v>178</v>
      </c>
      <c r="B84" s="739" t="s">
        <v>338</v>
      </c>
      <c r="C84" s="739"/>
      <c r="D84" s="290">
        <v>0</v>
      </c>
      <c r="E84" s="44">
        <f>D84*(E31+E50)</f>
        <v>0</v>
      </c>
      <c r="G84" s="350"/>
      <c r="H84" s="543"/>
      <c r="I84" s="30"/>
      <c r="J84" s="30"/>
    </row>
    <row r="85" spans="1:10" s="5" customFormat="1">
      <c r="A85" s="36" t="s">
        <v>193</v>
      </c>
      <c r="B85" s="739" t="s">
        <v>254</v>
      </c>
      <c r="C85" s="739"/>
      <c r="D85" s="455">
        <v>2.8E-3</v>
      </c>
      <c r="E85" s="44">
        <f>D85*$E$82</f>
        <v>14.523076869413892</v>
      </c>
      <c r="H85" s="543"/>
      <c r="J85" s="350"/>
    </row>
    <row r="86" spans="1:10" s="5" customFormat="1">
      <c r="A86" s="36" t="s">
        <v>245</v>
      </c>
      <c r="B86" s="739" t="s">
        <v>339</v>
      </c>
      <c r="C86" s="739"/>
      <c r="D86" s="290">
        <f>0.02%</f>
        <v>2.0000000000000001E-4</v>
      </c>
      <c r="E86" s="44">
        <f>D86*$E$82</f>
        <v>1.0373626335295638</v>
      </c>
      <c r="H86" s="543"/>
    </row>
    <row r="87" spans="1:10" s="5" customFormat="1">
      <c r="A87" s="36" t="s">
        <v>118</v>
      </c>
      <c r="B87" s="739" t="s">
        <v>340</v>
      </c>
      <c r="C87" s="739"/>
      <c r="D87" s="290">
        <v>6.9999999999999999E-4</v>
      </c>
      <c r="E87" s="44">
        <f>D87*$E$82</f>
        <v>3.6307692173534729</v>
      </c>
      <c r="H87" s="543"/>
    </row>
    <row r="88" spans="1:10" s="5" customFormat="1">
      <c r="A88" s="36" t="s">
        <v>119</v>
      </c>
      <c r="B88" s="739" t="s">
        <v>258</v>
      </c>
      <c r="C88" s="739"/>
      <c r="D88" s="290">
        <v>2E-3</v>
      </c>
      <c r="E88" s="44">
        <f>D88*$E$82</f>
        <v>10.373626335295638</v>
      </c>
      <c r="H88" s="543"/>
    </row>
    <row r="89" spans="1:10" s="5" customFormat="1">
      <c r="A89" s="36" t="s">
        <v>185</v>
      </c>
      <c r="B89" s="844" t="s">
        <v>341</v>
      </c>
      <c r="C89" s="844"/>
      <c r="D89" s="71">
        <v>0</v>
      </c>
      <c r="E89" s="44">
        <f t="shared" ref="E89" si="1">D89*$E$31</f>
        <v>0</v>
      </c>
      <c r="H89" s="543"/>
    </row>
    <row r="90" spans="1:10" s="5" customFormat="1">
      <c r="A90" s="796" t="s">
        <v>260</v>
      </c>
      <c r="B90" s="796"/>
      <c r="C90" s="796"/>
      <c r="D90" s="72">
        <f>SUM(D84:D89)</f>
        <v>5.7000000000000002E-3</v>
      </c>
      <c r="E90" s="49">
        <f>SUM(E84:E89)</f>
        <v>29.564835055592567</v>
      </c>
      <c r="H90" s="543"/>
    </row>
    <row r="91" spans="1:10" s="5" customFormat="1">
      <c r="A91" s="18"/>
      <c r="B91" s="18"/>
      <c r="C91" s="18"/>
      <c r="D91" s="351"/>
      <c r="E91" s="359"/>
      <c r="H91" s="543"/>
    </row>
    <row r="92" spans="1:10" s="5" customFormat="1">
      <c r="A92" s="759" t="s">
        <v>261</v>
      </c>
      <c r="B92" s="759"/>
      <c r="C92" s="759"/>
      <c r="D92" s="759"/>
      <c r="E92" s="759"/>
      <c r="H92" s="543"/>
    </row>
    <row r="93" spans="1:10" s="5" customFormat="1">
      <c r="A93" s="53" t="s">
        <v>262</v>
      </c>
      <c r="B93" s="760" t="s">
        <v>263</v>
      </c>
      <c r="C93" s="760"/>
      <c r="D93" s="53" t="s">
        <v>233</v>
      </c>
      <c r="E93" s="53" t="s">
        <v>177</v>
      </c>
      <c r="H93" s="543"/>
    </row>
    <row r="94" spans="1:10">
      <c r="A94" s="36" t="s">
        <v>178</v>
      </c>
      <c r="B94" s="739" t="s">
        <v>264</v>
      </c>
      <c r="C94" s="739"/>
      <c r="D94" s="76">
        <v>0</v>
      </c>
      <c r="E94" s="44">
        <f>(E31+E67+E78)/220*1*15*D94</f>
        <v>0</v>
      </c>
    </row>
    <row r="95" spans="1:10">
      <c r="A95" s="845" t="s">
        <v>265</v>
      </c>
      <c r="B95" s="845"/>
      <c r="C95" s="845"/>
      <c r="D95" s="845"/>
      <c r="E95" s="49">
        <f>E94</f>
        <v>0</v>
      </c>
    </row>
    <row r="96" spans="1:10">
      <c r="A96" s="855"/>
      <c r="B96" s="856"/>
      <c r="C96" s="856"/>
      <c r="D96" s="856"/>
      <c r="E96" s="857"/>
    </row>
    <row r="97" spans="1:8">
      <c r="A97" s="744" t="s">
        <v>266</v>
      </c>
      <c r="B97" s="744"/>
      <c r="C97" s="744"/>
      <c r="D97" s="744"/>
      <c r="E97" s="744"/>
    </row>
    <row r="98" spans="1:8">
      <c r="A98" s="53"/>
      <c r="B98" s="761" t="s">
        <v>267</v>
      </c>
      <c r="C98" s="761"/>
      <c r="D98" s="53" t="s">
        <v>233</v>
      </c>
      <c r="E98" s="53" t="s">
        <v>177</v>
      </c>
    </row>
    <row r="99" spans="1:8">
      <c r="A99" s="36" t="s">
        <v>253</v>
      </c>
      <c r="B99" s="844" t="s">
        <v>254</v>
      </c>
      <c r="C99" s="844"/>
      <c r="D99" s="364">
        <f>D90</f>
        <v>5.7000000000000002E-3</v>
      </c>
      <c r="E99" s="44">
        <f>E90</f>
        <v>29.564835055592567</v>
      </c>
    </row>
    <row r="100" spans="1:8">
      <c r="A100" s="36" t="s">
        <v>262</v>
      </c>
      <c r="B100" s="844" t="s">
        <v>263</v>
      </c>
      <c r="C100" s="844"/>
      <c r="D100" s="71">
        <v>0</v>
      </c>
      <c r="E100" s="44">
        <f>E95</f>
        <v>0</v>
      </c>
    </row>
    <row r="101" spans="1:8">
      <c r="A101" s="845" t="s">
        <v>268</v>
      </c>
      <c r="B101" s="845"/>
      <c r="C101" s="845"/>
      <c r="D101" s="365">
        <f>SUM(D99:D100)</f>
        <v>5.7000000000000002E-3</v>
      </c>
      <c r="E101" s="49">
        <f>E99+E100</f>
        <v>29.564835055592567</v>
      </c>
    </row>
    <row r="102" spans="1:8">
      <c r="A102" s="13"/>
      <c r="B102" s="18"/>
      <c r="C102" s="18"/>
      <c r="D102" s="351"/>
      <c r="E102" s="359"/>
    </row>
    <row r="103" spans="1:8">
      <c r="A103" s="757" t="s">
        <v>269</v>
      </c>
      <c r="B103" s="758"/>
      <c r="C103" s="758"/>
      <c r="D103" s="758"/>
      <c r="E103" s="758"/>
    </row>
    <row r="104" spans="1:8">
      <c r="A104" s="759" t="s">
        <v>269</v>
      </c>
      <c r="B104" s="759"/>
      <c r="C104" s="759"/>
      <c r="D104" s="759"/>
      <c r="E104" s="759"/>
    </row>
    <row r="105" spans="1:8">
      <c r="A105" s="53">
        <v>5</v>
      </c>
      <c r="B105" s="761" t="s">
        <v>270</v>
      </c>
      <c r="C105" s="761"/>
      <c r="D105" s="761"/>
      <c r="E105" s="53" t="s">
        <v>177</v>
      </c>
    </row>
    <row r="106" spans="1:8">
      <c r="A106" s="36" t="s">
        <v>178</v>
      </c>
      <c r="B106" s="844" t="s">
        <v>271</v>
      </c>
      <c r="C106" s="844"/>
      <c r="D106" s="844"/>
      <c r="E106" s="44">
        <v>0</v>
      </c>
    </row>
    <row r="107" spans="1:8">
      <c r="A107" s="36" t="s">
        <v>193</v>
      </c>
      <c r="B107" s="739" t="s">
        <v>342</v>
      </c>
      <c r="C107" s="739"/>
      <c r="D107" s="739"/>
      <c r="E107" s="44">
        <v>0</v>
      </c>
    </row>
    <row r="108" spans="1:8" s="5" customFormat="1">
      <c r="A108" s="845" t="s">
        <v>276</v>
      </c>
      <c r="B108" s="845"/>
      <c r="C108" s="845"/>
      <c r="D108" s="845"/>
      <c r="E108" s="49">
        <f>SUM(E106:E107)</f>
        <v>0</v>
      </c>
      <c r="H108" s="543"/>
    </row>
    <row r="109" spans="1:8">
      <c r="E109" s="360">
        <f>D67+D78+D101</f>
        <v>0.63910555555555559</v>
      </c>
    </row>
    <row r="110" spans="1:8">
      <c r="A110" s="29"/>
      <c r="B110" s="29"/>
      <c r="C110" s="29"/>
      <c r="D110" s="29"/>
      <c r="E110" s="351"/>
    </row>
    <row r="111" spans="1:8">
      <c r="A111" s="861" t="s">
        <v>278</v>
      </c>
      <c r="B111" s="861"/>
      <c r="C111" s="861"/>
      <c r="D111" s="861"/>
      <c r="E111" s="861"/>
    </row>
    <row r="112" spans="1:8" s="6" customFormat="1">
      <c r="A112" s="759" t="s">
        <v>278</v>
      </c>
      <c r="B112" s="759"/>
      <c r="C112" s="759"/>
      <c r="D112" s="759"/>
      <c r="E112" s="759"/>
      <c r="H112" s="542"/>
    </row>
    <row r="113" spans="1:12">
      <c r="A113" s="53">
        <v>6</v>
      </c>
      <c r="B113" s="760" t="s">
        <v>279</v>
      </c>
      <c r="C113" s="760"/>
      <c r="D113" s="53" t="s">
        <v>176</v>
      </c>
      <c r="E113" s="53" t="s">
        <v>177</v>
      </c>
    </row>
    <row r="114" spans="1:12">
      <c r="A114" s="354" t="s">
        <v>178</v>
      </c>
      <c r="B114" s="844" t="s">
        <v>280</v>
      </c>
      <c r="C114" s="844"/>
      <c r="D114" s="506">
        <v>0.05</v>
      </c>
      <c r="E114" s="44">
        <f>D114*E129</f>
        <v>320.61296716339479</v>
      </c>
      <c r="F114" s="380" t="e">
        <f>#REF!</f>
        <v>#REF!</v>
      </c>
      <c r="L114" s="30"/>
    </row>
    <row r="115" spans="1:12">
      <c r="A115" s="354" t="s">
        <v>193</v>
      </c>
      <c r="B115" s="844" t="s">
        <v>281</v>
      </c>
      <c r="C115" s="844"/>
      <c r="D115" s="506">
        <v>0.05</v>
      </c>
      <c r="E115" s="44">
        <f>D115*(E114+E129)</f>
        <v>336.64361552156447</v>
      </c>
      <c r="F115" s="380" t="e">
        <f>#REF!</f>
        <v>#REF!</v>
      </c>
      <c r="L115" s="30"/>
    </row>
    <row r="116" spans="1:12">
      <c r="A116" s="862" t="s">
        <v>117</v>
      </c>
      <c r="B116" s="845" t="s">
        <v>282</v>
      </c>
      <c r="C116" s="845"/>
      <c r="D116" s="72"/>
      <c r="E116" s="49"/>
      <c r="F116" s="380" t="e">
        <f>F115-F114</f>
        <v>#REF!</v>
      </c>
    </row>
    <row r="117" spans="1:12">
      <c r="A117" s="862"/>
      <c r="B117" s="844" t="s">
        <v>283</v>
      </c>
      <c r="C117" s="844"/>
      <c r="D117" s="290">
        <v>6.4999999999999997E-3</v>
      </c>
      <c r="E117" s="44">
        <f>($E$114+$E$115+$E$129)/(1-($D$117+$D$118+$D$119))*D117</f>
        <v>50.303068985980907</v>
      </c>
      <c r="F117" s="380"/>
    </row>
    <row r="118" spans="1:12">
      <c r="A118" s="862"/>
      <c r="B118" s="844" t="s">
        <v>284</v>
      </c>
      <c r="C118" s="844"/>
      <c r="D118" s="290">
        <v>0.03</v>
      </c>
      <c r="E118" s="44">
        <f>($E$114+$E$115+$E$129)/(1-($D$117+$D$118+$D$119))*D118</f>
        <v>232.16801070452726</v>
      </c>
    </row>
    <row r="119" spans="1:12" s="3" customFormat="1">
      <c r="A119" s="862"/>
      <c r="B119" s="844" t="s">
        <v>343</v>
      </c>
      <c r="C119" s="844"/>
      <c r="D119" s="290">
        <v>0.05</v>
      </c>
      <c r="E119" s="44">
        <f>($E$114+$E$115+$E$129)/(1-($D$117+$D$118+$D$119))*D119</f>
        <v>386.94668450754546</v>
      </c>
      <c r="H119" s="543"/>
    </row>
    <row r="120" spans="1:12">
      <c r="A120" s="740" t="s">
        <v>286</v>
      </c>
      <c r="B120" s="740"/>
      <c r="C120" s="740"/>
      <c r="D120" s="72">
        <f>SUM(D114:D119)</f>
        <v>0.1865</v>
      </c>
      <c r="E120" s="49">
        <f>SUM(E114:E119)</f>
        <v>1326.6743468830127</v>
      </c>
    </row>
    <row r="121" spans="1:12">
      <c r="D121" s="366"/>
    </row>
    <row r="122" spans="1:12">
      <c r="A122" s="744" t="s">
        <v>287</v>
      </c>
      <c r="B122" s="744"/>
      <c r="C122" s="744"/>
      <c r="D122" s="744"/>
      <c r="E122" s="744"/>
    </row>
    <row r="123" spans="1:12">
      <c r="A123" s="740" t="s">
        <v>288</v>
      </c>
      <c r="B123" s="740"/>
      <c r="C123" s="740"/>
      <c r="D123" s="740"/>
      <c r="E123" s="53" t="s">
        <v>289</v>
      </c>
    </row>
    <row r="124" spans="1:12">
      <c r="A124" s="36" t="s">
        <v>178</v>
      </c>
      <c r="B124" s="739" t="s">
        <v>290</v>
      </c>
      <c r="C124" s="739"/>
      <c r="D124" s="739"/>
      <c r="E124" s="361">
        <f>E31</f>
        <v>3170.9838520666667</v>
      </c>
    </row>
    <row r="125" spans="1:12">
      <c r="A125" s="36" t="s">
        <v>193</v>
      </c>
      <c r="B125" s="739" t="s">
        <v>291</v>
      </c>
      <c r="C125" s="739"/>
      <c r="D125" s="739"/>
      <c r="E125" s="362">
        <f>E67</f>
        <v>2986.8702844571526</v>
      </c>
    </row>
    <row r="126" spans="1:12">
      <c r="A126" s="36" t="s">
        <v>245</v>
      </c>
      <c r="B126" s="739" t="s">
        <v>292</v>
      </c>
      <c r="C126" s="739"/>
      <c r="D126" s="739"/>
      <c r="E126" s="362">
        <f>E78</f>
        <v>224.84037168848261</v>
      </c>
    </row>
    <row r="127" spans="1:12">
      <c r="A127" s="36" t="s">
        <v>118</v>
      </c>
      <c r="B127" s="739" t="s">
        <v>293</v>
      </c>
      <c r="C127" s="739"/>
      <c r="D127" s="739"/>
      <c r="E127" s="362">
        <f>E101</f>
        <v>29.564835055592567</v>
      </c>
    </row>
    <row r="128" spans="1:12">
      <c r="A128" s="36" t="s">
        <v>119</v>
      </c>
      <c r="B128" s="858" t="s">
        <v>294</v>
      </c>
      <c r="C128" s="859"/>
      <c r="D128" s="860"/>
      <c r="E128" s="361">
        <f>E108</f>
        <v>0</v>
      </c>
    </row>
    <row r="129" spans="1:12">
      <c r="A129" s="740" t="s">
        <v>295</v>
      </c>
      <c r="B129" s="740"/>
      <c r="C129" s="740"/>
      <c r="D129" s="740"/>
      <c r="E129" s="41">
        <f>SUM(E124:E128)</f>
        <v>6412.259343267895</v>
      </c>
      <c r="L129" s="545"/>
    </row>
    <row r="130" spans="1:12" s="5" customFormat="1">
      <c r="A130" s="36" t="s">
        <v>185</v>
      </c>
      <c r="B130" s="739" t="s">
        <v>296</v>
      </c>
      <c r="C130" s="739"/>
      <c r="D130" s="739"/>
      <c r="E130" s="362">
        <f>E120</f>
        <v>1326.6743468830127</v>
      </c>
      <c r="H130" s="543"/>
    </row>
    <row r="131" spans="1:12">
      <c r="A131" s="740" t="s">
        <v>297</v>
      </c>
      <c r="B131" s="740"/>
      <c r="C131" s="740"/>
      <c r="D131" s="740"/>
      <c r="E131" s="41">
        <f>SUM(E129:E130)</f>
        <v>7738.9336901509078</v>
      </c>
      <c r="L131" s="546"/>
    </row>
    <row r="132" spans="1:12">
      <c r="E132" s="363"/>
    </row>
    <row r="133" spans="1:12">
      <c r="E133" s="31"/>
    </row>
  </sheetData>
  <mergeCells count="125">
    <mergeCell ref="A111:E111"/>
    <mergeCell ref="A112:E112"/>
    <mergeCell ref="B113:C113"/>
    <mergeCell ref="B114:C114"/>
    <mergeCell ref="B115:C115"/>
    <mergeCell ref="A116:A119"/>
    <mergeCell ref="B116:C116"/>
    <mergeCell ref="B117:C117"/>
    <mergeCell ref="B118:C118"/>
    <mergeCell ref="B119:C119"/>
    <mergeCell ref="B127:D127"/>
    <mergeCell ref="B128:D128"/>
    <mergeCell ref="A129:D129"/>
    <mergeCell ref="B130:D130"/>
    <mergeCell ref="A131:D131"/>
    <mergeCell ref="A120:C120"/>
    <mergeCell ref="A122:E122"/>
    <mergeCell ref="A123:D123"/>
    <mergeCell ref="B124:D124"/>
    <mergeCell ref="B125:D125"/>
    <mergeCell ref="B126:D126"/>
    <mergeCell ref="B105:D105"/>
    <mergeCell ref="B106:D106"/>
    <mergeCell ref="B107:D107"/>
    <mergeCell ref="A108:D108"/>
    <mergeCell ref="A96:E96"/>
    <mergeCell ref="A97:E97"/>
    <mergeCell ref="B98:C98"/>
    <mergeCell ref="B99:C99"/>
    <mergeCell ref="B100:C100"/>
    <mergeCell ref="A101:C101"/>
    <mergeCell ref="A103:E103"/>
    <mergeCell ref="A104:E104"/>
    <mergeCell ref="A92:E92"/>
    <mergeCell ref="B93:C93"/>
    <mergeCell ref="B94:C94"/>
    <mergeCell ref="A95:D95"/>
    <mergeCell ref="B85:C85"/>
    <mergeCell ref="B86:C86"/>
    <mergeCell ref="B87:C87"/>
    <mergeCell ref="B88:C88"/>
    <mergeCell ref="B89:C89"/>
    <mergeCell ref="A90:C90"/>
    <mergeCell ref="B77:C77"/>
    <mergeCell ref="A78:C78"/>
    <mergeCell ref="A80:E80"/>
    <mergeCell ref="A81:E81"/>
    <mergeCell ref="B83:C83"/>
    <mergeCell ref="B84:C84"/>
    <mergeCell ref="A70:E70"/>
    <mergeCell ref="B71:C71"/>
    <mergeCell ref="B72:C72"/>
    <mergeCell ref="B73:C73"/>
    <mergeCell ref="B75:C75"/>
    <mergeCell ref="B76:C76"/>
    <mergeCell ref="A82:D82"/>
    <mergeCell ref="B63:C63"/>
    <mergeCell ref="B64:C64"/>
    <mergeCell ref="B65:C65"/>
    <mergeCell ref="B66:C66"/>
    <mergeCell ref="A67:C67"/>
    <mergeCell ref="A69:E69"/>
    <mergeCell ref="B58:C58"/>
    <mergeCell ref="A59:D59"/>
    <mergeCell ref="A61:E61"/>
    <mergeCell ref="A62:E62"/>
    <mergeCell ref="A52:E52"/>
    <mergeCell ref="B53:C53"/>
    <mergeCell ref="B54:C54"/>
    <mergeCell ref="B55:C55"/>
    <mergeCell ref="B45:C45"/>
    <mergeCell ref="B46:C46"/>
    <mergeCell ref="B47:C47"/>
    <mergeCell ref="B48:C48"/>
    <mergeCell ref="B49:C49"/>
    <mergeCell ref="A50:C50"/>
    <mergeCell ref="B43:C43"/>
    <mergeCell ref="B44:C44"/>
    <mergeCell ref="F44:I44"/>
    <mergeCell ref="A33:E33"/>
    <mergeCell ref="A34:E34"/>
    <mergeCell ref="B35:C35"/>
    <mergeCell ref="B36:C36"/>
    <mergeCell ref="A38:C38"/>
    <mergeCell ref="A40:E40"/>
    <mergeCell ref="A2:E2"/>
    <mergeCell ref="A4:E4"/>
    <mergeCell ref="A5:E5"/>
    <mergeCell ref="A7:E7"/>
    <mergeCell ref="B8:C8"/>
    <mergeCell ref="D8:E8"/>
    <mergeCell ref="A13:E13"/>
    <mergeCell ref="B20:C20"/>
    <mergeCell ref="D20:E20"/>
    <mergeCell ref="A17:E17"/>
    <mergeCell ref="A18:E18"/>
    <mergeCell ref="B19:C19"/>
    <mergeCell ref="D19:E19"/>
    <mergeCell ref="A3:E3"/>
    <mergeCell ref="B14:C14"/>
    <mergeCell ref="B15:C15"/>
    <mergeCell ref="B56:C56"/>
    <mergeCell ref="B9:C9"/>
    <mergeCell ref="D9:E9"/>
    <mergeCell ref="B10:C10"/>
    <mergeCell ref="D10:E10"/>
    <mergeCell ref="B11:C11"/>
    <mergeCell ref="D11:E11"/>
    <mergeCell ref="B21:C21"/>
    <mergeCell ref="B22:C22"/>
    <mergeCell ref="D22:E22"/>
    <mergeCell ref="A26:E26"/>
    <mergeCell ref="A27:E27"/>
    <mergeCell ref="B28:C28"/>
    <mergeCell ref="B29:C29"/>
    <mergeCell ref="B30:C30"/>
    <mergeCell ref="A31:D31"/>
    <mergeCell ref="B23:C23"/>
    <mergeCell ref="D23:E23"/>
    <mergeCell ref="B24:C24"/>
    <mergeCell ref="D24:E24"/>
    <mergeCell ref="B25:C25"/>
    <mergeCell ref="D25:E25"/>
    <mergeCell ref="B41:C41"/>
    <mergeCell ref="B42:C42"/>
  </mergeCells>
  <pageMargins left="0.51181102362204722" right="0.51181102362204722" top="1.0629921259842521" bottom="0.98425196850393704" header="0.31496062992125984" footer="0.31496062992125984"/>
  <pageSetup paperSize="9" scale="70" fitToHeight="0" orientation="portrait" r:id="rId1"/>
  <headerFooter>
    <oddHeader>&amp;L&amp;G</oddHeader>
    <oddFooter>&amp;L&amp;G&amp;RPágina &amp;P</oddFooter>
  </headerFooter>
  <rowBreaks count="1" manualBreakCount="1">
    <brk id="67" max="4" man="1"/>
  </rowBreaks>
  <colBreaks count="1" manualBreakCount="1">
    <brk id="5" max="1048575" man="1"/>
  </col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cf296b8-2a78-4f7e-8263-a742af8e79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0073485C3F754D9E2398CCD330015A" ma:contentTypeVersion="12" ma:contentTypeDescription="Crie um novo documento." ma:contentTypeScope="" ma:versionID="baf1753f11ab2a22f8f32db75f3f77d9">
  <xsd:schema xmlns:xsd="http://www.w3.org/2001/XMLSchema" xmlns:xs="http://www.w3.org/2001/XMLSchema" xmlns:p="http://schemas.microsoft.com/office/2006/metadata/properties" xmlns:ns3="bcf296b8-2a78-4f7e-8263-a742af8e7934" targetNamespace="http://schemas.microsoft.com/office/2006/metadata/properties" ma:root="true" ma:fieldsID="cbcaa109b7b44eae826a5ef98e73a16e" ns3:_="">
    <xsd:import namespace="bcf296b8-2a78-4f7e-8263-a742af8e793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296b8-2a78-4f7e-8263-a742af8e793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22296F-3586-4776-B222-A805B3A8E4DE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bcf296b8-2a78-4f7e-8263-a742af8e7934"/>
  </ds:schemaRefs>
</ds:datastoreItem>
</file>

<file path=customXml/itemProps2.xml><?xml version="1.0" encoding="utf-8"?>
<ds:datastoreItem xmlns:ds="http://schemas.openxmlformats.org/officeDocument/2006/customXml" ds:itemID="{64DEB24F-325E-4507-805B-F0E1FAF1F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f296b8-2a78-4f7e-8263-a742af8e79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141F21-132B-4062-A7BF-B16C845DC3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15</vt:i4>
      </vt:variant>
    </vt:vector>
  </HeadingPairs>
  <TitlesOfParts>
    <vt:vector size="35" baseType="lpstr">
      <vt:lpstr>Estimativas (C3)</vt:lpstr>
      <vt:lpstr>Estimativas (C3) (FINAL)</vt:lpstr>
      <vt:lpstr>Quadro Resumo - incluído SINISA</vt:lpstr>
      <vt:lpstr>Áreas</vt:lpstr>
      <vt:lpstr>Cálculo do Número de Serventes</vt:lpstr>
      <vt:lpstr>Tabela IN 5</vt:lpstr>
      <vt:lpstr>Servente de Limpeza</vt:lpstr>
      <vt:lpstr>Lavador (Fachada)</vt:lpstr>
      <vt:lpstr>Assistente Adm I</vt:lpstr>
      <vt:lpstr>Assistente Adm II</vt:lpstr>
      <vt:lpstr>Assistente Tec Esp</vt:lpstr>
      <vt:lpstr>Téc. Secretariado</vt:lpstr>
      <vt:lpstr>Secretário(a) Executivo(a) I</vt:lpstr>
      <vt:lpstr>Secretário(a) Executivo(a) II</vt:lpstr>
      <vt:lpstr>Recepcionista</vt:lpstr>
      <vt:lpstr>Encarregado Geral</vt:lpstr>
      <vt:lpstr>UNIFOME</vt:lpstr>
      <vt:lpstr>Memória de cálculo</vt:lpstr>
      <vt:lpstr>Eq. e Mat. Serv. Auxiliar</vt:lpstr>
      <vt:lpstr>Eq. Materiais Lavador</vt:lpstr>
      <vt:lpstr>Áreas!Area_de_impressao</vt:lpstr>
      <vt:lpstr>'Assistente Adm I'!Area_de_impressao</vt:lpstr>
      <vt:lpstr>'Assistente Adm II'!Area_de_impressao</vt:lpstr>
      <vt:lpstr>'Assistente Tec Esp'!Area_de_impressao</vt:lpstr>
      <vt:lpstr>'Encarregado Geral'!Area_de_impressao</vt:lpstr>
      <vt:lpstr>'Eq. e Mat. Serv. Auxiliar'!Area_de_impressao</vt:lpstr>
      <vt:lpstr>'Lavador (Fachada)'!Area_de_impressao</vt:lpstr>
      <vt:lpstr>'Memória de cálculo'!Area_de_impressao</vt:lpstr>
      <vt:lpstr>'Quadro Resumo - incluído SINISA'!Area_de_impressao</vt:lpstr>
      <vt:lpstr>Recepcionista!Area_de_impressao</vt:lpstr>
      <vt:lpstr>'Secretário(a) Executivo(a) I'!Area_de_impressao</vt:lpstr>
      <vt:lpstr>'Secretário(a) Executivo(a) II'!Area_de_impressao</vt:lpstr>
      <vt:lpstr>'Servente de Limpeza'!Area_de_impressao</vt:lpstr>
      <vt:lpstr>'Tabela IN 5'!Area_de_impressao</vt:lpstr>
      <vt:lpstr>'Téc. Secretariado'!Area_de_impressao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2006-09-25T12:47:36Z</dcterms:created>
  <dcterms:modified xsi:type="dcterms:W3CDTF">2025-11-14T18:07:35Z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0x0101003C0073485C3F754D9E2398CCD330015A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2025-07-23T12:52:50Z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1f1be804-ebdf-42f4-bda1-7f29abe6d47a</vt:lpwstr>
  </property>
  <property fmtid="{D5CDD505-2E9C-101B-9397-08002B2CF9AE}" pid="8" name="MSIP_Label_defa4170-0d19-0005-0004-bc88714345d2_ActionId">
    <vt:lpwstr>fd05269d-bba4-431e-aa1d-27c753292533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