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codeName="{8C4F1C90-05EB-6A55-5F09-09C24B55AC0B}"/>
  <workbookPr codeName="EstaPastaDeTrabalho"/>
  <mc:AlternateContent xmlns:mc="http://schemas.openxmlformats.org/markup-compatibility/2006">
    <mc:Choice Requires="x15">
      <x15ac:absPath xmlns:x15ac="http://schemas.microsoft.com/office/spreadsheetml/2010/11/ac" url="C:\Users\reis_nad\OneDrive - Deutsche Gesellschaft für Internationale Zusammenarbeit (GIZ) GmbH\Documentos\"/>
    </mc:Choice>
  </mc:AlternateContent>
  <xr:revisionPtr revIDLastSave="0" documentId="8_{6AD01F84-025D-4F41-8E7A-5F02BF14881D}" xr6:coauthVersionLast="47" xr6:coauthVersionMax="47" xr10:uidLastSave="{00000000-0000-0000-0000-000000000000}"/>
  <bookViews>
    <workbookView xWindow="-110" yWindow="-110" windowWidth="19420" windowHeight="10420" tabRatio="668" xr2:uid="{00000000-000D-0000-FFFF-FFFF00000000}"/>
  </bookViews>
  <sheets>
    <sheet name="Apresentação" sheetId="1" r:id="rId1"/>
    <sheet name="R-Entrada" sheetId="2" r:id="rId2"/>
    <sheet name="R-Definição" sheetId="3" r:id="rId3"/>
    <sheet name="R-Avançado" sheetId="4" r:id="rId4"/>
    <sheet name="R-Fluxo Massa" sheetId="5" r:id="rId5"/>
    <sheet name="R-Resumo Bal. Massa" sheetId="6" r:id="rId6"/>
    <sheet name="Saída GEE" sheetId="7" r:id="rId7"/>
    <sheet name="R&amp;C-Painel de Controle" sheetId="8" r:id="rId8"/>
    <sheet name="C-Calc Tarifa" sheetId="9" r:id="rId9"/>
    <sheet name="C-FCL Real" sheetId="11" r:id="rId10"/>
    <sheet name="C-Graf Simul Tarifa Avançado" sheetId="12" r:id="rId11"/>
    <sheet name="C-Graf Simul Tarifa Simples" sheetId="10" r:id="rId12"/>
    <sheet name="C-Triagem Man" sheetId="13" r:id="rId13"/>
    <sheet name="C-Triagem Mec" sheetId="14" r:id="rId14"/>
    <sheet name="C-Produção CDR-TM" sheetId="15" r:id="rId15"/>
    <sheet name="C-Produção CDR-TMB" sheetId="16" r:id="rId16"/>
    <sheet name="C-Compostagem" sheetId="17" r:id="rId17"/>
    <sheet name="C-Biodigestão" sheetId="18" r:id="rId18"/>
    <sheet name="C-Incineração" sheetId="19" r:id="rId19"/>
    <sheet name="C-Aterro Sanitário" sheetId="20" r:id="rId20"/>
  </sheets>
  <externalReferences>
    <externalReference r:id="rId21"/>
  </externalReferences>
  <definedNames>
    <definedName name="_xlnm.Print_Area" localSheetId="0">Apresentação!$B$1:$R$36</definedName>
    <definedName name="solver_opt" localSheetId="9">'C-FCL Real'!$E$11</definedName>
    <definedName name="solver_opt" localSheetId="10">'C-Graf Simul Tarifa Avançado'!$Y$6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8" l="1"/>
  <c r="H19" i="9" s="1"/>
  <c r="H3" i="11" s="1"/>
  <c r="L3" i="12" s="1"/>
  <c r="N3" i="10" s="1"/>
  <c r="J65" i="3"/>
  <c r="N6" i="3"/>
  <c r="Q6" i="7"/>
  <c r="J6" i="6"/>
  <c r="AB7" i="5"/>
  <c r="N6" i="4"/>
  <c r="G27" i="11" l="1"/>
  <c r="G26" i="11"/>
  <c r="E21" i="19" l="1"/>
  <c r="H81" i="9"/>
  <c r="E49" i="19"/>
  <c r="E48" i="19"/>
  <c r="E47" i="19"/>
  <c r="E46" i="19"/>
  <c r="E45" i="19"/>
  <c r="U43" i="19"/>
  <c r="Q43" i="19"/>
  <c r="M43" i="19"/>
  <c r="I43" i="19"/>
  <c r="E43" i="19"/>
  <c r="U39" i="19"/>
  <c r="Q39" i="19"/>
  <c r="M39" i="19"/>
  <c r="I39" i="19"/>
  <c r="E39" i="19"/>
  <c r="U38" i="19"/>
  <c r="Q38" i="19"/>
  <c r="M38" i="19"/>
  <c r="I38" i="19"/>
  <c r="E38" i="19"/>
  <c r="U31" i="19"/>
  <c r="Q31" i="19"/>
  <c r="M31" i="19"/>
  <c r="I31" i="19"/>
  <c r="E31" i="19"/>
  <c r="U23" i="19"/>
  <c r="Q23" i="19"/>
  <c r="M23" i="19"/>
  <c r="I23" i="19"/>
  <c r="E23" i="19"/>
  <c r="E11" i="4" l="1"/>
  <c r="S7" i="8" l="1"/>
  <c r="H80" i="9" l="1"/>
  <c r="H78" i="9"/>
  <c r="Y10" i="9" l="1"/>
  <c r="F10" i="8" l="1"/>
  <c r="F13" i="8"/>
  <c r="F12" i="8"/>
  <c r="D121" i="11"/>
  <c r="E121" i="11"/>
  <c r="F121" i="11"/>
  <c r="G121" i="11"/>
  <c r="H121" i="11"/>
  <c r="I121" i="11"/>
  <c r="J121" i="11"/>
  <c r="K121" i="11"/>
  <c r="L121" i="11"/>
  <c r="M121" i="11"/>
  <c r="N121" i="11"/>
  <c r="O121" i="11"/>
  <c r="P121" i="11"/>
  <c r="Q121" i="11"/>
  <c r="R121" i="11"/>
  <c r="S121" i="11"/>
  <c r="T121" i="11"/>
  <c r="U121" i="11"/>
  <c r="V121" i="11"/>
  <c r="W121" i="11"/>
  <c r="X121" i="11"/>
  <c r="Y121" i="11"/>
  <c r="Z121" i="11"/>
  <c r="AA121" i="11"/>
  <c r="AB121" i="11"/>
  <c r="AC121" i="11"/>
  <c r="AD121" i="11"/>
  <c r="AE121" i="11"/>
  <c r="AF121" i="11"/>
  <c r="AG121" i="11"/>
  <c r="AH121" i="11"/>
  <c r="AI121" i="11"/>
  <c r="AJ121" i="11"/>
  <c r="AK121" i="11"/>
  <c r="AL121" i="11"/>
  <c r="AM121" i="11"/>
  <c r="AN121" i="11"/>
  <c r="AO121" i="11"/>
  <c r="AP121" i="11"/>
  <c r="AQ121" i="11"/>
  <c r="AR121" i="11"/>
  <c r="AS121" i="11"/>
  <c r="AT121" i="11"/>
  <c r="AU121" i="11"/>
  <c r="AV121" i="11"/>
  <c r="AW121" i="11"/>
  <c r="AX121" i="11"/>
  <c r="AY121" i="11"/>
  <c r="AZ121" i="11"/>
  <c r="BA121" i="11"/>
  <c r="BB121" i="11"/>
  <c r="BC121" i="11"/>
  <c r="C121" i="11"/>
  <c r="D109" i="8" l="1"/>
  <c r="C85" i="8" l="1"/>
  <c r="B85" i="8"/>
  <c r="B89" i="8"/>
  <c r="P15" i="18" l="1"/>
  <c r="D3" i="3" l="1"/>
  <c r="G3" i="8" l="1"/>
  <c r="D2" i="3"/>
  <c r="G2" i="8" s="1"/>
  <c r="D3" i="4"/>
  <c r="D2" i="4"/>
  <c r="AG1" i="5"/>
  <c r="V1" i="5"/>
  <c r="C3" i="6"/>
  <c r="C2" i="6"/>
  <c r="D3" i="7"/>
  <c r="D2" i="7"/>
  <c r="K55" i="7" l="1"/>
  <c r="I56" i="7" s="1"/>
  <c r="K52" i="7"/>
  <c r="K35" i="7"/>
  <c r="AA19" i="7"/>
  <c r="AA18" i="7"/>
  <c r="Q21" i="7"/>
  <c r="I55" i="7" l="1"/>
  <c r="I53" i="7" l="1"/>
  <c r="I52" i="7" l="1"/>
  <c r="F29" i="8" l="1"/>
  <c r="F28" i="8"/>
  <c r="F27" i="8"/>
  <c r="F26" i="8"/>
  <c r="B74" i="11" l="1"/>
  <c r="F48" i="19" l="1"/>
  <c r="H49" i="19"/>
  <c r="H46" i="19"/>
  <c r="H47" i="19"/>
  <c r="H48" i="19"/>
  <c r="H45" i="19"/>
  <c r="F49" i="19"/>
  <c r="L46" i="19" l="1"/>
  <c r="M46" i="19" s="1"/>
  <c r="I46" i="19"/>
  <c r="J47" i="19"/>
  <c r="I47" i="19"/>
  <c r="J45" i="19"/>
  <c r="I45" i="19"/>
  <c r="L49" i="19"/>
  <c r="M49" i="19" s="1"/>
  <c r="I49" i="19"/>
  <c r="L48" i="19"/>
  <c r="M48" i="19" s="1"/>
  <c r="I48" i="19"/>
  <c r="J46" i="19"/>
  <c r="J48" i="19"/>
  <c r="J49" i="19"/>
  <c r="L45" i="19"/>
  <c r="M45" i="19" s="1"/>
  <c r="L47" i="19"/>
  <c r="M47" i="19" s="1"/>
  <c r="P46" i="19" l="1"/>
  <c r="T46" i="19" s="1"/>
  <c r="U46" i="19" s="1"/>
  <c r="N46" i="19"/>
  <c r="P48" i="19"/>
  <c r="Q48" i="19" s="1"/>
  <c r="P49" i="19"/>
  <c r="T49" i="19" s="1"/>
  <c r="U49" i="19" s="1"/>
  <c r="N49" i="19"/>
  <c r="N48" i="19"/>
  <c r="P45" i="19"/>
  <c r="N45" i="19"/>
  <c r="P47" i="19"/>
  <c r="N47" i="19"/>
  <c r="H57" i="9"/>
  <c r="H44" i="9"/>
  <c r="Q46" i="19" l="1"/>
  <c r="Q49" i="19"/>
  <c r="T48" i="19"/>
  <c r="V48" i="19" s="1"/>
  <c r="R48" i="19"/>
  <c r="T47" i="19"/>
  <c r="U47" i="19" s="1"/>
  <c r="Q47" i="19"/>
  <c r="T45" i="19"/>
  <c r="U45" i="19" s="1"/>
  <c r="Q45" i="19"/>
  <c r="Y89" i="9"/>
  <c r="Y76" i="9"/>
  <c r="Y63" i="9"/>
  <c r="Y50" i="9"/>
  <c r="Y37" i="9"/>
  <c r="H84" i="9"/>
  <c r="H83" i="9"/>
  <c r="H82" i="9"/>
  <c r="U48" i="19" l="1"/>
  <c r="F19" i="8"/>
  <c r="V43" i="20" l="1"/>
  <c r="R43" i="20"/>
  <c r="T43" i="20" s="1"/>
  <c r="N43" i="20"/>
  <c r="P43" i="20" s="1"/>
  <c r="J43" i="20"/>
  <c r="L43" i="20" s="1"/>
  <c r="F43" i="20"/>
  <c r="H43" i="20" s="1"/>
  <c r="D43" i="20"/>
  <c r="V44" i="20"/>
  <c r="R44" i="20"/>
  <c r="T44" i="20" s="1"/>
  <c r="N44" i="20"/>
  <c r="P44" i="20" s="1"/>
  <c r="J44" i="20"/>
  <c r="L44" i="20" s="1"/>
  <c r="F44" i="20"/>
  <c r="H44" i="20" s="1"/>
  <c r="D44" i="20"/>
  <c r="V40" i="20"/>
  <c r="R40" i="20"/>
  <c r="T40" i="20" s="1"/>
  <c r="N40" i="20"/>
  <c r="P40" i="20" s="1"/>
  <c r="J40" i="20"/>
  <c r="L40" i="20" s="1"/>
  <c r="F40" i="20"/>
  <c r="H40" i="20" s="1"/>
  <c r="D40" i="20"/>
  <c r="V39" i="20"/>
  <c r="R39" i="20"/>
  <c r="T39" i="20" s="1"/>
  <c r="N39" i="20"/>
  <c r="P39" i="20" s="1"/>
  <c r="J39" i="20"/>
  <c r="L39" i="20" s="1"/>
  <c r="F39" i="20"/>
  <c r="H39" i="20" s="1"/>
  <c r="D39" i="20"/>
  <c r="V30" i="20"/>
  <c r="R30" i="20"/>
  <c r="T30" i="20" s="1"/>
  <c r="N30" i="20"/>
  <c r="P30" i="20" s="1"/>
  <c r="J30" i="20"/>
  <c r="L30" i="20" s="1"/>
  <c r="F30" i="20"/>
  <c r="H30" i="20" s="1"/>
  <c r="D30" i="20"/>
  <c r="V35" i="20"/>
  <c r="R35" i="20"/>
  <c r="T35" i="20" s="1"/>
  <c r="N35" i="20"/>
  <c r="P35" i="20" s="1"/>
  <c r="J35" i="20"/>
  <c r="L35" i="20" s="1"/>
  <c r="F35" i="20"/>
  <c r="H35" i="20" s="1"/>
  <c r="D35" i="20"/>
  <c r="V34" i="20"/>
  <c r="R34" i="20"/>
  <c r="T34" i="20" s="1"/>
  <c r="N34" i="20"/>
  <c r="P34" i="20" s="1"/>
  <c r="J34" i="20"/>
  <c r="L34" i="20" s="1"/>
  <c r="F34" i="20"/>
  <c r="H34" i="20" s="1"/>
  <c r="D34" i="20"/>
  <c r="V42" i="20"/>
  <c r="R42" i="20"/>
  <c r="T42" i="20" s="1"/>
  <c r="N42" i="20"/>
  <c r="P42" i="20" s="1"/>
  <c r="J42" i="20"/>
  <c r="L42" i="20" s="1"/>
  <c r="F42" i="20"/>
  <c r="H42" i="20" s="1"/>
  <c r="D42" i="20"/>
  <c r="V33" i="20"/>
  <c r="R33" i="20"/>
  <c r="T33" i="20" s="1"/>
  <c r="N33" i="20"/>
  <c r="P33" i="20" s="1"/>
  <c r="J33" i="20"/>
  <c r="L33" i="20" s="1"/>
  <c r="F33" i="20"/>
  <c r="H33" i="20" s="1"/>
  <c r="D33" i="20"/>
  <c r="V32" i="20"/>
  <c r="R32" i="20"/>
  <c r="T32" i="20" s="1"/>
  <c r="N32" i="20"/>
  <c r="P32" i="20" s="1"/>
  <c r="J32" i="20"/>
  <c r="L32" i="20" s="1"/>
  <c r="F32" i="20"/>
  <c r="H32" i="20" s="1"/>
  <c r="D32" i="20"/>
  <c r="V38" i="20"/>
  <c r="R38" i="20"/>
  <c r="T38" i="20" s="1"/>
  <c r="N38" i="20"/>
  <c r="P38" i="20" s="1"/>
  <c r="J38" i="20"/>
  <c r="L38" i="20" s="1"/>
  <c r="F38" i="20"/>
  <c r="H38" i="20" s="1"/>
  <c r="D38" i="20"/>
  <c r="V28" i="20"/>
  <c r="R28" i="20"/>
  <c r="T28" i="20" s="1"/>
  <c r="N28" i="20"/>
  <c r="P28" i="20" s="1"/>
  <c r="J28" i="20"/>
  <c r="L28" i="20" s="1"/>
  <c r="F28" i="20"/>
  <c r="H28" i="20" s="1"/>
  <c r="D28" i="20"/>
  <c r="V27" i="20"/>
  <c r="R27" i="20"/>
  <c r="T27" i="20" s="1"/>
  <c r="N27" i="20"/>
  <c r="P27" i="20" s="1"/>
  <c r="J27" i="20"/>
  <c r="L27" i="20" s="1"/>
  <c r="F27" i="20"/>
  <c r="H27" i="20" s="1"/>
  <c r="D27" i="20"/>
  <c r="V37" i="20"/>
  <c r="R37" i="20"/>
  <c r="T37" i="20" s="1"/>
  <c r="N37" i="20"/>
  <c r="P37" i="20" s="1"/>
  <c r="J37" i="20"/>
  <c r="L37" i="20" s="1"/>
  <c r="F37" i="20"/>
  <c r="H37" i="20" s="1"/>
  <c r="D37" i="20"/>
  <c r="V22" i="20"/>
  <c r="R22" i="20"/>
  <c r="T22" i="20" s="1"/>
  <c r="N22" i="20"/>
  <c r="P22" i="20" s="1"/>
  <c r="J22" i="20"/>
  <c r="L22" i="20" s="1"/>
  <c r="F22" i="20"/>
  <c r="H22" i="20" s="1"/>
  <c r="D22" i="20"/>
  <c r="V21" i="20"/>
  <c r="R21" i="20"/>
  <c r="T21" i="20" s="1"/>
  <c r="N21" i="20"/>
  <c r="P21" i="20" s="1"/>
  <c r="J21" i="20"/>
  <c r="L21" i="20" s="1"/>
  <c r="F21" i="20"/>
  <c r="H21" i="20" s="1"/>
  <c r="D21" i="20"/>
  <c r="AA20" i="20"/>
  <c r="Z20" i="20"/>
  <c r="Y20" i="20"/>
  <c r="X20" i="20"/>
  <c r="V17" i="20"/>
  <c r="T17" i="20"/>
  <c r="R17" i="20" s="1"/>
  <c r="P17" i="20"/>
  <c r="N17" i="20" s="1"/>
  <c r="L17" i="20"/>
  <c r="J17" i="20" s="1"/>
  <c r="H17" i="20"/>
  <c r="F17" i="20" s="1"/>
  <c r="D17" i="20"/>
  <c r="V16" i="20"/>
  <c r="R16" i="20"/>
  <c r="T16" i="20" s="1"/>
  <c r="N16" i="20"/>
  <c r="P16" i="20" s="1"/>
  <c r="J16" i="20"/>
  <c r="L16" i="20" s="1"/>
  <c r="F16" i="20"/>
  <c r="H16" i="20" s="1"/>
  <c r="D16" i="20"/>
  <c r="V15" i="20"/>
  <c r="R15" i="20"/>
  <c r="T15" i="20" s="1"/>
  <c r="N15" i="20"/>
  <c r="P15" i="20" s="1"/>
  <c r="J15" i="20"/>
  <c r="L15" i="20" s="1"/>
  <c r="F15" i="20"/>
  <c r="H15" i="20" s="1"/>
  <c r="D15" i="20"/>
  <c r="T11" i="20"/>
  <c r="P11" i="20"/>
  <c r="L11" i="20"/>
  <c r="H11" i="20"/>
  <c r="V47" i="19"/>
  <c r="R47" i="19"/>
  <c r="F47" i="19"/>
  <c r="V46" i="19"/>
  <c r="R46" i="19"/>
  <c r="F46" i="19"/>
  <c r="V45" i="19"/>
  <c r="R45" i="19"/>
  <c r="F45" i="19"/>
  <c r="U41" i="19"/>
  <c r="Q41" i="19"/>
  <c r="M41" i="19"/>
  <c r="I41" i="19"/>
  <c r="E41" i="19"/>
  <c r="AA39" i="19"/>
  <c r="Z39" i="19"/>
  <c r="Y39" i="19"/>
  <c r="X39" i="19"/>
  <c r="V39" i="19"/>
  <c r="R39" i="19"/>
  <c r="N39" i="19"/>
  <c r="J39" i="19"/>
  <c r="F39" i="19"/>
  <c r="V38" i="19"/>
  <c r="R38" i="19"/>
  <c r="N38" i="19"/>
  <c r="J38" i="19"/>
  <c r="F38" i="19"/>
  <c r="V35" i="19"/>
  <c r="R35" i="19"/>
  <c r="N35" i="19"/>
  <c r="J35" i="19"/>
  <c r="F35" i="19"/>
  <c r="U32" i="19"/>
  <c r="Q32" i="19"/>
  <c r="M32" i="19"/>
  <c r="I32" i="19"/>
  <c r="E32" i="19"/>
  <c r="AA27" i="19"/>
  <c r="Z27" i="19"/>
  <c r="Y27" i="19"/>
  <c r="X27" i="19"/>
  <c r="W27" i="19"/>
  <c r="AA25" i="19"/>
  <c r="Z25" i="19"/>
  <c r="Y25" i="19"/>
  <c r="X25" i="19"/>
  <c r="W25" i="19"/>
  <c r="AA24" i="19"/>
  <c r="Z24" i="19"/>
  <c r="Y24" i="19"/>
  <c r="X24" i="19"/>
  <c r="W24" i="19"/>
  <c r="E24" i="19"/>
  <c r="I24" i="19" s="1"/>
  <c r="M24" i="19" s="1"/>
  <c r="Q24" i="19" s="1"/>
  <c r="U24" i="19" s="1"/>
  <c r="T16" i="19" s="1"/>
  <c r="AA21" i="19"/>
  <c r="Z21" i="19"/>
  <c r="Y21" i="19"/>
  <c r="X21" i="19"/>
  <c r="U21" i="19"/>
  <c r="Q21" i="19"/>
  <c r="M21" i="19"/>
  <c r="I21" i="19"/>
  <c r="N17" i="19"/>
  <c r="J17" i="19"/>
  <c r="H17" i="19" s="1"/>
  <c r="F17" i="19"/>
  <c r="F20" i="19" s="1"/>
  <c r="T15" i="19"/>
  <c r="P15" i="19"/>
  <c r="L15" i="19"/>
  <c r="H15" i="19"/>
  <c r="D15" i="19"/>
  <c r="T11" i="19"/>
  <c r="P11" i="19"/>
  <c r="L11" i="19"/>
  <c r="H11" i="19"/>
  <c r="J1" i="19"/>
  <c r="U42" i="18"/>
  <c r="Q42" i="18"/>
  <c r="M42" i="18"/>
  <c r="I42" i="18"/>
  <c r="E42" i="18"/>
  <c r="U34" i="18"/>
  <c r="Q34" i="18"/>
  <c r="M34" i="18"/>
  <c r="I34" i="18"/>
  <c r="E34" i="18"/>
  <c r="E25" i="18"/>
  <c r="U24" i="18"/>
  <c r="Q24" i="18"/>
  <c r="M24" i="18"/>
  <c r="I24" i="18"/>
  <c r="E24" i="18"/>
  <c r="AA21" i="18"/>
  <c r="Z21" i="18"/>
  <c r="Y21" i="18"/>
  <c r="X21" i="18"/>
  <c r="U21" i="18"/>
  <c r="Q21" i="18"/>
  <c r="M21" i="18"/>
  <c r="I21" i="18"/>
  <c r="E21" i="18"/>
  <c r="T11" i="18"/>
  <c r="P11" i="18"/>
  <c r="L11" i="18"/>
  <c r="H11" i="18"/>
  <c r="U39" i="17"/>
  <c r="Q39" i="17"/>
  <c r="M39" i="17"/>
  <c r="I39" i="17"/>
  <c r="E39" i="17"/>
  <c r="U34" i="17"/>
  <c r="Q34" i="17"/>
  <c r="M34" i="17"/>
  <c r="I34" i="17"/>
  <c r="E34" i="17"/>
  <c r="AA21" i="17"/>
  <c r="Z21" i="17"/>
  <c r="Y21" i="17"/>
  <c r="X21" i="17"/>
  <c r="U21" i="17"/>
  <c r="Q21" i="17"/>
  <c r="M21" i="17"/>
  <c r="I21" i="17"/>
  <c r="E21" i="17"/>
  <c r="H16" i="17"/>
  <c r="D16" i="17"/>
  <c r="H15" i="17"/>
  <c r="D15" i="17"/>
  <c r="T11" i="17"/>
  <c r="P11" i="17"/>
  <c r="L11" i="17"/>
  <c r="H11" i="17"/>
  <c r="H38" i="16"/>
  <c r="L38" i="16" s="1"/>
  <c r="P38" i="16" s="1"/>
  <c r="T38" i="16" s="1"/>
  <c r="U39" i="16"/>
  <c r="Q39" i="16"/>
  <c r="M39" i="16"/>
  <c r="I39" i="16"/>
  <c r="E39" i="16"/>
  <c r="U33" i="16"/>
  <c r="U34" i="16" s="1"/>
  <c r="Q33" i="16"/>
  <c r="Q34" i="16" s="1"/>
  <c r="M33" i="16"/>
  <c r="M34" i="16" s="1"/>
  <c r="I33" i="16"/>
  <c r="I34" i="16" s="1"/>
  <c r="E33" i="16"/>
  <c r="E34" i="16" s="1"/>
  <c r="U31" i="16"/>
  <c r="Q31" i="16"/>
  <c r="M31" i="16"/>
  <c r="I31" i="16"/>
  <c r="E31" i="16"/>
  <c r="AA21" i="16"/>
  <c r="Z21" i="16"/>
  <c r="Y21" i="16"/>
  <c r="X21" i="16"/>
  <c r="U21" i="16"/>
  <c r="Q21" i="16"/>
  <c r="M21" i="16"/>
  <c r="I21" i="16"/>
  <c r="E21" i="16"/>
  <c r="V17" i="16"/>
  <c r="T17" i="16" s="1"/>
  <c r="R17" i="16"/>
  <c r="P17" i="16" s="1"/>
  <c r="N17" i="16"/>
  <c r="L17" i="16" s="1"/>
  <c r="J17" i="16"/>
  <c r="H17" i="16" s="1"/>
  <c r="F17" i="16"/>
  <c r="D17" i="16" s="1"/>
  <c r="P16" i="16"/>
  <c r="T16" i="16" s="1"/>
  <c r="P15" i="16"/>
  <c r="T15" i="16" s="1"/>
  <c r="T11" i="16"/>
  <c r="P11" i="16"/>
  <c r="L11" i="16"/>
  <c r="H11" i="16"/>
  <c r="H38" i="15"/>
  <c r="L38" i="15" s="1"/>
  <c r="P38" i="15" s="1"/>
  <c r="T38" i="15" s="1"/>
  <c r="U39" i="15"/>
  <c r="Q39" i="15"/>
  <c r="M39" i="15"/>
  <c r="I39" i="15"/>
  <c r="E39" i="15"/>
  <c r="U33" i="15"/>
  <c r="U34" i="15" s="1"/>
  <c r="Q33" i="15"/>
  <c r="Q34" i="15" s="1"/>
  <c r="M33" i="15"/>
  <c r="M34" i="15" s="1"/>
  <c r="I33" i="15"/>
  <c r="I34" i="15" s="1"/>
  <c r="E33" i="15"/>
  <c r="E34" i="15" s="1"/>
  <c r="U31" i="15"/>
  <c r="Q31" i="15"/>
  <c r="M31" i="15"/>
  <c r="I31" i="15"/>
  <c r="E31" i="15"/>
  <c r="AA21" i="15"/>
  <c r="Z21" i="15"/>
  <c r="Y21" i="15"/>
  <c r="X21" i="15"/>
  <c r="U21" i="15"/>
  <c r="Q21" i="15"/>
  <c r="M21" i="15"/>
  <c r="I21" i="15"/>
  <c r="E21" i="15"/>
  <c r="V17" i="15"/>
  <c r="T17" i="15" s="1"/>
  <c r="R17" i="15"/>
  <c r="P17" i="15" s="1"/>
  <c r="N17" i="15"/>
  <c r="L17" i="15" s="1"/>
  <c r="J17" i="15"/>
  <c r="H17" i="15" s="1"/>
  <c r="F17" i="15"/>
  <c r="D17" i="15" s="1"/>
  <c r="T15" i="15"/>
  <c r="P15" i="15"/>
  <c r="L15" i="15"/>
  <c r="H15" i="15"/>
  <c r="D15" i="15"/>
  <c r="T11" i="15"/>
  <c r="P11" i="15"/>
  <c r="L11" i="15"/>
  <c r="H11" i="15"/>
  <c r="H38" i="14"/>
  <c r="L38" i="14" s="1"/>
  <c r="P38" i="14" s="1"/>
  <c r="T38" i="14" s="1"/>
  <c r="U39" i="14"/>
  <c r="Q39" i="14"/>
  <c r="M39" i="14"/>
  <c r="I39" i="14"/>
  <c r="E39" i="14"/>
  <c r="U33" i="14"/>
  <c r="U34" i="14" s="1"/>
  <c r="Q33" i="14"/>
  <c r="Q34" i="14" s="1"/>
  <c r="M33" i="14"/>
  <c r="M31" i="14"/>
  <c r="I31" i="14"/>
  <c r="E31" i="14"/>
  <c r="U30" i="14"/>
  <c r="U31" i="14" s="1"/>
  <c r="Q30" i="14"/>
  <c r="Q31" i="14" s="1"/>
  <c r="I22" i="14"/>
  <c r="AA21" i="14"/>
  <c r="Z21" i="14"/>
  <c r="Y21" i="14"/>
  <c r="X21" i="14"/>
  <c r="U21" i="14"/>
  <c r="Q21" i="14"/>
  <c r="M21" i="14"/>
  <c r="I21" i="14"/>
  <c r="E21" i="14"/>
  <c r="V17" i="14"/>
  <c r="R17" i="14"/>
  <c r="N17" i="14"/>
  <c r="L17" i="14" s="1"/>
  <c r="J17" i="14"/>
  <c r="H17" i="14" s="1"/>
  <c r="F17" i="14"/>
  <c r="D17" i="14" s="1"/>
  <c r="T15" i="14"/>
  <c r="P15" i="14"/>
  <c r="L15" i="14"/>
  <c r="H15" i="14"/>
  <c r="D15" i="14"/>
  <c r="T11" i="14"/>
  <c r="P11" i="14"/>
  <c r="L11" i="14"/>
  <c r="H11" i="14"/>
  <c r="U39" i="13"/>
  <c r="Q39" i="13"/>
  <c r="M39" i="13"/>
  <c r="I39" i="13"/>
  <c r="E39" i="13"/>
  <c r="U34" i="13"/>
  <c r="Q34" i="13"/>
  <c r="M34" i="13"/>
  <c r="I34" i="13"/>
  <c r="E34" i="13"/>
  <c r="V28" i="13"/>
  <c r="U28" i="13"/>
  <c r="R28" i="13"/>
  <c r="Q28" i="13"/>
  <c r="N28" i="13"/>
  <c r="M28" i="13"/>
  <c r="J28" i="13"/>
  <c r="I28" i="13"/>
  <c r="D28" i="13"/>
  <c r="E28" i="13" s="1"/>
  <c r="V22" i="13"/>
  <c r="T22" i="13"/>
  <c r="R22" i="13"/>
  <c r="P22" i="13"/>
  <c r="N22" i="13"/>
  <c r="L22" i="13"/>
  <c r="J22" i="13"/>
  <c r="H22" i="13"/>
  <c r="E22" i="13"/>
  <c r="AA21" i="13"/>
  <c r="Z21" i="13"/>
  <c r="Y21" i="13"/>
  <c r="X21" i="13"/>
  <c r="U21" i="13"/>
  <c r="Q21" i="13"/>
  <c r="M21" i="13"/>
  <c r="I21" i="13"/>
  <c r="E21" i="13"/>
  <c r="T11" i="13"/>
  <c r="P11" i="13"/>
  <c r="L11" i="13"/>
  <c r="H11" i="13"/>
  <c r="C183" i="11"/>
  <c r="C164" i="11"/>
  <c r="B86" i="11"/>
  <c r="B113" i="11" s="1"/>
  <c r="B144" i="11" s="1"/>
  <c r="B83" i="11"/>
  <c r="B110" i="11" s="1"/>
  <c r="B141" i="11" s="1"/>
  <c r="B80" i="11"/>
  <c r="B107" i="11" s="1"/>
  <c r="B138" i="11" s="1"/>
  <c r="B77" i="11"/>
  <c r="B104" i="11" s="1"/>
  <c r="B135" i="11" s="1"/>
  <c r="B101" i="11"/>
  <c r="B132" i="11" s="1"/>
  <c r="B71" i="11"/>
  <c r="B98" i="11" s="1"/>
  <c r="B129" i="11" s="1"/>
  <c r="B68" i="11"/>
  <c r="B95" i="11" s="1"/>
  <c r="B126" i="11" s="1"/>
  <c r="B65" i="11"/>
  <c r="B92" i="11" s="1"/>
  <c r="B123" i="11" s="1"/>
  <c r="Q59" i="11"/>
  <c r="P59" i="11"/>
  <c r="O59" i="11"/>
  <c r="N59" i="11"/>
  <c r="M59" i="11"/>
  <c r="L59" i="11"/>
  <c r="K59" i="11"/>
  <c r="J59" i="11"/>
  <c r="I59" i="11"/>
  <c r="H59" i="11"/>
  <c r="G59" i="11"/>
  <c r="F59" i="11"/>
  <c r="D59" i="11"/>
  <c r="C59" i="11"/>
  <c r="Q56" i="11"/>
  <c r="P56" i="11"/>
  <c r="O56" i="11"/>
  <c r="N56" i="11"/>
  <c r="M56" i="11"/>
  <c r="L56" i="11"/>
  <c r="K56" i="11"/>
  <c r="J56" i="11"/>
  <c r="I56" i="11"/>
  <c r="H56" i="11"/>
  <c r="G56" i="11"/>
  <c r="F56" i="11"/>
  <c r="D56" i="11"/>
  <c r="C56" i="11"/>
  <c r="Q53" i="11"/>
  <c r="P53" i="11"/>
  <c r="O53" i="11"/>
  <c r="N53" i="11"/>
  <c r="M53" i="11"/>
  <c r="L53" i="11"/>
  <c r="K53" i="11"/>
  <c r="J53" i="11"/>
  <c r="I53" i="11"/>
  <c r="H53" i="11"/>
  <c r="G53" i="11"/>
  <c r="F53" i="11"/>
  <c r="D53" i="11"/>
  <c r="C53" i="11"/>
  <c r="Q50" i="11"/>
  <c r="P50" i="11"/>
  <c r="O50" i="11"/>
  <c r="N50" i="11"/>
  <c r="M50" i="11"/>
  <c r="L50" i="11"/>
  <c r="K50" i="11"/>
  <c r="J50" i="11"/>
  <c r="I50" i="11"/>
  <c r="H50" i="11"/>
  <c r="G50" i="11"/>
  <c r="F50" i="11"/>
  <c r="D50" i="11"/>
  <c r="C50" i="11"/>
  <c r="Q47" i="11"/>
  <c r="P47" i="11"/>
  <c r="O47" i="11"/>
  <c r="N47" i="11"/>
  <c r="M47" i="11"/>
  <c r="L47" i="11"/>
  <c r="K47" i="11"/>
  <c r="J47" i="11"/>
  <c r="I47" i="11"/>
  <c r="H47" i="11"/>
  <c r="G47" i="11"/>
  <c r="F47" i="11"/>
  <c r="D47" i="11"/>
  <c r="C47" i="11"/>
  <c r="Q44" i="11"/>
  <c r="P44" i="11"/>
  <c r="O44" i="11"/>
  <c r="N44" i="11"/>
  <c r="M44" i="11"/>
  <c r="L44" i="11"/>
  <c r="K44" i="11"/>
  <c r="J44" i="11"/>
  <c r="I44" i="11"/>
  <c r="H44" i="11"/>
  <c r="G44" i="11"/>
  <c r="F44" i="11"/>
  <c r="D44" i="11"/>
  <c r="C44" i="11"/>
  <c r="Q41" i="11"/>
  <c r="P41" i="11"/>
  <c r="O41" i="11"/>
  <c r="N41" i="11"/>
  <c r="M41" i="11"/>
  <c r="L41" i="11"/>
  <c r="K41" i="11"/>
  <c r="J41" i="11"/>
  <c r="I41" i="11"/>
  <c r="H41" i="11"/>
  <c r="G41" i="11"/>
  <c r="F41" i="11"/>
  <c r="D41" i="11"/>
  <c r="C41" i="11"/>
  <c r="Q38" i="11"/>
  <c r="P38" i="11"/>
  <c r="O38" i="11"/>
  <c r="N38" i="11"/>
  <c r="M38" i="11"/>
  <c r="L38" i="11"/>
  <c r="K38" i="11"/>
  <c r="J38" i="11"/>
  <c r="I38" i="11"/>
  <c r="H38" i="11"/>
  <c r="G38" i="11"/>
  <c r="F38" i="11"/>
  <c r="D38" i="11"/>
  <c r="C38" i="11"/>
  <c r="D32" i="11"/>
  <c r="C18" i="11"/>
  <c r="C23" i="11" s="1"/>
  <c r="C17" i="11"/>
  <c r="C8" i="11"/>
  <c r="C33" i="11"/>
  <c r="F96" i="9"/>
  <c r="F95" i="9"/>
  <c r="Y94" i="9"/>
  <c r="AA94" i="9" s="1"/>
  <c r="W94" i="9"/>
  <c r="F94" i="9"/>
  <c r="Y93" i="9"/>
  <c r="AA93" i="9" s="1"/>
  <c r="W93" i="9"/>
  <c r="F93" i="9"/>
  <c r="Y91" i="9"/>
  <c r="AA91" i="9" s="1"/>
  <c r="W91" i="9"/>
  <c r="O88" i="9"/>
  <c r="O87" i="9"/>
  <c r="F84" i="9"/>
  <c r="F83" i="9"/>
  <c r="F82" i="9"/>
  <c r="F81" i="9"/>
  <c r="F80" i="9"/>
  <c r="O75" i="9"/>
  <c r="H71" i="9"/>
  <c r="G71" i="9"/>
  <c r="G70" i="9"/>
  <c r="F71" i="9" s="1"/>
  <c r="H69" i="9"/>
  <c r="G69" i="9"/>
  <c r="F70" i="9" s="1"/>
  <c r="G68" i="9"/>
  <c r="F69" i="9" s="1"/>
  <c r="G67" i="9"/>
  <c r="F68" i="9" s="1"/>
  <c r="O65" i="9"/>
  <c r="O62" i="9" s="1"/>
  <c r="H65" i="9"/>
  <c r="G65" i="9"/>
  <c r="F67" i="9" s="1"/>
  <c r="D64" i="9"/>
  <c r="C64" i="9"/>
  <c r="B64" i="9"/>
  <c r="F58" i="9"/>
  <c r="H70" i="9"/>
  <c r="F57" i="9"/>
  <c r="F56" i="9"/>
  <c r="H55" i="9"/>
  <c r="H68" i="9" s="1"/>
  <c r="F55" i="9"/>
  <c r="H54" i="9"/>
  <c r="H67" i="9" s="1"/>
  <c r="F54" i="9"/>
  <c r="O49" i="9"/>
  <c r="Y45" i="9"/>
  <c r="AA45" i="9" s="1"/>
  <c r="W45" i="9"/>
  <c r="F45" i="9"/>
  <c r="F44" i="9"/>
  <c r="Y43" i="9"/>
  <c r="AA43" i="9" s="1"/>
  <c r="W43" i="9"/>
  <c r="F43" i="9"/>
  <c r="Y42" i="9"/>
  <c r="AA42" i="9" s="1"/>
  <c r="W42" i="9"/>
  <c r="F42" i="9"/>
  <c r="Y41" i="9"/>
  <c r="AA41" i="9" s="1"/>
  <c r="W41" i="9"/>
  <c r="F41" i="9"/>
  <c r="O36" i="9"/>
  <c r="O35" i="9"/>
  <c r="D7" i="9"/>
  <c r="D77" i="8"/>
  <c r="D37" i="8"/>
  <c r="D6" i="8" s="1"/>
  <c r="K59" i="7"/>
  <c r="I59" i="7" s="1"/>
  <c r="I32" i="7"/>
  <c r="I30" i="7"/>
  <c r="I29" i="7"/>
  <c r="S24" i="7"/>
  <c r="Q24" i="7" s="1"/>
  <c r="G130" i="6"/>
  <c r="F130" i="6"/>
  <c r="E130" i="6"/>
  <c r="D130" i="6"/>
  <c r="H11" i="4"/>
  <c r="G11" i="4"/>
  <c r="F11" i="4"/>
  <c r="A137" i="3"/>
  <c r="F128" i="3"/>
  <c r="J124" i="3"/>
  <c r="D123" i="3"/>
  <c r="J119" i="3"/>
  <c r="K112" i="3"/>
  <c r="J111" i="3"/>
  <c r="J109" i="3"/>
  <c r="E109" i="3"/>
  <c r="D41" i="6" s="1"/>
  <c r="E108" i="3"/>
  <c r="D40" i="6" s="1"/>
  <c r="E107" i="3"/>
  <c r="F107" i="3" s="1"/>
  <c r="L99" i="3"/>
  <c r="L98" i="3"/>
  <c r="E97" i="3"/>
  <c r="D97" i="3"/>
  <c r="M96" i="3"/>
  <c r="L96" i="3"/>
  <c r="M86" i="3"/>
  <c r="K86" i="3"/>
  <c r="J86" i="3"/>
  <c r="I86" i="3"/>
  <c r="F71" i="3"/>
  <c r="F69" i="3"/>
  <c r="F66" i="3"/>
  <c r="O69" i="3"/>
  <c r="I74" i="6" s="1"/>
  <c r="F65" i="3"/>
  <c r="F63" i="3"/>
  <c r="M60" i="3"/>
  <c r="K60" i="3"/>
  <c r="M59" i="3"/>
  <c r="K59" i="3"/>
  <c r="L50" i="3"/>
  <c r="T42" i="3"/>
  <c r="T40" i="3"/>
  <c r="D46" i="2"/>
  <c r="D47" i="2" s="1"/>
  <c r="D41" i="2"/>
  <c r="F40" i="2"/>
  <c r="D40" i="2"/>
  <c r="G21" i="2"/>
  <c r="E14" i="2"/>
  <c r="C3" i="5" s="1"/>
  <c r="P17" i="14" l="1"/>
  <c r="D10" i="9"/>
  <c r="W10" i="9" s="1"/>
  <c r="J7" i="9"/>
  <c r="G7" i="9" s="1"/>
  <c r="I25" i="18"/>
  <c r="H16" i="18" s="1"/>
  <c r="D16" i="18"/>
  <c r="K22" i="2"/>
  <c r="K21" i="2"/>
  <c r="E33" i="2"/>
  <c r="I18" i="7" s="1"/>
  <c r="K45" i="7"/>
  <c r="I45" i="7" s="1"/>
  <c r="I122" i="3"/>
  <c r="E26" i="2"/>
  <c r="I12" i="7" s="1"/>
  <c r="E29" i="2"/>
  <c r="G29" i="2" s="1"/>
  <c r="N97" i="3"/>
  <c r="I22" i="13"/>
  <c r="Q22" i="13"/>
  <c r="B37" i="11"/>
  <c r="D16" i="19"/>
  <c r="B46" i="11"/>
  <c r="P16" i="19"/>
  <c r="B55" i="11"/>
  <c r="B49" i="11"/>
  <c r="B40" i="11"/>
  <c r="H16" i="19"/>
  <c r="U22" i="13"/>
  <c r="E37" i="2"/>
  <c r="I22" i="7" s="1"/>
  <c r="J120" i="3"/>
  <c r="C20" i="11"/>
  <c r="C28" i="11" s="1"/>
  <c r="C22" i="11"/>
  <c r="D170" i="11" s="1"/>
  <c r="D17" i="19"/>
  <c r="O33" i="9"/>
  <c r="O12" i="9" s="1"/>
  <c r="B43" i="11"/>
  <c r="Q25" i="7"/>
  <c r="B58" i="11"/>
  <c r="L16" i="19"/>
  <c r="J127" i="3"/>
  <c r="K74" i="6" s="1"/>
  <c r="P45" i="8" s="1"/>
  <c r="H87" i="8" s="1"/>
  <c r="B52" i="11"/>
  <c r="T17" i="14"/>
  <c r="K42" i="7"/>
  <c r="I42" i="7" s="1"/>
  <c r="D127" i="3"/>
  <c r="D39" i="6"/>
  <c r="E34" i="2"/>
  <c r="G34" i="2" s="1"/>
  <c r="E38" i="2"/>
  <c r="E36" i="2"/>
  <c r="E27" i="2"/>
  <c r="K20" i="2"/>
  <c r="E39" i="2"/>
  <c r="I24" i="7" s="1"/>
  <c r="E32" i="2"/>
  <c r="I17" i="7" s="1"/>
  <c r="E30" i="2"/>
  <c r="G30" i="2" s="1"/>
  <c r="E31" i="2"/>
  <c r="I16" i="7" s="1"/>
  <c r="P43" i="8"/>
  <c r="I9" i="7"/>
  <c r="D39" i="8"/>
  <c r="S12" i="8" s="1"/>
  <c r="E46" i="2"/>
  <c r="C9" i="5" s="1"/>
  <c r="E44" i="2"/>
  <c r="E45" i="2"/>
  <c r="E28" i="2"/>
  <c r="E35" i="2"/>
  <c r="I20" i="7" s="1"/>
  <c r="I36" i="18"/>
  <c r="I37" i="18" s="1"/>
  <c r="U36" i="18"/>
  <c r="U37" i="18" s="1"/>
  <c r="E36" i="18"/>
  <c r="E37" i="18" s="1"/>
  <c r="Q36" i="18"/>
  <c r="Q37" i="18" s="1"/>
  <c r="M36" i="18"/>
  <c r="M37" i="18" s="1"/>
  <c r="F108" i="3"/>
  <c r="Q2" i="20"/>
  <c r="Q2" i="18"/>
  <c r="Q2" i="19"/>
  <c r="Q2" i="15"/>
  <c r="Q2" i="13"/>
  <c r="Q2" i="17"/>
  <c r="Q2" i="14"/>
  <c r="Q2" i="16"/>
  <c r="C2" i="10"/>
  <c r="U2" i="20"/>
  <c r="U2" i="19"/>
  <c r="U2" i="17"/>
  <c r="U2" i="16"/>
  <c r="U2" i="18"/>
  <c r="U2" i="14"/>
  <c r="U2" i="15"/>
  <c r="U2" i="13"/>
  <c r="G2" i="10"/>
  <c r="C21" i="11"/>
  <c r="D183" i="11"/>
  <c r="D164" i="11"/>
  <c r="E32" i="11"/>
  <c r="D33" i="11"/>
  <c r="M22" i="13"/>
  <c r="M34" i="14"/>
  <c r="I33" i="14"/>
  <c r="M25" i="18"/>
  <c r="L16" i="18" s="1"/>
  <c r="R17" i="19"/>
  <c r="V17" i="19"/>
  <c r="L17" i="19"/>
  <c r="N20" i="19"/>
  <c r="J20" i="19"/>
  <c r="U10" i="9" l="1"/>
  <c r="G8" i="9"/>
  <c r="O74" i="9" s="1"/>
  <c r="G6" i="9"/>
  <c r="O48" i="9" s="1"/>
  <c r="K48" i="7"/>
  <c r="I48" i="7" s="1"/>
  <c r="G33" i="2"/>
  <c r="H26" i="2"/>
  <c r="F45" i="2" s="1"/>
  <c r="G26" i="2"/>
  <c r="K47" i="7"/>
  <c r="I47" i="7" s="1"/>
  <c r="K46" i="7"/>
  <c r="I46" i="7" s="1"/>
  <c r="I15" i="7"/>
  <c r="G37" i="2"/>
  <c r="G31" i="2"/>
  <c r="G32" i="2"/>
  <c r="G39" i="2"/>
  <c r="H25" i="8"/>
  <c r="F170" i="11"/>
  <c r="F171" i="11" s="1"/>
  <c r="E170" i="11"/>
  <c r="E171" i="11" s="1"/>
  <c r="G170" i="11"/>
  <c r="G171" i="11" s="1"/>
  <c r="AZ170" i="11"/>
  <c r="AZ171" i="11" s="1"/>
  <c r="C170" i="11"/>
  <c r="I170" i="11"/>
  <c r="AC170" i="11"/>
  <c r="AC172" i="11" s="1"/>
  <c r="AE170" i="11"/>
  <c r="AE172" i="11" s="1"/>
  <c r="BB170" i="11"/>
  <c r="BB172" i="11" s="1"/>
  <c r="AK170" i="11"/>
  <c r="AK172" i="11" s="1"/>
  <c r="BC170" i="11"/>
  <c r="BC172" i="11" s="1"/>
  <c r="M170" i="11"/>
  <c r="V170" i="11"/>
  <c r="N170" i="11"/>
  <c r="Q170" i="11"/>
  <c r="AD170" i="11"/>
  <c r="AD172" i="11" s="1"/>
  <c r="W170" i="11"/>
  <c r="AN170" i="11"/>
  <c r="AN172" i="11" s="1"/>
  <c r="J170" i="11"/>
  <c r="U170" i="11"/>
  <c r="AS170" i="11"/>
  <c r="AS172" i="11" s="1"/>
  <c r="AL170" i="11"/>
  <c r="AL172" i="11" s="1"/>
  <c r="AM170" i="11"/>
  <c r="AM171" i="11" s="1"/>
  <c r="H170" i="11"/>
  <c r="Y170" i="11"/>
  <c r="BA170" i="11"/>
  <c r="BA171" i="11" s="1"/>
  <c r="AT170" i="11"/>
  <c r="AT172" i="11" s="1"/>
  <c r="O170" i="11"/>
  <c r="AU170" i="11"/>
  <c r="AU172" i="11" s="1"/>
  <c r="X170" i="11"/>
  <c r="G35" i="2"/>
  <c r="AG170" i="11"/>
  <c r="AW170" i="11"/>
  <c r="Z170" i="11"/>
  <c r="AP170" i="11"/>
  <c r="S170" i="11"/>
  <c r="AI170" i="11"/>
  <c r="AY170" i="11"/>
  <c r="L170" i="11"/>
  <c r="AB170" i="11"/>
  <c r="AR170" i="11"/>
  <c r="C5" i="5"/>
  <c r="E47" i="2"/>
  <c r="C11" i="5" s="1"/>
  <c r="H86" i="8"/>
  <c r="I23" i="7"/>
  <c r="H38" i="2"/>
  <c r="Q25" i="18"/>
  <c r="P16" i="18" s="1"/>
  <c r="P170" i="11"/>
  <c r="AF170" i="11"/>
  <c r="AV170" i="11"/>
  <c r="I14" i="7"/>
  <c r="H28" i="2"/>
  <c r="F44" i="2" s="1"/>
  <c r="G28" i="2"/>
  <c r="G38" i="2"/>
  <c r="I19" i="7"/>
  <c r="H34" i="2"/>
  <c r="V20" i="19"/>
  <c r="T17" i="19"/>
  <c r="R20" i="19"/>
  <c r="P17" i="19"/>
  <c r="I34" i="14"/>
  <c r="E33" i="14"/>
  <c r="E34" i="14" s="1"/>
  <c r="AO170" i="11"/>
  <c r="R170" i="11"/>
  <c r="AH170" i="11"/>
  <c r="AX170" i="11"/>
  <c r="K170" i="11"/>
  <c r="AA170" i="11"/>
  <c r="AQ170" i="11"/>
  <c r="D171" i="11"/>
  <c r="T170" i="11"/>
  <c r="AJ170" i="11"/>
  <c r="C31" i="11"/>
  <c r="O61" i="9"/>
  <c r="C7" i="5"/>
  <c r="L33" i="3"/>
  <c r="E58" i="3" s="1"/>
  <c r="D7" i="8"/>
  <c r="D41" i="8"/>
  <c r="D38" i="8"/>
  <c r="I13" i="7"/>
  <c r="E55" i="2"/>
  <c r="F43" i="5"/>
  <c r="E183" i="11"/>
  <c r="E164" i="11"/>
  <c r="E33" i="11"/>
  <c r="F32" i="11"/>
  <c r="G27" i="2"/>
  <c r="I21" i="7"/>
  <c r="G36" i="2"/>
  <c r="E40" i="2"/>
  <c r="D55" i="2"/>
  <c r="G11" i="9" l="1"/>
  <c r="H7" i="9" s="1"/>
  <c r="M56" i="2"/>
  <c r="M15" i="3" s="1"/>
  <c r="L56" i="2"/>
  <c r="L15" i="3" s="1"/>
  <c r="AC171" i="11"/>
  <c r="AM172" i="11"/>
  <c r="AN171" i="11"/>
  <c r="BC171" i="11"/>
  <c r="AZ172" i="11"/>
  <c r="BB171" i="11"/>
  <c r="BA172" i="11"/>
  <c r="AS171" i="11"/>
  <c r="AE171" i="11"/>
  <c r="AT171" i="11"/>
  <c r="AD171" i="11"/>
  <c r="AK171" i="11"/>
  <c r="AU171" i="11"/>
  <c r="AL171" i="11"/>
  <c r="E56" i="2"/>
  <c r="E15" i="3" s="1"/>
  <c r="I25" i="7"/>
  <c r="H20" i="2"/>
  <c r="H21" i="2"/>
  <c r="N55" i="2"/>
  <c r="D14" i="3"/>
  <c r="E14" i="3"/>
  <c r="G28" i="11"/>
  <c r="AO172" i="11"/>
  <c r="AO171" i="11"/>
  <c r="J54" i="2"/>
  <c r="K54" i="2"/>
  <c r="G54" i="2"/>
  <c r="F54" i="2"/>
  <c r="F56" i="2" s="1"/>
  <c r="F15" i="3" s="1"/>
  <c r="I54" i="2"/>
  <c r="H54" i="2"/>
  <c r="G40" i="2"/>
  <c r="AP172" i="11"/>
  <c r="AP171" i="11"/>
  <c r="F183" i="11"/>
  <c r="F164" i="11"/>
  <c r="F33" i="11"/>
  <c r="E31" i="11" s="1"/>
  <c r="G32" i="11"/>
  <c r="C184" i="11"/>
  <c r="C165" i="11"/>
  <c r="AX172" i="11"/>
  <c r="AX171" i="11"/>
  <c r="M57" i="2"/>
  <c r="AY172" i="11"/>
  <c r="AY171" i="11"/>
  <c r="H10" i="9"/>
  <c r="O10" i="9"/>
  <c r="O8" i="9" s="1"/>
  <c r="H6" i="9"/>
  <c r="AJ172" i="11"/>
  <c r="AJ171" i="11"/>
  <c r="AQ172" i="11"/>
  <c r="AQ171" i="11"/>
  <c r="AH172" i="11"/>
  <c r="AH171" i="11"/>
  <c r="AV172" i="11"/>
  <c r="AV171" i="11"/>
  <c r="U25" i="18"/>
  <c r="T16" i="18" s="1"/>
  <c r="AR172" i="11"/>
  <c r="AR171" i="11"/>
  <c r="AI172" i="11"/>
  <c r="AI171" i="11"/>
  <c r="AW172" i="11"/>
  <c r="AW171" i="11"/>
  <c r="D40" i="8"/>
  <c r="D8" i="8"/>
  <c r="H33" i="8" s="1"/>
  <c r="D31" i="11"/>
  <c r="AF172" i="11"/>
  <c r="AF171" i="11"/>
  <c r="D56" i="2"/>
  <c r="D57" i="2" s="1"/>
  <c r="AB172" i="11"/>
  <c r="AB171" i="11"/>
  <c r="AG172" i="11"/>
  <c r="AG171" i="11"/>
  <c r="H40" i="2"/>
  <c r="H8" i="9" l="1"/>
  <c r="H9" i="9"/>
  <c r="E57" i="2"/>
  <c r="L57" i="2"/>
  <c r="E184" i="11"/>
  <c r="E165" i="11"/>
  <c r="C35" i="11"/>
  <c r="D50" i="10"/>
  <c r="D8" i="9"/>
  <c r="G13" i="3"/>
  <c r="G56" i="2"/>
  <c r="G15" i="3" s="1"/>
  <c r="M16" i="3"/>
  <c r="G33" i="11"/>
  <c r="F31" i="11" s="1"/>
  <c r="H32" i="11"/>
  <c r="I13" i="3"/>
  <c r="I56" i="2"/>
  <c r="I15" i="3" s="1"/>
  <c r="K13" i="3"/>
  <c r="K56" i="2"/>
  <c r="K15" i="3" s="1"/>
  <c r="F57" i="2"/>
  <c r="F13" i="3"/>
  <c r="N54" i="2"/>
  <c r="J13" i="3"/>
  <c r="J56" i="2"/>
  <c r="J15" i="3" s="1"/>
  <c r="D15" i="3"/>
  <c r="D16" i="3" s="1"/>
  <c r="D184" i="11"/>
  <c r="D165" i="11"/>
  <c r="N14" i="3"/>
  <c r="D14" i="6" s="1"/>
  <c r="H13" i="3"/>
  <c r="H56" i="2"/>
  <c r="H15" i="3" s="1"/>
  <c r="E16" i="3"/>
  <c r="L16" i="3"/>
  <c r="H11" i="9" l="1"/>
  <c r="G16" i="3"/>
  <c r="I16" i="3"/>
  <c r="G57" i="2"/>
  <c r="J57" i="2"/>
  <c r="H57" i="2"/>
  <c r="J16" i="3"/>
  <c r="S10" i="9"/>
  <c r="D6" i="9"/>
  <c r="D11" i="9"/>
  <c r="D12" i="9" s="1"/>
  <c r="D20" i="9" s="1"/>
  <c r="D43" i="8"/>
  <c r="L83" i="8" s="1"/>
  <c r="F33" i="5"/>
  <c r="N56" i="2"/>
  <c r="N57" i="2" s="1"/>
  <c r="F184" i="11"/>
  <c r="F165" i="11"/>
  <c r="D49" i="10"/>
  <c r="E50" i="10"/>
  <c r="F50" i="10" s="1"/>
  <c r="G50" i="10" s="1"/>
  <c r="H50" i="10" s="1"/>
  <c r="I50" i="10" s="1"/>
  <c r="J50" i="10" s="1"/>
  <c r="K50" i="10" s="1"/>
  <c r="L50" i="10" s="1"/>
  <c r="M50" i="10" s="1"/>
  <c r="N50" i="10" s="1"/>
  <c r="O50" i="10" s="1"/>
  <c r="P50" i="10" s="1"/>
  <c r="Q50" i="10" s="1"/>
  <c r="R50" i="10" s="1"/>
  <c r="S50" i="10" s="1"/>
  <c r="T50" i="10" s="1"/>
  <c r="U50" i="10" s="1"/>
  <c r="V50" i="10" s="1"/>
  <c r="W50" i="10" s="1"/>
  <c r="X50" i="10" s="1"/>
  <c r="Y50" i="10" s="1"/>
  <c r="Z50" i="10" s="1"/>
  <c r="AA50" i="10" s="1"/>
  <c r="AB50" i="10" s="1"/>
  <c r="AC50" i="10" s="1"/>
  <c r="AD50" i="10" s="1"/>
  <c r="AE50" i="10" s="1"/>
  <c r="AF50" i="10" s="1"/>
  <c r="AG50" i="10" s="1"/>
  <c r="AH50" i="10" s="1"/>
  <c r="AI50" i="10" s="1"/>
  <c r="AJ50" i="10" s="1"/>
  <c r="AK50" i="10" s="1"/>
  <c r="AL50" i="10" s="1"/>
  <c r="AM50" i="10" s="1"/>
  <c r="AN50" i="10" s="1"/>
  <c r="AO50" i="10" s="1"/>
  <c r="AP50" i="10" s="1"/>
  <c r="AQ50" i="10" s="1"/>
  <c r="AR50" i="10" s="1"/>
  <c r="AS50" i="10" s="1"/>
  <c r="AT50" i="10" s="1"/>
  <c r="AU50" i="10" s="1"/>
  <c r="AV50" i="10" s="1"/>
  <c r="AW50" i="10" s="1"/>
  <c r="AX50" i="10" s="1"/>
  <c r="AY50" i="10" s="1"/>
  <c r="AZ50" i="10" s="1"/>
  <c r="BA50" i="10" s="1"/>
  <c r="H16" i="3"/>
  <c r="N15" i="3"/>
  <c r="K57" i="2"/>
  <c r="I57" i="2"/>
  <c r="C148" i="11"/>
  <c r="C61" i="11"/>
  <c r="D35" i="11"/>
  <c r="N13" i="3"/>
  <c r="N16" i="3" s="1"/>
  <c r="F16" i="3"/>
  <c r="K16" i="3"/>
  <c r="H33" i="11"/>
  <c r="G31" i="11" s="1"/>
  <c r="I32" i="11"/>
  <c r="D13" i="6" l="1"/>
  <c r="D42" i="8" s="1"/>
  <c r="L82" i="8" s="1"/>
  <c r="E26" i="3"/>
  <c r="D25" i="9"/>
  <c r="D26" i="9" s="1"/>
  <c r="D21" i="9"/>
  <c r="E49" i="10"/>
  <c r="F49" i="10" s="1"/>
  <c r="G49" i="10" s="1"/>
  <c r="H49" i="10" s="1"/>
  <c r="I49" i="10" s="1"/>
  <c r="J49" i="10" s="1"/>
  <c r="K49" i="10" s="1"/>
  <c r="L49" i="10" s="1"/>
  <c r="M49" i="10" s="1"/>
  <c r="N49" i="10" s="1"/>
  <c r="O49" i="10" s="1"/>
  <c r="P49" i="10" s="1"/>
  <c r="Q49" i="10" s="1"/>
  <c r="R49" i="10" s="1"/>
  <c r="S49" i="10" s="1"/>
  <c r="T49" i="10" s="1"/>
  <c r="U49" i="10" s="1"/>
  <c r="V49" i="10" s="1"/>
  <c r="W49" i="10" s="1"/>
  <c r="X49" i="10" s="1"/>
  <c r="Y49" i="10" s="1"/>
  <c r="Z49" i="10" s="1"/>
  <c r="AA49" i="10" s="1"/>
  <c r="AB49" i="10" s="1"/>
  <c r="AC49" i="10" s="1"/>
  <c r="AD49" i="10" s="1"/>
  <c r="AE49" i="10" s="1"/>
  <c r="AF49" i="10" s="1"/>
  <c r="AG49" i="10" s="1"/>
  <c r="AH49" i="10" s="1"/>
  <c r="AI49" i="10" s="1"/>
  <c r="AJ49" i="10" s="1"/>
  <c r="AK49" i="10" s="1"/>
  <c r="AL49" i="10" s="1"/>
  <c r="AM49" i="10" s="1"/>
  <c r="AN49" i="10" s="1"/>
  <c r="AO49" i="10" s="1"/>
  <c r="AP49" i="10" s="1"/>
  <c r="AQ49" i="10" s="1"/>
  <c r="AR49" i="10" s="1"/>
  <c r="AS49" i="10" s="1"/>
  <c r="AT49" i="10" s="1"/>
  <c r="AU49" i="10" s="1"/>
  <c r="AV49" i="10" s="1"/>
  <c r="AW49" i="10" s="1"/>
  <c r="AX49" i="10" s="1"/>
  <c r="AY49" i="10" s="1"/>
  <c r="AZ49" i="10" s="1"/>
  <c r="BA49" i="10" s="1"/>
  <c r="G184" i="11"/>
  <c r="G165" i="11"/>
  <c r="D16" i="9"/>
  <c r="I33" i="11"/>
  <c r="H31" i="11" s="1"/>
  <c r="J32" i="11"/>
  <c r="E24" i="3"/>
  <c r="D148" i="11"/>
  <c r="D61" i="11"/>
  <c r="E35" i="11"/>
  <c r="J18" i="3"/>
  <c r="D15" i="6"/>
  <c r="D44" i="8" s="1"/>
  <c r="I25" i="3"/>
  <c r="I18" i="3"/>
  <c r="E148" i="11" l="1"/>
  <c r="F35" i="11"/>
  <c r="H184" i="11"/>
  <c r="H165" i="11"/>
  <c r="E29" i="3"/>
  <c r="F28" i="3" s="1"/>
  <c r="E33" i="3"/>
  <c r="F32" i="3" s="1"/>
  <c r="E32" i="3"/>
  <c r="E28" i="3"/>
  <c r="J33" i="11"/>
  <c r="I31" i="11" s="1"/>
  <c r="K32" i="11"/>
  <c r="Q10" i="9"/>
  <c r="I27" i="3"/>
  <c r="O33" i="3" s="1"/>
  <c r="D16" i="6"/>
  <c r="H79" i="8" s="1"/>
  <c r="L85" i="8"/>
  <c r="L84" i="8"/>
  <c r="O32" i="3" l="1"/>
  <c r="Y18" i="7" s="1"/>
  <c r="L91" i="8"/>
  <c r="Z18" i="7"/>
  <c r="L41" i="3"/>
  <c r="L43" i="3" s="1"/>
  <c r="L82" i="3" s="1"/>
  <c r="E41" i="3"/>
  <c r="E44" i="3" s="1"/>
  <c r="E81" i="3" s="1"/>
  <c r="M41" i="3"/>
  <c r="M43" i="3" s="1"/>
  <c r="D41" i="3"/>
  <c r="D44" i="3" s="1"/>
  <c r="Z19" i="7"/>
  <c r="I41" i="3"/>
  <c r="I44" i="3" s="1"/>
  <c r="I81" i="3" s="1"/>
  <c r="O24" i="3"/>
  <c r="G58" i="6" s="1"/>
  <c r="O25" i="3"/>
  <c r="G42" i="3" s="1"/>
  <c r="O28" i="3"/>
  <c r="G62" i="6" s="1"/>
  <c r="O27" i="3"/>
  <c r="I42" i="3" s="1"/>
  <c r="I43" i="3" s="1"/>
  <c r="I82" i="3" s="1"/>
  <c r="K41" i="3"/>
  <c r="K44" i="3" s="1"/>
  <c r="K81" i="3" s="1"/>
  <c r="O29" i="3"/>
  <c r="G63" i="6" s="1"/>
  <c r="F41" i="3"/>
  <c r="F44" i="3" s="1"/>
  <c r="F81" i="3" s="1"/>
  <c r="H6" i="8"/>
  <c r="D42" i="3"/>
  <c r="H41" i="3"/>
  <c r="G41" i="3"/>
  <c r="F148" i="11"/>
  <c r="G35" i="11"/>
  <c r="D19" i="6"/>
  <c r="M25" i="3"/>
  <c r="M35" i="3"/>
  <c r="M34" i="3"/>
  <c r="M28" i="3"/>
  <c r="M27" i="3"/>
  <c r="M24" i="3"/>
  <c r="M26" i="3"/>
  <c r="M29" i="3"/>
  <c r="K33" i="11"/>
  <c r="J31" i="11" s="1"/>
  <c r="L32" i="11"/>
  <c r="I184" i="11"/>
  <c r="I165" i="11"/>
  <c r="D21" i="6"/>
  <c r="J26" i="3"/>
  <c r="AS49" i="5"/>
  <c r="O26" i="3"/>
  <c r="J41" i="3"/>
  <c r="H24" i="9"/>
  <c r="D20" i="6"/>
  <c r="N27" i="3"/>
  <c r="F61" i="6" s="1"/>
  <c r="N24" i="3"/>
  <c r="N25" i="3"/>
  <c r="F59" i="6" s="1"/>
  <c r="N35" i="3"/>
  <c r="N28" i="3"/>
  <c r="F62" i="6" s="1"/>
  <c r="N34" i="3"/>
  <c r="N29" i="3"/>
  <c r="F63" i="6" s="1"/>
  <c r="N26" i="3"/>
  <c r="F60" i="6" s="1"/>
  <c r="D11" i="8" l="1"/>
  <c r="D47" i="8"/>
  <c r="L44" i="3"/>
  <c r="L81" i="3" s="1"/>
  <c r="L95" i="3" s="1"/>
  <c r="L94" i="3" s="1"/>
  <c r="L32" i="3"/>
  <c r="Y19" i="7"/>
  <c r="F42" i="3"/>
  <c r="F43" i="3" s="1"/>
  <c r="F82" i="3" s="1"/>
  <c r="F80" i="3" s="1"/>
  <c r="M44" i="3"/>
  <c r="M81" i="3" s="1"/>
  <c r="M95" i="3" s="1"/>
  <c r="E42" i="3"/>
  <c r="E43" i="3" s="1"/>
  <c r="E82" i="3" s="1"/>
  <c r="E80" i="3" s="1"/>
  <c r="G59" i="6"/>
  <c r="L38" i="8" s="1"/>
  <c r="D43" i="3"/>
  <c r="D82" i="3" s="1"/>
  <c r="J42" i="3"/>
  <c r="J43" i="3" s="1"/>
  <c r="J82" i="3" s="1"/>
  <c r="K42" i="3"/>
  <c r="K43" i="3" s="1"/>
  <c r="K82" i="3" s="1"/>
  <c r="K80" i="3" s="1"/>
  <c r="K90" i="3" s="1"/>
  <c r="L41" i="8"/>
  <c r="L32" i="9"/>
  <c r="J69" i="9" s="1"/>
  <c r="L69" i="9" s="1"/>
  <c r="H25" i="9"/>
  <c r="M32" i="9" s="1"/>
  <c r="L42" i="8"/>
  <c r="O30" i="3"/>
  <c r="E21" i="6" s="1"/>
  <c r="G61" i="6"/>
  <c r="L40" i="8" s="1"/>
  <c r="L92" i="8"/>
  <c r="I95" i="3"/>
  <c r="I80" i="3"/>
  <c r="I90" i="3" s="1"/>
  <c r="E60" i="6"/>
  <c r="L26" i="3"/>
  <c r="E49" i="3"/>
  <c r="T39" i="3"/>
  <c r="L84" i="3"/>
  <c r="G19" i="6"/>
  <c r="F95" i="3"/>
  <c r="G148" i="11"/>
  <c r="H35" i="11"/>
  <c r="B20" i="6"/>
  <c r="F19" i="5"/>
  <c r="F58" i="6"/>
  <c r="N30" i="3"/>
  <c r="E20" i="6" s="1"/>
  <c r="J184" i="11"/>
  <c r="J165" i="11"/>
  <c r="M99" i="3"/>
  <c r="N99" i="3" s="1"/>
  <c r="AS17" i="5" s="1"/>
  <c r="M84" i="3"/>
  <c r="M82" i="3"/>
  <c r="E95" i="3"/>
  <c r="G20" i="6"/>
  <c r="T41" i="3"/>
  <c r="L83" i="3"/>
  <c r="E50" i="3"/>
  <c r="E58" i="6"/>
  <c r="M30" i="3"/>
  <c r="E19" i="6" s="1"/>
  <c r="L24" i="3"/>
  <c r="J44" i="3"/>
  <c r="J81" i="3" s="1"/>
  <c r="F23" i="5"/>
  <c r="B21" i="6"/>
  <c r="E61" i="6"/>
  <c r="L27" i="3"/>
  <c r="S12" i="7" s="1"/>
  <c r="Q12" i="7" s="1"/>
  <c r="E59" i="6"/>
  <c r="L25" i="3"/>
  <c r="G43" i="3"/>
  <c r="G82" i="3" s="1"/>
  <c r="G44" i="3"/>
  <c r="G81" i="3" s="1"/>
  <c r="D81" i="3"/>
  <c r="M98" i="3"/>
  <c r="N98" i="3" s="1"/>
  <c r="M83" i="3"/>
  <c r="G60" i="6"/>
  <c r="L39" i="8" s="1"/>
  <c r="H42" i="3"/>
  <c r="H43" i="3" s="1"/>
  <c r="H82" i="3" s="1"/>
  <c r="L33" i="11"/>
  <c r="K31" i="11" s="1"/>
  <c r="M32" i="11"/>
  <c r="K95" i="3"/>
  <c r="E63" i="6"/>
  <c r="L29" i="3"/>
  <c r="S14" i="7" s="1"/>
  <c r="Q14" i="7" s="1"/>
  <c r="L28" i="3"/>
  <c r="S13" i="7" s="1"/>
  <c r="Q13" i="7" s="1"/>
  <c r="E62" i="6"/>
  <c r="D22" i="6"/>
  <c r="B19" i="6"/>
  <c r="D2" i="13" s="1"/>
  <c r="F15" i="5"/>
  <c r="H44" i="3"/>
  <c r="H81" i="3" s="1"/>
  <c r="N41" i="3"/>
  <c r="H7" i="8"/>
  <c r="E61" i="11" l="1"/>
  <c r="F61" i="11" s="1"/>
  <c r="G61" i="11" s="1"/>
  <c r="H61" i="11" s="1"/>
  <c r="I61" i="11" s="1"/>
  <c r="J61" i="11" s="1"/>
  <c r="K61" i="11" s="1"/>
  <c r="L61" i="11" s="1"/>
  <c r="M61" i="11" s="1"/>
  <c r="N61" i="11" s="1"/>
  <c r="O61" i="11" s="1"/>
  <c r="P61" i="11" s="1"/>
  <c r="Q61" i="11" s="1"/>
  <c r="R61" i="11" s="1"/>
  <c r="S61" i="11" s="1"/>
  <c r="T61" i="11" s="1"/>
  <c r="U61" i="11" s="1"/>
  <c r="V61" i="11" s="1"/>
  <c r="W61" i="11" s="1"/>
  <c r="X61" i="11" s="1"/>
  <c r="Y61" i="11" s="1"/>
  <c r="Z61" i="11" s="1"/>
  <c r="AA61" i="11" s="1"/>
  <c r="AB61" i="11" s="1"/>
  <c r="AC61" i="11" s="1"/>
  <c r="AD61" i="11" s="1"/>
  <c r="AE61" i="11" s="1"/>
  <c r="AF61" i="11" s="1"/>
  <c r="AG61" i="11" s="1"/>
  <c r="AH61" i="11" s="1"/>
  <c r="AI61" i="11" s="1"/>
  <c r="AJ61" i="11" s="1"/>
  <c r="AK61" i="11" s="1"/>
  <c r="AL61" i="11" s="1"/>
  <c r="AM61" i="11" s="1"/>
  <c r="AN61" i="11" s="1"/>
  <c r="AO61" i="11" s="1"/>
  <c r="AP61" i="11" s="1"/>
  <c r="AQ61" i="11" s="1"/>
  <c r="AR61" i="11" s="1"/>
  <c r="AS61" i="11" s="1"/>
  <c r="AT61" i="11" s="1"/>
  <c r="AU61" i="11" s="1"/>
  <c r="AV61" i="11" s="1"/>
  <c r="AW61" i="11" s="1"/>
  <c r="AX61" i="11" s="1"/>
  <c r="AY61" i="11" s="1"/>
  <c r="AZ61" i="11" s="1"/>
  <c r="BA61" i="11" s="1"/>
  <c r="BB61" i="11" s="1"/>
  <c r="BC61" i="11" s="1"/>
  <c r="L93" i="8"/>
  <c r="S9" i="8"/>
  <c r="E52" i="3"/>
  <c r="D28" i="6" s="1"/>
  <c r="E59" i="3"/>
  <c r="E60" i="3" s="1"/>
  <c r="F21" i="6"/>
  <c r="F22" i="6" s="1"/>
  <c r="S25" i="5" s="1"/>
  <c r="L80" i="3"/>
  <c r="G64" i="6"/>
  <c r="AO23" i="5" s="1"/>
  <c r="E22" i="6"/>
  <c r="J95" i="9"/>
  <c r="L95" i="9" s="1"/>
  <c r="J93" i="9"/>
  <c r="L93" i="9" s="1"/>
  <c r="J68" i="9"/>
  <c r="L68" i="9" s="1"/>
  <c r="J41" i="9"/>
  <c r="L41" i="9" s="1"/>
  <c r="J44" i="9"/>
  <c r="L44" i="9" s="1"/>
  <c r="J82" i="9"/>
  <c r="L82" i="9" s="1"/>
  <c r="J67" i="9"/>
  <c r="L67" i="9" s="1"/>
  <c r="J57" i="9"/>
  <c r="L57" i="9" s="1"/>
  <c r="J39" i="9"/>
  <c r="L39" i="9" s="1"/>
  <c r="J43" i="9"/>
  <c r="L43" i="9" s="1"/>
  <c r="J81" i="9"/>
  <c r="L81" i="9" s="1"/>
  <c r="J56" i="9"/>
  <c r="L56" i="9" s="1"/>
  <c r="J70" i="9"/>
  <c r="L70" i="9" s="1"/>
  <c r="J58" i="9"/>
  <c r="L58" i="9" s="1"/>
  <c r="J91" i="9"/>
  <c r="L91" i="9" s="1"/>
  <c r="J96" i="9"/>
  <c r="L96" i="9" s="1"/>
  <c r="J54" i="9"/>
  <c r="L54" i="9" s="1"/>
  <c r="J94" i="9"/>
  <c r="L94" i="9" s="1"/>
  <c r="J71" i="9"/>
  <c r="L71" i="9" s="1"/>
  <c r="J78" i="9"/>
  <c r="L78" i="9" s="1"/>
  <c r="J83" i="9"/>
  <c r="L83" i="9" s="1"/>
  <c r="J45" i="9"/>
  <c r="L45" i="9" s="1"/>
  <c r="J65" i="9"/>
  <c r="L65" i="9" s="1"/>
  <c r="J55" i="9"/>
  <c r="L55" i="9" s="1"/>
  <c r="H34" i="8"/>
  <c r="J42" i="9"/>
  <c r="L42" i="9" s="1"/>
  <c r="J80" i="9"/>
  <c r="L80" i="9" s="1"/>
  <c r="J84" i="9"/>
  <c r="L84" i="9" s="1"/>
  <c r="J52" i="9"/>
  <c r="L52" i="9" s="1"/>
  <c r="S11" i="7"/>
  <c r="Q11" i="7" s="1"/>
  <c r="N42" i="3"/>
  <c r="M80" i="3"/>
  <c r="M90" i="3" s="1"/>
  <c r="K184" i="11"/>
  <c r="K165" i="11"/>
  <c r="D80" i="3"/>
  <c r="N81" i="3"/>
  <c r="D95" i="3"/>
  <c r="P40" i="8"/>
  <c r="D61" i="6"/>
  <c r="Q30" i="13"/>
  <c r="R17" i="13" s="1"/>
  <c r="P17" i="13" s="1"/>
  <c r="I30" i="13"/>
  <c r="J17" i="13" s="1"/>
  <c r="H17" i="13" s="1"/>
  <c r="H2" i="13"/>
  <c r="H53" i="8" s="1"/>
  <c r="T12" i="8" s="1"/>
  <c r="M30" i="13"/>
  <c r="N17" i="13" s="1"/>
  <c r="L17" i="13" s="1"/>
  <c r="E30" i="13"/>
  <c r="F17" i="13" s="1"/>
  <c r="D17" i="13" s="1"/>
  <c r="U30" i="13"/>
  <c r="V17" i="13" s="1"/>
  <c r="T17" i="13" s="1"/>
  <c r="L2" i="13"/>
  <c r="G80" i="3"/>
  <c r="G95" i="3"/>
  <c r="E64" i="6"/>
  <c r="P37" i="8"/>
  <c r="D58" i="6"/>
  <c r="D26" i="6"/>
  <c r="L88" i="3"/>
  <c r="D2" i="14"/>
  <c r="N84" i="3"/>
  <c r="P41" i="8"/>
  <c r="P38" i="8"/>
  <c r="D59" i="6"/>
  <c r="K95" i="9"/>
  <c r="M95" i="9" s="1"/>
  <c r="Q95" i="9" s="1"/>
  <c r="S95" i="9" s="1"/>
  <c r="U95" i="9" s="1"/>
  <c r="W95" i="9" s="1"/>
  <c r="K96" i="9"/>
  <c r="M96" i="9" s="1"/>
  <c r="Q96" i="9" s="1"/>
  <c r="S96" i="9" s="1"/>
  <c r="U96" i="9" s="1"/>
  <c r="W96" i="9" s="1"/>
  <c r="Y96" i="9" s="1"/>
  <c r="AA96" i="9" s="1"/>
  <c r="K94" i="9"/>
  <c r="M94" i="9" s="1"/>
  <c r="Q94" i="9" s="1"/>
  <c r="S94" i="9" s="1"/>
  <c r="U94" i="9" s="1"/>
  <c r="K91" i="9"/>
  <c r="M91" i="9" s="1"/>
  <c r="Q91" i="9" s="1"/>
  <c r="K84" i="9"/>
  <c r="M84" i="9" s="1"/>
  <c r="Q84" i="9" s="1"/>
  <c r="S84" i="9" s="1"/>
  <c r="U84" i="9" s="1"/>
  <c r="W84" i="9" s="1"/>
  <c r="Y84" i="9" s="1"/>
  <c r="AA84" i="9" s="1"/>
  <c r="K83" i="9"/>
  <c r="M83" i="9" s="1"/>
  <c r="Q83" i="9" s="1"/>
  <c r="S83" i="9" s="1"/>
  <c r="U83" i="9" s="1"/>
  <c r="W83" i="9" s="1"/>
  <c r="Y83" i="9" s="1"/>
  <c r="AA83" i="9" s="1"/>
  <c r="K82" i="9"/>
  <c r="M82" i="9" s="1"/>
  <c r="Q82" i="9" s="1"/>
  <c r="S82" i="9" s="1"/>
  <c r="U82" i="9" s="1"/>
  <c r="W82" i="9" s="1"/>
  <c r="Y82" i="9" s="1"/>
  <c r="AA82" i="9" s="1"/>
  <c r="K81" i="9"/>
  <c r="M81" i="9" s="1"/>
  <c r="Q81" i="9" s="1"/>
  <c r="S81" i="9" s="1"/>
  <c r="U81" i="9" s="1"/>
  <c r="W81" i="9" s="1"/>
  <c r="Y81" i="9" s="1"/>
  <c r="AA81" i="9" s="1"/>
  <c r="K80" i="9"/>
  <c r="M80" i="9" s="1"/>
  <c r="Q80" i="9" s="1"/>
  <c r="S80" i="9" s="1"/>
  <c r="U80" i="9" s="1"/>
  <c r="W80" i="9" s="1"/>
  <c r="Y80" i="9" s="1"/>
  <c r="AA80" i="9" s="1"/>
  <c r="K78" i="9"/>
  <c r="M78" i="9" s="1"/>
  <c r="Q78" i="9" s="1"/>
  <c r="K68" i="9"/>
  <c r="M68" i="9" s="1"/>
  <c r="Q68" i="9" s="1"/>
  <c r="S68" i="9" s="1"/>
  <c r="U68" i="9" s="1"/>
  <c r="W68" i="9" s="1"/>
  <c r="K58" i="9"/>
  <c r="M58" i="9" s="1"/>
  <c r="Q58" i="9" s="1"/>
  <c r="S58" i="9" s="1"/>
  <c r="U58" i="9" s="1"/>
  <c r="W58" i="9" s="1"/>
  <c r="Y58" i="9" s="1"/>
  <c r="AA58" i="9" s="1"/>
  <c r="K42" i="9"/>
  <c r="M42" i="9" s="1"/>
  <c r="Q42" i="9" s="1"/>
  <c r="S42" i="9" s="1"/>
  <c r="U42" i="9" s="1"/>
  <c r="K71" i="9"/>
  <c r="M71" i="9" s="1"/>
  <c r="Q71" i="9" s="1"/>
  <c r="S71" i="9" s="1"/>
  <c r="U71" i="9" s="1"/>
  <c r="W71" i="9" s="1"/>
  <c r="K67" i="9"/>
  <c r="M67" i="9" s="1"/>
  <c r="Q67" i="9" s="1"/>
  <c r="S67" i="9" s="1"/>
  <c r="U67" i="9" s="1"/>
  <c r="W67" i="9" s="1"/>
  <c r="K43" i="9"/>
  <c r="M43" i="9" s="1"/>
  <c r="Q43" i="9" s="1"/>
  <c r="S43" i="9" s="1"/>
  <c r="U43" i="9" s="1"/>
  <c r="K93" i="9"/>
  <c r="M93" i="9" s="1"/>
  <c r="Q93" i="9" s="1"/>
  <c r="S93" i="9" s="1"/>
  <c r="U93" i="9" s="1"/>
  <c r="K70" i="9"/>
  <c r="M70" i="9" s="1"/>
  <c r="Q70" i="9" s="1"/>
  <c r="S70" i="9" s="1"/>
  <c r="U70" i="9" s="1"/>
  <c r="W70" i="9" s="1"/>
  <c r="K55" i="9"/>
  <c r="M55" i="9" s="1"/>
  <c r="Q55" i="9" s="1"/>
  <c r="S55" i="9" s="1"/>
  <c r="U55" i="9" s="1"/>
  <c r="W55" i="9" s="1"/>
  <c r="Y55" i="9" s="1"/>
  <c r="AA55" i="9" s="1"/>
  <c r="K54" i="9"/>
  <c r="M54" i="9" s="1"/>
  <c r="Q54" i="9" s="1"/>
  <c r="S54" i="9" s="1"/>
  <c r="U54" i="9" s="1"/>
  <c r="W54" i="9" s="1"/>
  <c r="Y54" i="9" s="1"/>
  <c r="AA54" i="9" s="1"/>
  <c r="K44" i="9"/>
  <c r="M44" i="9" s="1"/>
  <c r="Q44" i="9" s="1"/>
  <c r="S44" i="9" s="1"/>
  <c r="U44" i="9" s="1"/>
  <c r="W44" i="9" s="1"/>
  <c r="Y44" i="9" s="1"/>
  <c r="AA44" i="9" s="1"/>
  <c r="K39" i="9"/>
  <c r="M39" i="9" s="1"/>
  <c r="Q39" i="9" s="1"/>
  <c r="K69" i="9"/>
  <c r="M69" i="9" s="1"/>
  <c r="Q69" i="9" s="1"/>
  <c r="S69" i="9" s="1"/>
  <c r="U69" i="9" s="1"/>
  <c r="W69" i="9" s="1"/>
  <c r="K65" i="9"/>
  <c r="M65" i="9" s="1"/>
  <c r="Q65" i="9" s="1"/>
  <c r="K57" i="9"/>
  <c r="M57" i="9" s="1"/>
  <c r="Q57" i="9" s="1"/>
  <c r="S57" i="9" s="1"/>
  <c r="U57" i="9" s="1"/>
  <c r="W57" i="9" s="1"/>
  <c r="Y57" i="9" s="1"/>
  <c r="AA57" i="9" s="1"/>
  <c r="K56" i="9"/>
  <c r="M56" i="9" s="1"/>
  <c r="Q56" i="9" s="1"/>
  <c r="S56" i="9" s="1"/>
  <c r="U56" i="9" s="1"/>
  <c r="W56" i="9" s="1"/>
  <c r="Y56" i="9" s="1"/>
  <c r="AA56" i="9" s="1"/>
  <c r="K52" i="9"/>
  <c r="M52" i="9" s="1"/>
  <c r="Q52" i="9" s="1"/>
  <c r="K45" i="9"/>
  <c r="M45" i="9" s="1"/>
  <c r="Q45" i="9" s="1"/>
  <c r="S45" i="9" s="1"/>
  <c r="U45" i="9" s="1"/>
  <c r="K41" i="9"/>
  <c r="M41" i="9" s="1"/>
  <c r="Q41" i="9" s="1"/>
  <c r="S41" i="9" s="1"/>
  <c r="U41" i="9" s="1"/>
  <c r="N83" i="3"/>
  <c r="P39" i="8"/>
  <c r="D60" i="6"/>
  <c r="O34" i="3"/>
  <c r="H80" i="3"/>
  <c r="H95" i="3"/>
  <c r="M33" i="11"/>
  <c r="N32" i="11"/>
  <c r="P42" i="8"/>
  <c r="D48" i="6"/>
  <c r="AS21" i="5"/>
  <c r="N44" i="3"/>
  <c r="J95" i="3"/>
  <c r="J80" i="3"/>
  <c r="J90" i="3" s="1"/>
  <c r="S10" i="7"/>
  <c r="Q10" i="7" s="1"/>
  <c r="L30" i="3"/>
  <c r="O35" i="3"/>
  <c r="L35" i="3" s="1"/>
  <c r="L37" i="8"/>
  <c r="F64" i="6"/>
  <c r="AO19" i="5" s="1"/>
  <c r="N43" i="3"/>
  <c r="E110" i="3" s="1"/>
  <c r="H148" i="11"/>
  <c r="I35" i="11"/>
  <c r="L89" i="3"/>
  <c r="N89" i="3" s="1"/>
  <c r="D25" i="6"/>
  <c r="N82" i="3"/>
  <c r="J61" i="3" l="1"/>
  <c r="O64" i="3" s="1"/>
  <c r="O63" i="3"/>
  <c r="J68" i="3"/>
  <c r="T43" i="3"/>
  <c r="E51" i="3"/>
  <c r="T11" i="8"/>
  <c r="S29" i="5"/>
  <c r="F59" i="3"/>
  <c r="Y67" i="9"/>
  <c r="AA67" i="9" s="1"/>
  <c r="Z67" i="9"/>
  <c r="Y68" i="9"/>
  <c r="AA68" i="9" s="1"/>
  <c r="Z68" i="9"/>
  <c r="Y69" i="9"/>
  <c r="AA69" i="9" s="1"/>
  <c r="Z69" i="9"/>
  <c r="Y70" i="9"/>
  <c r="AA70" i="9" s="1"/>
  <c r="Z70" i="9"/>
  <c r="Y71" i="9"/>
  <c r="AA71" i="9" s="1"/>
  <c r="Z71" i="9"/>
  <c r="W88" i="9"/>
  <c r="Y95" i="9"/>
  <c r="AA95" i="9" s="1"/>
  <c r="H90" i="8"/>
  <c r="D17" i="8"/>
  <c r="D42" i="6"/>
  <c r="J96" i="3"/>
  <c r="J94" i="3" s="1"/>
  <c r="J92" i="3" s="1"/>
  <c r="K96" i="3"/>
  <c r="K94" i="3" s="1"/>
  <c r="K92" i="3" s="1"/>
  <c r="I96" i="3"/>
  <c r="I94" i="3" s="1"/>
  <c r="I92" i="3" s="1"/>
  <c r="E112" i="3"/>
  <c r="Q62" i="9"/>
  <c r="S62" i="9" s="1"/>
  <c r="S65" i="9"/>
  <c r="U65" i="9" s="1"/>
  <c r="S91" i="9"/>
  <c r="U91" i="9" s="1"/>
  <c r="U88" i="9" s="1"/>
  <c r="Q88" i="9"/>
  <c r="S88" i="9" s="1"/>
  <c r="N88" i="3"/>
  <c r="AO15" i="5"/>
  <c r="D37" i="11"/>
  <c r="O54" i="8"/>
  <c r="N80" i="3"/>
  <c r="I148" i="11"/>
  <c r="J35" i="11"/>
  <c r="L31" i="11"/>
  <c r="G21" i="6"/>
  <c r="G22" i="6" s="1"/>
  <c r="T44" i="3"/>
  <c r="L34" i="3"/>
  <c r="Q49" i="9"/>
  <c r="S49" i="9" s="1"/>
  <c r="S52" i="9"/>
  <c r="U52" i="9" s="1"/>
  <c r="L2" i="14"/>
  <c r="H2" i="14"/>
  <c r="H56" i="8" s="1"/>
  <c r="U12" i="8" s="1"/>
  <c r="U11" i="8" s="1"/>
  <c r="M7" i="13"/>
  <c r="U7" i="13"/>
  <c r="E7" i="13"/>
  <c r="Q7" i="13"/>
  <c r="I7" i="13"/>
  <c r="G53" i="8"/>
  <c r="C65" i="11" s="1"/>
  <c r="C37" i="11" s="1"/>
  <c r="C92" i="11" s="1"/>
  <c r="C123" i="11" s="1"/>
  <c r="N33" i="11"/>
  <c r="O32" i="11"/>
  <c r="S39" i="9"/>
  <c r="U39" i="9" s="1"/>
  <c r="Q36" i="9"/>
  <c r="S78" i="9"/>
  <c r="U78" i="9" s="1"/>
  <c r="Q75" i="9"/>
  <c r="S75" i="9" s="1"/>
  <c r="J62" i="3"/>
  <c r="Q20" i="7"/>
  <c r="AD35" i="5"/>
  <c r="O62" i="3"/>
  <c r="L60" i="3"/>
  <c r="Y33" i="5"/>
  <c r="L59" i="3"/>
  <c r="F60" i="3"/>
  <c r="F58" i="3"/>
  <c r="N95" i="3"/>
  <c r="L87" i="3" l="1"/>
  <c r="L86" i="3" s="1"/>
  <c r="L90" i="3" s="1"/>
  <c r="L92" i="3" s="1"/>
  <c r="H87" i="3"/>
  <c r="H86" i="3" s="1"/>
  <c r="E87" i="3"/>
  <c r="E86" i="3" s="1"/>
  <c r="F87" i="3"/>
  <c r="F86" i="3" s="1"/>
  <c r="D27" i="6"/>
  <c r="D29" i="6" s="1"/>
  <c r="N27" i="5" s="1"/>
  <c r="G87" i="3"/>
  <c r="G86" i="3" s="1"/>
  <c r="D87" i="3"/>
  <c r="I49" i="3"/>
  <c r="D35" i="6"/>
  <c r="S37" i="5" s="1"/>
  <c r="D40" i="11"/>
  <c r="O57" i="8"/>
  <c r="U49" i="9"/>
  <c r="W52" i="9"/>
  <c r="K61" i="3"/>
  <c r="M61" i="3"/>
  <c r="L61" i="3"/>
  <c r="W39" i="9"/>
  <c r="U36" i="9"/>
  <c r="E44" i="13"/>
  <c r="E38" i="13"/>
  <c r="D18" i="13"/>
  <c r="E16" i="13"/>
  <c r="E42" i="13"/>
  <c r="E35" i="13"/>
  <c r="E31" i="13"/>
  <c r="E23" i="13"/>
  <c r="E19" i="13"/>
  <c r="E17" i="13"/>
  <c r="E41" i="13"/>
  <c r="E32" i="13"/>
  <c r="E27" i="13"/>
  <c r="E45" i="13"/>
  <c r="E18" i="13"/>
  <c r="E43" i="13"/>
  <c r="E20" i="13"/>
  <c r="E15" i="13"/>
  <c r="G55" i="8"/>
  <c r="L184" i="11"/>
  <c r="L165" i="11"/>
  <c r="U62" i="9"/>
  <c r="W65" i="9"/>
  <c r="Z65" i="9" s="1"/>
  <c r="N59" i="3"/>
  <c r="N60" i="3"/>
  <c r="U38" i="13"/>
  <c r="U16" i="13"/>
  <c r="U31" i="13"/>
  <c r="U27" i="13" s="1"/>
  <c r="U44" i="13" s="1"/>
  <c r="U17" i="13"/>
  <c r="U15" i="13"/>
  <c r="U41" i="13"/>
  <c r="U32" i="13"/>
  <c r="J148" i="11"/>
  <c r="K35" i="11"/>
  <c r="D46" i="6"/>
  <c r="D92" i="11"/>
  <c r="D123" i="11" s="1"/>
  <c r="N39" i="11"/>
  <c r="J39" i="11"/>
  <c r="F39" i="11"/>
  <c r="E39" i="11"/>
  <c r="P39" i="11"/>
  <c r="L39" i="11"/>
  <c r="H39" i="11"/>
  <c r="Q39" i="11"/>
  <c r="G39" i="11"/>
  <c r="D39" i="11"/>
  <c r="D94" i="11" s="1"/>
  <c r="K39" i="11"/>
  <c r="I39" i="11"/>
  <c r="O39" i="11"/>
  <c r="C39" i="11"/>
  <c r="C94" i="11" s="1"/>
  <c r="M39" i="11"/>
  <c r="AQ33" i="5"/>
  <c r="D34" i="6"/>
  <c r="B34" i="6"/>
  <c r="D2" i="18" s="1"/>
  <c r="O70" i="3"/>
  <c r="I75" i="6" s="1"/>
  <c r="U75" i="9"/>
  <c r="W78" i="9"/>
  <c r="O33" i="11"/>
  <c r="N31" i="11" s="1"/>
  <c r="P32" i="11"/>
  <c r="I43" i="13"/>
  <c r="I27" i="13"/>
  <c r="I20" i="13"/>
  <c r="I15" i="13"/>
  <c r="I45" i="13"/>
  <c r="I41" i="13"/>
  <c r="I32" i="13"/>
  <c r="H18" i="13"/>
  <c r="I44" i="13"/>
  <c r="I23" i="13"/>
  <c r="I17" i="13"/>
  <c r="I16" i="13"/>
  <c r="I42" i="13"/>
  <c r="I35" i="13"/>
  <c r="I19" i="13"/>
  <c r="I18" i="13"/>
  <c r="I38" i="13"/>
  <c r="I31" i="13"/>
  <c r="M31" i="13"/>
  <c r="M27" i="13" s="1"/>
  <c r="M17" i="13"/>
  <c r="M38" i="13"/>
  <c r="M16" i="13"/>
  <c r="M15" i="13"/>
  <c r="M35" i="13" s="1"/>
  <c r="M41" i="13"/>
  <c r="M32" i="13"/>
  <c r="I7" i="14"/>
  <c r="Q7" i="14"/>
  <c r="M7" i="14"/>
  <c r="E7" i="14"/>
  <c r="U7" i="14"/>
  <c r="G56" i="8"/>
  <c r="C68" i="11" s="1"/>
  <c r="C40" i="11" s="1"/>
  <c r="C95" i="11" s="1"/>
  <c r="C126" i="11" s="1"/>
  <c r="O107" i="3"/>
  <c r="K39" i="7"/>
  <c r="B39" i="6"/>
  <c r="D2" i="19" s="1"/>
  <c r="O110" i="3"/>
  <c r="F109" i="3"/>
  <c r="O109" i="3"/>
  <c r="J76" i="6" s="1"/>
  <c r="D76" i="6" s="1"/>
  <c r="O108" i="3"/>
  <c r="J63" i="6" s="1"/>
  <c r="Q33" i="9"/>
  <c r="Q12" i="9" s="1"/>
  <c r="Q8" i="9" s="1"/>
  <c r="S36" i="9"/>
  <c r="S34" i="9" s="1"/>
  <c r="S33" i="9" s="1"/>
  <c r="S12" i="9" s="1"/>
  <c r="S8" i="9" s="1"/>
  <c r="Q41" i="13"/>
  <c r="Q32" i="13"/>
  <c r="Q27" i="13"/>
  <c r="Q44" i="13" s="1"/>
  <c r="Q15" i="13"/>
  <c r="P18" i="13" s="1"/>
  <c r="Q18" i="13" s="1"/>
  <c r="Q35" i="13"/>
  <c r="Q38" i="13"/>
  <c r="Q31" i="13"/>
  <c r="Q17" i="13"/>
  <c r="Q16" i="13"/>
  <c r="Q23" i="13" s="1"/>
  <c r="J31" i="5"/>
  <c r="D43" i="6"/>
  <c r="J43" i="5" s="1"/>
  <c r="M31" i="11"/>
  <c r="B25" i="6" l="1"/>
  <c r="V27" i="5" s="1"/>
  <c r="I52" i="3"/>
  <c r="L48" i="8" s="1"/>
  <c r="I51" i="3"/>
  <c r="F90" i="3"/>
  <c r="F96" i="3"/>
  <c r="F94" i="3" s="1"/>
  <c r="D86" i="3"/>
  <c r="N87" i="3"/>
  <c r="E90" i="3"/>
  <c r="E96" i="3"/>
  <c r="E94" i="3" s="1"/>
  <c r="G90" i="3"/>
  <c r="G96" i="3"/>
  <c r="G94" i="3" s="1"/>
  <c r="H90" i="3"/>
  <c r="H96" i="3"/>
  <c r="H94" i="3" s="1"/>
  <c r="L46" i="8"/>
  <c r="Q42" i="13"/>
  <c r="Q43" i="13" s="1"/>
  <c r="Q45" i="13" s="1"/>
  <c r="Q19" i="13"/>
  <c r="Q20" i="13" s="1"/>
  <c r="M42" i="13"/>
  <c r="M43" i="13" s="1"/>
  <c r="M44" i="13"/>
  <c r="O55" i="8" s="1"/>
  <c r="M23" i="13"/>
  <c r="L18" i="13"/>
  <c r="M18" i="13" s="1"/>
  <c r="M19" i="13" s="1"/>
  <c r="M20" i="13" s="1"/>
  <c r="K31" i="7"/>
  <c r="O67" i="3"/>
  <c r="I66" i="6" s="1"/>
  <c r="AB19" i="7"/>
  <c r="AB18" i="7"/>
  <c r="AC18" i="7"/>
  <c r="AC19" i="7"/>
  <c r="O68" i="3"/>
  <c r="I67" i="6" s="1"/>
  <c r="D67" i="6" s="1"/>
  <c r="D36" i="6"/>
  <c r="S33" i="5" s="1"/>
  <c r="U23" i="13"/>
  <c r="O113" i="3"/>
  <c r="H39" i="6" s="1"/>
  <c r="H43" i="6" s="1"/>
  <c r="AQ45" i="5" s="1"/>
  <c r="N184" i="11"/>
  <c r="N165" i="11"/>
  <c r="L2" i="19"/>
  <c r="H2" i="19"/>
  <c r="H71" i="8" s="1"/>
  <c r="Z12" i="8" s="1"/>
  <c r="U27" i="14"/>
  <c r="U44" i="14" s="1"/>
  <c r="U17" i="14"/>
  <c r="U38" i="14"/>
  <c r="U16" i="14"/>
  <c r="U41" i="14"/>
  <c r="U15" i="14"/>
  <c r="U32" i="14"/>
  <c r="I41" i="14"/>
  <c r="I38" i="14"/>
  <c r="I32" i="14"/>
  <c r="I16" i="14"/>
  <c r="I27" i="14"/>
  <c r="I44" i="14" s="1"/>
  <c r="I17" i="14"/>
  <c r="I15" i="14"/>
  <c r="I35" i="14" s="1"/>
  <c r="P46" i="8"/>
  <c r="O74" i="3"/>
  <c r="H34" i="6" s="1"/>
  <c r="H36" i="6" s="1"/>
  <c r="R39" i="11"/>
  <c r="S39" i="11" s="1"/>
  <c r="T39" i="11" s="1"/>
  <c r="U39" i="11" s="1"/>
  <c r="V39" i="11" s="1"/>
  <c r="W39" i="11" s="1"/>
  <c r="X39" i="11" s="1"/>
  <c r="Y39" i="11" s="1"/>
  <c r="Z39" i="11" s="1"/>
  <c r="AA39" i="11" s="1"/>
  <c r="AB39" i="11" s="1"/>
  <c r="AC39" i="11" s="1"/>
  <c r="AD39" i="11" s="1"/>
  <c r="AE39" i="11" s="1"/>
  <c r="AF39" i="11" s="1"/>
  <c r="AG39" i="11" s="1"/>
  <c r="AH39" i="11" s="1"/>
  <c r="AI39" i="11" s="1"/>
  <c r="AJ39" i="11" s="1"/>
  <c r="AK39" i="11" s="1"/>
  <c r="AL39" i="11" s="1"/>
  <c r="AM39" i="11" s="1"/>
  <c r="AN39" i="11" s="1"/>
  <c r="AO39" i="11" s="1"/>
  <c r="AP39" i="11" s="1"/>
  <c r="AQ39" i="11" s="1"/>
  <c r="AR39" i="11" s="1"/>
  <c r="AS39" i="11" s="1"/>
  <c r="AT39" i="11" s="1"/>
  <c r="AU39" i="11" s="1"/>
  <c r="AV39" i="11" s="1"/>
  <c r="AW39" i="11" s="1"/>
  <c r="AX39" i="11" s="1"/>
  <c r="AY39" i="11" s="1"/>
  <c r="AZ39" i="11" s="1"/>
  <c r="BA39" i="11" s="1"/>
  <c r="BB39" i="11" s="1"/>
  <c r="BC39" i="11" s="1"/>
  <c r="T18" i="13"/>
  <c r="U18" i="13" s="1"/>
  <c r="U19" i="13" s="1"/>
  <c r="W62" i="9"/>
  <c r="Y65" i="9"/>
  <c r="AA65" i="9" s="1"/>
  <c r="W36" i="9"/>
  <c r="Y39" i="9"/>
  <c r="AA39" i="9" s="1"/>
  <c r="E39" i="6"/>
  <c r="E43" i="6" s="1"/>
  <c r="J62" i="6"/>
  <c r="E45" i="14"/>
  <c r="E42" i="14"/>
  <c r="E35" i="14"/>
  <c r="E27" i="14"/>
  <c r="E23" i="14"/>
  <c r="E19" i="14"/>
  <c r="E17" i="14"/>
  <c r="E44" i="14"/>
  <c r="E38" i="14"/>
  <c r="D18" i="14"/>
  <c r="E16" i="14"/>
  <c r="E43" i="14"/>
  <c r="E20" i="14"/>
  <c r="E41" i="14"/>
  <c r="E15" i="14"/>
  <c r="E32" i="14"/>
  <c r="E18" i="14"/>
  <c r="G58" i="8"/>
  <c r="P33" i="11"/>
  <c r="O31" i="11" s="1"/>
  <c r="Q32" i="11"/>
  <c r="Y78" i="9"/>
  <c r="AA78" i="9" s="1"/>
  <c r="W75" i="9"/>
  <c r="L2" i="18"/>
  <c r="H2" i="18"/>
  <c r="H65" i="8" s="1"/>
  <c r="X12" i="8" s="1"/>
  <c r="AQ39" i="5"/>
  <c r="U35" i="13"/>
  <c r="U42" i="13" s="1"/>
  <c r="M184" i="11"/>
  <c r="M165" i="11"/>
  <c r="L43" i="8"/>
  <c r="D63" i="6"/>
  <c r="G39" i="6"/>
  <c r="G43" i="6" s="1"/>
  <c r="AS47" i="5" s="1"/>
  <c r="M101" i="3"/>
  <c r="N101" i="3" s="1"/>
  <c r="D51" i="6"/>
  <c r="M16" i="14"/>
  <c r="M38" i="14"/>
  <c r="M27" i="14"/>
  <c r="M44" i="14" s="1"/>
  <c r="M17" i="14"/>
  <c r="M41" i="14"/>
  <c r="M32" i="14"/>
  <c r="M15" i="14"/>
  <c r="M35" i="14" s="1"/>
  <c r="O73" i="3"/>
  <c r="W49" i="9"/>
  <c r="Y52" i="9"/>
  <c r="AA52" i="9" s="1"/>
  <c r="Q38" i="14"/>
  <c r="Q41" i="14"/>
  <c r="Q32" i="14"/>
  <c r="Q27" i="14"/>
  <c r="Q17" i="14"/>
  <c r="Q16" i="14"/>
  <c r="Q15" i="14"/>
  <c r="B35" i="6"/>
  <c r="D2" i="17" s="1"/>
  <c r="L2" i="17" s="1"/>
  <c r="K148" i="11"/>
  <c r="L35" i="11"/>
  <c r="U34" i="9"/>
  <c r="U33" i="9" s="1"/>
  <c r="U12" i="9" s="1"/>
  <c r="U8" i="9" s="1"/>
  <c r="D95" i="11"/>
  <c r="D126" i="11" s="1"/>
  <c r="P42" i="11"/>
  <c r="L42" i="11"/>
  <c r="H42" i="11"/>
  <c r="N42" i="11"/>
  <c r="J42" i="11"/>
  <c r="F42" i="11"/>
  <c r="E42" i="11"/>
  <c r="D42" i="11"/>
  <c r="K42" i="11"/>
  <c r="I42" i="11"/>
  <c r="O42" i="11"/>
  <c r="M42" i="11"/>
  <c r="Q42" i="11"/>
  <c r="G42" i="11"/>
  <c r="C42" i="11"/>
  <c r="C97" i="11" s="1"/>
  <c r="X11" i="8" l="1"/>
  <c r="G68" i="8"/>
  <c r="C80" i="11" s="1"/>
  <c r="C52" i="11" s="1"/>
  <c r="C107" i="11" s="1"/>
  <c r="C138" i="11" s="1"/>
  <c r="U7" i="17"/>
  <c r="K55" i="8"/>
  <c r="H92" i="3"/>
  <c r="E92" i="3"/>
  <c r="F92" i="3"/>
  <c r="G92" i="3"/>
  <c r="O53" i="3"/>
  <c r="M100" i="3" s="1"/>
  <c r="L52" i="3"/>
  <c r="J51" i="3"/>
  <c r="B30" i="6"/>
  <c r="D2" i="15" s="1"/>
  <c r="D96" i="3"/>
  <c r="D90" i="3"/>
  <c r="N86" i="3"/>
  <c r="J54" i="3"/>
  <c r="J52" i="3"/>
  <c r="B31" i="6"/>
  <c r="D2" i="16" s="1"/>
  <c r="J53" i="3"/>
  <c r="J55" i="3"/>
  <c r="O55" i="3"/>
  <c r="H25" i="6" s="1"/>
  <c r="H29" i="6" s="1"/>
  <c r="AQ29" i="5" s="1"/>
  <c r="M45" i="13"/>
  <c r="K38" i="7"/>
  <c r="M42" i="14"/>
  <c r="M43" i="14" s="1"/>
  <c r="M45" i="14" s="1"/>
  <c r="M23" i="14"/>
  <c r="L18" i="14"/>
  <c r="M18" i="14" s="1"/>
  <c r="M19" i="14" s="1"/>
  <c r="M20" i="14" s="1"/>
  <c r="P18" i="14"/>
  <c r="Q18" i="14" s="1"/>
  <c r="Q19" i="14" s="1"/>
  <c r="Q20" i="14" s="1"/>
  <c r="I23" i="14"/>
  <c r="H18" i="14"/>
  <c r="I18" i="14" s="1"/>
  <c r="I19" i="14" s="1"/>
  <c r="I20" i="14" s="1"/>
  <c r="I42" i="14"/>
  <c r="I43" i="14" s="1"/>
  <c r="I45" i="14" s="1"/>
  <c r="K37" i="7"/>
  <c r="K36" i="7" s="1"/>
  <c r="S17" i="7"/>
  <c r="Q17" i="7" s="1"/>
  <c r="S18" i="7"/>
  <c r="Q18" i="7" s="1"/>
  <c r="I68" i="6"/>
  <c r="D68" i="6" s="1"/>
  <c r="F34" i="6"/>
  <c r="F36" i="6" s="1"/>
  <c r="AO37" i="5" s="1"/>
  <c r="L50" i="8"/>
  <c r="H39" i="8" s="1"/>
  <c r="AQ51" i="5"/>
  <c r="Q44" i="14"/>
  <c r="O58" i="8" s="1"/>
  <c r="Q35" i="14"/>
  <c r="Q42" i="14" s="1"/>
  <c r="Q43" i="14" s="1"/>
  <c r="Q45" i="14" s="1"/>
  <c r="Q23" i="14"/>
  <c r="G51" i="6"/>
  <c r="U23" i="14"/>
  <c r="D55" i="11"/>
  <c r="K53" i="8"/>
  <c r="U20" i="13"/>
  <c r="L53" i="8" s="1"/>
  <c r="T8" i="8" s="1"/>
  <c r="AO43" i="5"/>
  <c r="D66" i="6"/>
  <c r="D69" i="6" s="1"/>
  <c r="L49" i="8"/>
  <c r="H88" i="8"/>
  <c r="U35" i="14"/>
  <c r="U42" i="14" s="1"/>
  <c r="Y12" i="9"/>
  <c r="D128" i="11"/>
  <c r="D97" i="11"/>
  <c r="E128" i="11"/>
  <c r="L148" i="11"/>
  <c r="M35" i="11"/>
  <c r="M128" i="11" s="1"/>
  <c r="D49" i="11"/>
  <c r="O66" i="8"/>
  <c r="G128" i="11"/>
  <c r="I128" i="11"/>
  <c r="F128" i="11"/>
  <c r="L128" i="11"/>
  <c r="D50" i="6"/>
  <c r="G34" i="6"/>
  <c r="G36" i="6" s="1"/>
  <c r="AS41" i="5" s="1"/>
  <c r="T22" i="18"/>
  <c r="L22" i="18"/>
  <c r="D22" i="18"/>
  <c r="Q22" i="18"/>
  <c r="I22" i="18"/>
  <c r="P22" i="18"/>
  <c r="H22" i="18"/>
  <c r="U22" i="18"/>
  <c r="M22" i="18"/>
  <c r="E22" i="18"/>
  <c r="Q33" i="11"/>
  <c r="P31" i="11" s="1"/>
  <c r="R32" i="11"/>
  <c r="W34" i="9"/>
  <c r="W33" i="9" s="1"/>
  <c r="W12" i="9" s="1"/>
  <c r="W8" i="9" s="1"/>
  <c r="T18" i="14"/>
  <c r="U18" i="14" s="1"/>
  <c r="U19" i="14" s="1"/>
  <c r="U7" i="19"/>
  <c r="U44" i="19" s="1"/>
  <c r="E7" i="19"/>
  <c r="Q7" i="19"/>
  <c r="Q44" i="19" s="1"/>
  <c r="M7" i="19"/>
  <c r="M44" i="19" s="1"/>
  <c r="I7" i="19"/>
  <c r="I44" i="19" s="1"/>
  <c r="G71" i="8"/>
  <c r="C83" i="11" s="1"/>
  <c r="C55" i="11" s="1"/>
  <c r="C110" i="11" s="1"/>
  <c r="C141" i="11" s="1"/>
  <c r="H128" i="11"/>
  <c r="R42" i="11"/>
  <c r="K128" i="11"/>
  <c r="J128" i="11"/>
  <c r="M7" i="17"/>
  <c r="H2" i="17"/>
  <c r="H68" i="8" s="1"/>
  <c r="Y12" i="8" s="1"/>
  <c r="E7" i="17"/>
  <c r="I7" i="17"/>
  <c r="Q7" i="17"/>
  <c r="U43" i="13"/>
  <c r="P53" i="8"/>
  <c r="T10" i="8" s="1"/>
  <c r="M7" i="18"/>
  <c r="I7" i="18"/>
  <c r="U7" i="18"/>
  <c r="E7" i="18"/>
  <c r="Q7" i="18"/>
  <c r="G65" i="8"/>
  <c r="C77" i="11" s="1"/>
  <c r="C49" i="11" s="1"/>
  <c r="C104" i="11" s="1"/>
  <c r="C135" i="11" s="1"/>
  <c r="L44" i="8"/>
  <c r="H82" i="8" s="1"/>
  <c r="J64" i="6"/>
  <c r="D64" i="6" s="1"/>
  <c r="D62" i="6"/>
  <c r="E44" i="19" l="1"/>
  <c r="E15" i="19"/>
  <c r="E16" i="19"/>
  <c r="U16" i="19"/>
  <c r="U15" i="19"/>
  <c r="U25" i="19" s="1"/>
  <c r="M16" i="19"/>
  <c r="M15" i="19"/>
  <c r="M25" i="19" s="1"/>
  <c r="I16" i="19"/>
  <c r="I15" i="19"/>
  <c r="I25" i="19" s="1"/>
  <c r="Q16" i="19"/>
  <c r="Q15" i="19"/>
  <c r="Q25" i="19" s="1"/>
  <c r="H2" i="16"/>
  <c r="J23" i="16" s="1"/>
  <c r="J22" i="16"/>
  <c r="H22" i="16"/>
  <c r="L2" i="16"/>
  <c r="H23" i="16"/>
  <c r="H62" i="8"/>
  <c r="N90" i="3"/>
  <c r="D94" i="3"/>
  <c r="D92" i="3" s="1"/>
  <c r="N96" i="3"/>
  <c r="G25" i="6"/>
  <c r="G29" i="6" s="1"/>
  <c r="AS31" i="5" s="1"/>
  <c r="D49" i="6"/>
  <c r="L47" i="8"/>
  <c r="H41" i="8" s="1"/>
  <c r="O49" i="3"/>
  <c r="L45" i="8"/>
  <c r="O50" i="3"/>
  <c r="H72" i="6" s="1"/>
  <c r="D72" i="6" s="1"/>
  <c r="H2" i="15"/>
  <c r="H59" i="8" s="1"/>
  <c r="L2" i="15"/>
  <c r="Y11" i="8"/>
  <c r="M17" i="19"/>
  <c r="Q34" i="19"/>
  <c r="Q17" i="19"/>
  <c r="E17" i="19"/>
  <c r="I17" i="19"/>
  <c r="U15" i="18"/>
  <c r="U38" i="18" s="1"/>
  <c r="V17" i="18"/>
  <c r="T17" i="18" s="1"/>
  <c r="E15" i="18"/>
  <c r="F17" i="18"/>
  <c r="D17" i="18" s="1"/>
  <c r="I15" i="18"/>
  <c r="J17" i="18"/>
  <c r="H17" i="18" s="1"/>
  <c r="I17" i="18" s="1"/>
  <c r="Q15" i="18"/>
  <c r="R17" i="18"/>
  <c r="P17" i="18" s="1"/>
  <c r="N17" i="18"/>
  <c r="M16" i="18"/>
  <c r="M17" i="18"/>
  <c r="M18" i="18"/>
  <c r="M15" i="18"/>
  <c r="L17" i="18"/>
  <c r="L18" i="18"/>
  <c r="M19" i="18"/>
  <c r="N19" i="18"/>
  <c r="K58" i="8"/>
  <c r="I69" i="6"/>
  <c r="P184" i="11"/>
  <c r="P165" i="11"/>
  <c r="U20" i="14"/>
  <c r="L56" i="8" s="1"/>
  <c r="U8" i="8" s="1"/>
  <c r="K56" i="8"/>
  <c r="U41" i="17"/>
  <c r="U32" i="17"/>
  <c r="U38" i="17"/>
  <c r="U22" i="17"/>
  <c r="V17" i="17" s="1"/>
  <c r="T17" i="17" s="1"/>
  <c r="E22" i="19"/>
  <c r="E33" i="19" s="1"/>
  <c r="E29" i="19" s="1"/>
  <c r="E40" i="19"/>
  <c r="G73" i="8"/>
  <c r="U41" i="18"/>
  <c r="U30" i="18"/>
  <c r="U47" i="18" s="1"/>
  <c r="U44" i="18"/>
  <c r="U35" i="18"/>
  <c r="H37" i="8"/>
  <c r="D16" i="8" s="1"/>
  <c r="O53" i="8"/>
  <c r="U45" i="13"/>
  <c r="P55" i="8" s="1"/>
  <c r="E41" i="17"/>
  <c r="E32" i="17"/>
  <c r="E30" i="17"/>
  <c r="E38" i="17"/>
  <c r="E22" i="17"/>
  <c r="F17" i="17" s="1"/>
  <c r="E31" i="17"/>
  <c r="E27" i="17" s="1"/>
  <c r="E15" i="17"/>
  <c r="S42" i="11"/>
  <c r="I22" i="19"/>
  <c r="I33" i="19" s="1"/>
  <c r="I29" i="19" s="1"/>
  <c r="I40" i="19"/>
  <c r="U22" i="19"/>
  <c r="U33" i="19" s="1"/>
  <c r="U29" i="19" s="1"/>
  <c r="U17" i="19"/>
  <c r="U40" i="19"/>
  <c r="R33" i="11"/>
  <c r="Q31" i="11" s="1"/>
  <c r="S32" i="11"/>
  <c r="D104" i="11"/>
  <c r="D135" i="11" s="1"/>
  <c r="N51" i="11"/>
  <c r="J51" i="11"/>
  <c r="F51" i="11"/>
  <c r="E51" i="11"/>
  <c r="P51" i="11"/>
  <c r="L51" i="11"/>
  <c r="H51" i="11"/>
  <c r="D51" i="11"/>
  <c r="G51" i="11"/>
  <c r="I51" i="11"/>
  <c r="K51" i="11"/>
  <c r="M51" i="11"/>
  <c r="O51" i="11"/>
  <c r="C51" i="11"/>
  <c r="C106" i="11" s="1"/>
  <c r="Q51" i="11"/>
  <c r="I30" i="18"/>
  <c r="I47" i="18" s="1"/>
  <c r="I44" i="18"/>
  <c r="I35" i="18"/>
  <c r="I41" i="18"/>
  <c r="H84" i="8"/>
  <c r="H38" i="8"/>
  <c r="D18" i="8" s="1"/>
  <c r="Q41" i="17"/>
  <c r="Q32" i="17"/>
  <c r="Q38" i="17"/>
  <c r="Q22" i="17"/>
  <c r="R17" i="17" s="1"/>
  <c r="P17" i="17" s="1"/>
  <c r="M37" i="19"/>
  <c r="M40" i="19"/>
  <c r="M22" i="19"/>
  <c r="M33" i="19" s="1"/>
  <c r="M29" i="19" s="1"/>
  <c r="Q44" i="18"/>
  <c r="Q35" i="18"/>
  <c r="Q41" i="18"/>
  <c r="Q30" i="18"/>
  <c r="Q47" i="18" s="1"/>
  <c r="M30" i="18"/>
  <c r="M47" i="18" s="1"/>
  <c r="M44" i="18"/>
  <c r="M35" i="18"/>
  <c r="M41" i="18"/>
  <c r="M38" i="18"/>
  <c r="I38" i="17"/>
  <c r="I22" i="17"/>
  <c r="J17" i="17"/>
  <c r="I16" i="17"/>
  <c r="I23" i="17" s="1"/>
  <c r="I41" i="17"/>
  <c r="I15" i="17"/>
  <c r="I32" i="17"/>
  <c r="H17" i="17"/>
  <c r="I17" i="17" s="1"/>
  <c r="I30" i="17"/>
  <c r="I31" i="17" s="1"/>
  <c r="I27" i="17" s="1"/>
  <c r="M22" i="17"/>
  <c r="M30" i="17" s="1"/>
  <c r="M31" i="17" s="1"/>
  <c r="M27" i="17" s="1"/>
  <c r="M41" i="17"/>
  <c r="M32" i="17"/>
  <c r="M38" i="17"/>
  <c r="Q40" i="19"/>
  <c r="Q22" i="19"/>
  <c r="Q33" i="19" s="1"/>
  <c r="Q29" i="19" s="1"/>
  <c r="N100" i="3"/>
  <c r="M94" i="3"/>
  <c r="U43" i="14"/>
  <c r="P56" i="8"/>
  <c r="U10" i="8" s="1"/>
  <c r="D110" i="11"/>
  <c r="D141" i="11" s="1"/>
  <c r="Q57" i="11"/>
  <c r="M57" i="11"/>
  <c r="I57" i="11"/>
  <c r="E57" i="11"/>
  <c r="P57" i="11"/>
  <c r="L57" i="11"/>
  <c r="H57" i="11"/>
  <c r="D57" i="11"/>
  <c r="F57" i="11"/>
  <c r="G57" i="11"/>
  <c r="J57" i="11"/>
  <c r="K57" i="11"/>
  <c r="N57" i="11"/>
  <c r="O57" i="11"/>
  <c r="C57" i="11"/>
  <c r="C112" i="11" s="1"/>
  <c r="E41" i="18"/>
  <c r="E38" i="18"/>
  <c r="E30" i="18"/>
  <c r="E47" i="18" s="1"/>
  <c r="E35" i="18"/>
  <c r="E44" i="18"/>
  <c r="D52" i="11"/>
  <c r="O69" i="8"/>
  <c r="M148" i="11"/>
  <c r="N35" i="11"/>
  <c r="D65" i="11"/>
  <c r="L54" i="8"/>
  <c r="T7" i="8" s="1"/>
  <c r="E25" i="19" l="1"/>
  <c r="U45" i="18"/>
  <c r="U46" i="18" s="1"/>
  <c r="U48" i="18" s="1"/>
  <c r="U17" i="18"/>
  <c r="U16" i="18"/>
  <c r="H40" i="8"/>
  <c r="D19" i="8" s="1"/>
  <c r="H83" i="8"/>
  <c r="G59" i="8"/>
  <c r="C71" i="11" s="1"/>
  <c r="C43" i="11" s="1"/>
  <c r="C98" i="11" s="1"/>
  <c r="C129" i="11" s="1"/>
  <c r="E7" i="15"/>
  <c r="D18" i="15" s="1"/>
  <c r="E18" i="15" s="1"/>
  <c r="E19" i="15" s="1"/>
  <c r="E20" i="15" s="1"/>
  <c r="Q7" i="15"/>
  <c r="Q35" i="15" s="1"/>
  <c r="Q42" i="15" s="1"/>
  <c r="Q43" i="15" s="1"/>
  <c r="Q45" i="15" s="1"/>
  <c r="M7" i="15"/>
  <c r="I7" i="15"/>
  <c r="U7" i="15"/>
  <c r="H71" i="6"/>
  <c r="D71" i="6" s="1"/>
  <c r="D73" i="6" s="1"/>
  <c r="E25" i="6"/>
  <c r="E29" i="6" s="1"/>
  <c r="K33" i="7"/>
  <c r="K40" i="7" s="1"/>
  <c r="I39" i="7" s="1"/>
  <c r="D47" i="6"/>
  <c r="D52" i="6" s="1"/>
  <c r="AS25" i="5"/>
  <c r="J25" i="5" s="1"/>
  <c r="W12" i="8"/>
  <c r="W11" i="8" s="1"/>
  <c r="O63" i="8"/>
  <c r="D46" i="11"/>
  <c r="V12" i="8"/>
  <c r="V11" i="8" s="1"/>
  <c r="O60" i="8"/>
  <c r="D43" i="11"/>
  <c r="I7" i="16"/>
  <c r="J20" i="16" s="1"/>
  <c r="E7" i="16"/>
  <c r="F19" i="16" s="1"/>
  <c r="U7" i="16"/>
  <c r="M7" i="16"/>
  <c r="N19" i="16" s="1"/>
  <c r="G62" i="8"/>
  <c r="C74" i="11" s="1"/>
  <c r="C46" i="11" s="1"/>
  <c r="C101" i="11" s="1"/>
  <c r="C132" i="11" s="1"/>
  <c r="Q7" i="16"/>
  <c r="E17" i="18"/>
  <c r="E16" i="18"/>
  <c r="D18" i="18" s="1"/>
  <c r="E18" i="18" s="1"/>
  <c r="I16" i="18"/>
  <c r="H18" i="18" s="1"/>
  <c r="I18" i="18" s="1"/>
  <c r="Q17" i="18"/>
  <c r="Q16" i="18"/>
  <c r="P18" i="18" s="1"/>
  <c r="Q18" i="18" s="1"/>
  <c r="Q38" i="18"/>
  <c r="Q45" i="18" s="1"/>
  <c r="I44" i="17"/>
  <c r="H18" i="17"/>
  <c r="I18" i="17" s="1"/>
  <c r="I19" i="17" s="1"/>
  <c r="I20" i="17" s="1"/>
  <c r="I35" i="17"/>
  <c r="I42" i="17" s="1"/>
  <c r="I43" i="17" s="1"/>
  <c r="I45" i="17" s="1"/>
  <c r="E44" i="17"/>
  <c r="E42" i="17"/>
  <c r="E43" i="17" s="1"/>
  <c r="E45" i="17" s="1"/>
  <c r="E16" i="17"/>
  <c r="D17" i="17"/>
  <c r="E17" i="17" s="1"/>
  <c r="E19" i="17"/>
  <c r="E20" i="17" s="1"/>
  <c r="E23" i="17"/>
  <c r="E35" i="17"/>
  <c r="D18" i="17"/>
  <c r="E18" i="17" s="1"/>
  <c r="L18" i="19"/>
  <c r="M18" i="19" s="1"/>
  <c r="M19" i="19" s="1"/>
  <c r="Q15" i="17"/>
  <c r="Q35" i="17" s="1"/>
  <c r="Q17" i="17"/>
  <c r="Q16" i="17"/>
  <c r="Q30" i="17"/>
  <c r="Q31" i="17" s="1"/>
  <c r="Q27" i="17" s="1"/>
  <c r="M45" i="18"/>
  <c r="M46" i="18" s="1"/>
  <c r="M48" i="18" s="1"/>
  <c r="E45" i="18"/>
  <c r="E46" i="18" s="1"/>
  <c r="E48" i="18" s="1"/>
  <c r="I38" i="18"/>
  <c r="I45" i="18" s="1"/>
  <c r="I46" i="18" s="1"/>
  <c r="I48" i="18" s="1"/>
  <c r="N17" i="17"/>
  <c r="L17" i="17" s="1"/>
  <c r="M17" i="17" s="1"/>
  <c r="M44" i="17"/>
  <c r="O67" i="8"/>
  <c r="M15" i="17"/>
  <c r="M43" i="16"/>
  <c r="U37" i="19"/>
  <c r="T18" i="19"/>
  <c r="U18" i="19" s="1"/>
  <c r="U19" i="19" s="1"/>
  <c r="Q52" i="19"/>
  <c r="P18" i="19"/>
  <c r="Q18" i="19" s="1"/>
  <c r="Q19" i="19" s="1"/>
  <c r="Q37" i="19"/>
  <c r="I37" i="19"/>
  <c r="H18" i="19"/>
  <c r="I18" i="19" s="1"/>
  <c r="I19" i="19" s="1"/>
  <c r="D18" i="19"/>
  <c r="G67" i="8"/>
  <c r="U16" i="17"/>
  <c r="U17" i="17"/>
  <c r="D107" i="11"/>
  <c r="D138" i="11" s="1"/>
  <c r="P54" i="11"/>
  <c r="L54" i="11"/>
  <c r="H54" i="11"/>
  <c r="N54" i="11"/>
  <c r="J54" i="11"/>
  <c r="F54" i="11"/>
  <c r="E54" i="11"/>
  <c r="D54" i="11"/>
  <c r="K54" i="11"/>
  <c r="I54" i="11"/>
  <c r="O54" i="11"/>
  <c r="M54" i="11"/>
  <c r="Q54" i="11"/>
  <c r="G54" i="11"/>
  <c r="C54" i="11"/>
  <c r="C109" i="11" s="1"/>
  <c r="D143" i="11"/>
  <c r="D112" i="11"/>
  <c r="M137" i="11"/>
  <c r="D137" i="11"/>
  <c r="D106" i="11"/>
  <c r="E137" i="11"/>
  <c r="D13" i="8"/>
  <c r="D12" i="8"/>
  <c r="U15" i="17"/>
  <c r="U45" i="14"/>
  <c r="P58" i="8" s="1"/>
  <c r="O56" i="8"/>
  <c r="Q184" i="11"/>
  <c r="Q165" i="11"/>
  <c r="R51" i="11"/>
  <c r="K137" i="11"/>
  <c r="H137" i="11"/>
  <c r="F137" i="11"/>
  <c r="S33" i="11"/>
  <c r="R31" i="11" s="1"/>
  <c r="T32" i="11"/>
  <c r="T42" i="11"/>
  <c r="U30" i="17"/>
  <c r="U31" i="17" s="1"/>
  <c r="U27" i="17" s="1"/>
  <c r="D68" i="11"/>
  <c r="L57" i="8"/>
  <c r="U7" i="8" s="1"/>
  <c r="R57" i="11"/>
  <c r="M92" i="3"/>
  <c r="E125" i="3"/>
  <c r="E129" i="3" s="1"/>
  <c r="J128" i="3" s="1"/>
  <c r="K75" i="6" s="1"/>
  <c r="N94" i="3"/>
  <c r="E119" i="3" s="1"/>
  <c r="E126" i="3"/>
  <c r="I51" i="5" s="1"/>
  <c r="I137" i="11"/>
  <c r="L137" i="11"/>
  <c r="J137" i="11"/>
  <c r="I94" i="11"/>
  <c r="M94" i="11"/>
  <c r="L94" i="11"/>
  <c r="N94" i="11"/>
  <c r="Q94" i="11"/>
  <c r="K94" i="11"/>
  <c r="J94" i="11"/>
  <c r="O94" i="11"/>
  <c r="H94" i="11"/>
  <c r="P94" i="11"/>
  <c r="G94" i="11"/>
  <c r="E94" i="11"/>
  <c r="F94" i="11"/>
  <c r="E37" i="19"/>
  <c r="BB70" i="11"/>
  <c r="AX70" i="11"/>
  <c r="AT70" i="11"/>
  <c r="AP70" i="11"/>
  <c r="AL70" i="11"/>
  <c r="AH70" i="11"/>
  <c r="AD70" i="11"/>
  <c r="Z70" i="11"/>
  <c r="V70" i="11"/>
  <c r="R70" i="11"/>
  <c r="N70" i="11"/>
  <c r="J70" i="11"/>
  <c r="F70" i="11"/>
  <c r="BB67" i="11"/>
  <c r="AX67" i="11"/>
  <c r="AT67" i="11"/>
  <c r="AP67" i="11"/>
  <c r="AL67" i="11"/>
  <c r="AH67" i="11"/>
  <c r="AD67" i="11"/>
  <c r="Z67" i="11"/>
  <c r="V67" i="11"/>
  <c r="R67" i="11"/>
  <c r="N67" i="11"/>
  <c r="J67" i="11"/>
  <c r="F67" i="11"/>
  <c r="BA70" i="11"/>
  <c r="AW70" i="11"/>
  <c r="AS70" i="11"/>
  <c r="AO70" i="11"/>
  <c r="AK70" i="11"/>
  <c r="AG70" i="11"/>
  <c r="AC70" i="11"/>
  <c r="Y70" i="11"/>
  <c r="U70" i="11"/>
  <c r="Q70" i="11"/>
  <c r="M70" i="11"/>
  <c r="I70" i="11"/>
  <c r="BA67" i="11"/>
  <c r="AW67" i="11"/>
  <c r="AS67" i="11"/>
  <c r="AO67" i="11"/>
  <c r="AK67" i="11"/>
  <c r="AG67" i="11"/>
  <c r="AC67" i="11"/>
  <c r="Y67" i="11"/>
  <c r="U67" i="11"/>
  <c r="Q67" i="11"/>
  <c r="M67" i="11"/>
  <c r="I67" i="11"/>
  <c r="E67" i="11"/>
  <c r="AZ70" i="11"/>
  <c r="AV70" i="11"/>
  <c r="AR70" i="11"/>
  <c r="AN70" i="11"/>
  <c r="AJ70" i="11"/>
  <c r="AF70" i="11"/>
  <c r="AB70" i="11"/>
  <c r="X70" i="11"/>
  <c r="T70" i="11"/>
  <c r="P70" i="11"/>
  <c r="L70" i="11"/>
  <c r="H70" i="11"/>
  <c r="AZ67" i="11"/>
  <c r="AV67" i="11"/>
  <c r="AR67" i="11"/>
  <c r="AN67" i="11"/>
  <c r="AJ67" i="11"/>
  <c r="AF67" i="11"/>
  <c r="AB67" i="11"/>
  <c r="X67" i="11"/>
  <c r="T67" i="11"/>
  <c r="P67" i="11"/>
  <c r="L67" i="11"/>
  <c r="H67" i="11"/>
  <c r="D67" i="11"/>
  <c r="BC70" i="11"/>
  <c r="AY70" i="11"/>
  <c r="AU70" i="11"/>
  <c r="AQ70" i="11"/>
  <c r="AM70" i="11"/>
  <c r="AI70" i="11"/>
  <c r="AE70" i="11"/>
  <c r="AA70" i="11"/>
  <c r="W70" i="11"/>
  <c r="S70" i="11"/>
  <c r="O70" i="11"/>
  <c r="K70" i="11"/>
  <c r="G70" i="11"/>
  <c r="BC67" i="11"/>
  <c r="AY67" i="11"/>
  <c r="AU67" i="11"/>
  <c r="AQ67" i="11"/>
  <c r="AM67" i="11"/>
  <c r="AI67" i="11"/>
  <c r="AE67" i="11"/>
  <c r="AA67" i="11"/>
  <c r="W67" i="11"/>
  <c r="S67" i="11"/>
  <c r="O67" i="11"/>
  <c r="K67" i="11"/>
  <c r="G67" i="11"/>
  <c r="C67" i="11"/>
  <c r="N148" i="11"/>
  <c r="O35" i="11"/>
  <c r="N128" i="11"/>
  <c r="G137" i="11"/>
  <c r="N137" i="11"/>
  <c r="P54" i="8"/>
  <c r="T9" i="8" s="1"/>
  <c r="P84" i="8"/>
  <c r="N20" i="16" l="1"/>
  <c r="M20" i="16"/>
  <c r="I33" i="7"/>
  <c r="I35" i="7"/>
  <c r="I36" i="7"/>
  <c r="I31" i="7"/>
  <c r="I38" i="7"/>
  <c r="I37" i="7"/>
  <c r="P18" i="15"/>
  <c r="Q18" i="15" s="1"/>
  <c r="Q19" i="15" s="1"/>
  <c r="Q20" i="15" s="1"/>
  <c r="Q44" i="15"/>
  <c r="T18" i="18"/>
  <c r="U18" i="18" s="1"/>
  <c r="U19" i="18" s="1"/>
  <c r="U26" i="18"/>
  <c r="L62" i="8"/>
  <c r="W8" i="8" s="1"/>
  <c r="Q50" i="19"/>
  <c r="Q51" i="19" s="1"/>
  <c r="Q53" i="19" s="1"/>
  <c r="K73" i="8"/>
  <c r="E23" i="15"/>
  <c r="E42" i="15"/>
  <c r="E43" i="15" s="1"/>
  <c r="E45" i="15" s="1"/>
  <c r="P62" i="8"/>
  <c r="W10" i="8" s="1"/>
  <c r="I20" i="16"/>
  <c r="J19" i="16"/>
  <c r="K64" i="8"/>
  <c r="F20" i="16"/>
  <c r="H18" i="16"/>
  <c r="I18" i="16" s="1"/>
  <c r="I15" i="16"/>
  <c r="I23" i="16" s="1"/>
  <c r="I38" i="16"/>
  <c r="I27" i="16"/>
  <c r="I17" i="16"/>
  <c r="I32" i="16"/>
  <c r="I41" i="16"/>
  <c r="I16" i="16"/>
  <c r="I44" i="16"/>
  <c r="I19" i="16"/>
  <c r="I35" i="16"/>
  <c r="I42" i="16" s="1"/>
  <c r="I43" i="16" s="1"/>
  <c r="I45" i="16" s="1"/>
  <c r="K48" i="11"/>
  <c r="K134" i="11" s="1"/>
  <c r="Q48" i="11"/>
  <c r="H48" i="11"/>
  <c r="H134" i="11" s="1"/>
  <c r="D48" i="11"/>
  <c r="F48" i="11"/>
  <c r="F134" i="11" s="1"/>
  <c r="N48" i="11"/>
  <c r="N134" i="11" s="1"/>
  <c r="C48" i="11"/>
  <c r="C103" i="11" s="1"/>
  <c r="I48" i="11"/>
  <c r="I134" i="11" s="1"/>
  <c r="L48" i="11"/>
  <c r="L134" i="11" s="1"/>
  <c r="E48" i="11"/>
  <c r="E134" i="11" s="1"/>
  <c r="P48" i="11"/>
  <c r="P134" i="11" s="1"/>
  <c r="O48" i="11"/>
  <c r="O134" i="11" s="1"/>
  <c r="D101" i="11"/>
  <c r="D132" i="11" s="1"/>
  <c r="M48" i="11"/>
  <c r="M134" i="11" s="1"/>
  <c r="G48" i="11"/>
  <c r="G134" i="11" s="1"/>
  <c r="J48" i="11"/>
  <c r="J134" i="11" s="1"/>
  <c r="AS51" i="5"/>
  <c r="D45" i="8"/>
  <c r="G49" i="6"/>
  <c r="U42" i="15"/>
  <c r="U15" i="15"/>
  <c r="U18" i="15"/>
  <c r="U45" i="15"/>
  <c r="U32" i="15"/>
  <c r="U27" i="15"/>
  <c r="U38" i="15"/>
  <c r="U19" i="15"/>
  <c r="U35" i="15"/>
  <c r="U44" i="15"/>
  <c r="U43" i="15"/>
  <c r="U41" i="15"/>
  <c r="T18" i="15"/>
  <c r="U20" i="15"/>
  <c r="U23" i="15"/>
  <c r="U16" i="15"/>
  <c r="U17" i="15"/>
  <c r="E15" i="15"/>
  <c r="E35" i="15" s="1"/>
  <c r="E17" i="15"/>
  <c r="E16" i="15"/>
  <c r="E38" i="15"/>
  <c r="E41" i="15"/>
  <c r="G61" i="8"/>
  <c r="E27" i="15"/>
  <c r="E44" i="15" s="1"/>
  <c r="E32" i="15"/>
  <c r="K62" i="8"/>
  <c r="L63" i="8" s="1"/>
  <c r="W7" i="8" s="1"/>
  <c r="M38" i="16"/>
  <c r="M17" i="16"/>
  <c r="M41" i="16"/>
  <c r="M27" i="16"/>
  <c r="M44" i="16" s="1"/>
  <c r="M32" i="16"/>
  <c r="M15" i="16"/>
  <c r="M16" i="16"/>
  <c r="L18" i="16"/>
  <c r="M18" i="16" s="1"/>
  <c r="M19" i="16" s="1"/>
  <c r="M23" i="16"/>
  <c r="M35" i="16"/>
  <c r="M42" i="16" s="1"/>
  <c r="F45" i="11"/>
  <c r="F131" i="11" s="1"/>
  <c r="H45" i="11"/>
  <c r="H131" i="11" s="1"/>
  <c r="K45" i="11"/>
  <c r="K131" i="11" s="1"/>
  <c r="Q45" i="11"/>
  <c r="R45" i="11" s="1"/>
  <c r="S45" i="11" s="1"/>
  <c r="G45" i="11"/>
  <c r="G131" i="11" s="1"/>
  <c r="D98" i="11"/>
  <c r="D129" i="11" s="1"/>
  <c r="E45" i="11"/>
  <c r="E131" i="11" s="1"/>
  <c r="D45" i="11"/>
  <c r="C45" i="11"/>
  <c r="C100" i="11" s="1"/>
  <c r="N45" i="11"/>
  <c r="N131" i="11" s="1"/>
  <c r="P45" i="11"/>
  <c r="M45" i="11"/>
  <c r="M131" i="11" s="1"/>
  <c r="J45" i="11"/>
  <c r="J131" i="11" s="1"/>
  <c r="L45" i="11"/>
  <c r="L131" i="11" s="1"/>
  <c r="I45" i="11"/>
  <c r="I131" i="11" s="1"/>
  <c r="O45" i="11"/>
  <c r="O131" i="11" s="1"/>
  <c r="I41" i="15"/>
  <c r="I16" i="15"/>
  <c r="I32" i="15"/>
  <c r="I38" i="15"/>
  <c r="I15" i="15"/>
  <c r="I27" i="15"/>
  <c r="I17" i="15"/>
  <c r="U27" i="16"/>
  <c r="U44" i="16" s="1"/>
  <c r="U32" i="16"/>
  <c r="U41" i="16"/>
  <c r="U17" i="16"/>
  <c r="U15" i="16"/>
  <c r="U35" i="16" s="1"/>
  <c r="U38" i="16"/>
  <c r="U16" i="16"/>
  <c r="U19" i="16"/>
  <c r="U20" i="16" s="1"/>
  <c r="V20" i="16"/>
  <c r="U42" i="16"/>
  <c r="U43" i="16" s="1"/>
  <c r="U45" i="16" s="1"/>
  <c r="V19" i="16"/>
  <c r="T18" i="16"/>
  <c r="U18" i="16" s="1"/>
  <c r="U23" i="16"/>
  <c r="AO27" i="5"/>
  <c r="AO51" i="5" s="1"/>
  <c r="G50" i="6"/>
  <c r="M32" i="15"/>
  <c r="M44" i="15"/>
  <c r="M38" i="15"/>
  <c r="M16" i="15"/>
  <c r="M15" i="15"/>
  <c r="M23" i="15" s="1"/>
  <c r="M27" i="15"/>
  <c r="M41" i="15"/>
  <c r="M17" i="15"/>
  <c r="Q23" i="16"/>
  <c r="Q16" i="16"/>
  <c r="Q32" i="16"/>
  <c r="Q42" i="16" s="1"/>
  <c r="Q43" i="16" s="1"/>
  <c r="Q45" i="16" s="1"/>
  <c r="Q41" i="16"/>
  <c r="Q15" i="16"/>
  <c r="Q38" i="16"/>
  <c r="Q17" i="16"/>
  <c r="Q35" i="16"/>
  <c r="Q27" i="16"/>
  <c r="Q44" i="16" s="1"/>
  <c r="P18" i="16"/>
  <c r="Q18" i="16" s="1"/>
  <c r="Q19" i="16" s="1"/>
  <c r="Q20" i="16"/>
  <c r="R19" i="16"/>
  <c r="R20" i="16"/>
  <c r="G64" i="8"/>
  <c r="E27" i="16"/>
  <c r="E44" i="16" s="1"/>
  <c r="E32" i="16"/>
  <c r="E38" i="16"/>
  <c r="E17" i="16"/>
  <c r="E16" i="16"/>
  <c r="E41" i="16"/>
  <c r="E15" i="16"/>
  <c r="O64" i="8"/>
  <c r="E35" i="16"/>
  <c r="E42" i="16" s="1"/>
  <c r="E43" i="16" s="1"/>
  <c r="E45" i="16" s="1"/>
  <c r="D18" i="16"/>
  <c r="E18" i="16" s="1"/>
  <c r="E19" i="16" s="1"/>
  <c r="E20" i="16" s="1"/>
  <c r="E23" i="16"/>
  <c r="Q41" i="15"/>
  <c r="Q32" i="15"/>
  <c r="Q15" i="15"/>
  <c r="Q23" i="15" s="1"/>
  <c r="Q17" i="15"/>
  <c r="Q16" i="15"/>
  <c r="Q27" i="15"/>
  <c r="Q38" i="15"/>
  <c r="I26" i="18"/>
  <c r="E19" i="18"/>
  <c r="F19" i="18" s="1"/>
  <c r="Q19" i="18"/>
  <c r="R19" i="18" s="1"/>
  <c r="E18" i="19"/>
  <c r="E19" i="19" s="1"/>
  <c r="E20" i="19" s="1"/>
  <c r="I19" i="18"/>
  <c r="J19" i="18" s="1"/>
  <c r="P18" i="17"/>
  <c r="Q18" i="17" s="1"/>
  <c r="Q23" i="17"/>
  <c r="Q42" i="17"/>
  <c r="Q43" i="17" s="1"/>
  <c r="Q44" i="17"/>
  <c r="Q19" i="17"/>
  <c r="Q20" i="17" s="1"/>
  <c r="M26" i="18"/>
  <c r="G70" i="8"/>
  <c r="M16" i="17"/>
  <c r="L18" i="17" s="1"/>
  <c r="M18" i="17" s="1"/>
  <c r="M19" i="17" s="1"/>
  <c r="M20" i="17" s="1"/>
  <c r="M35" i="17"/>
  <c r="M42" i="17" s="1"/>
  <c r="M43" i="17" s="1"/>
  <c r="M45" i="17" s="1"/>
  <c r="E26" i="18"/>
  <c r="M45" i="16"/>
  <c r="P64" i="8" s="1"/>
  <c r="O62" i="8"/>
  <c r="P63" i="8" s="1"/>
  <c r="W9" i="8" s="1"/>
  <c r="U20" i="19"/>
  <c r="V19" i="19"/>
  <c r="Q20" i="19"/>
  <c r="R19" i="19"/>
  <c r="M20" i="19"/>
  <c r="N19" i="19"/>
  <c r="I20" i="19"/>
  <c r="J19" i="19"/>
  <c r="Q26" i="18"/>
  <c r="O148" i="11"/>
  <c r="P35" i="11"/>
  <c r="P140" i="11" s="1"/>
  <c r="O128" i="11"/>
  <c r="N92" i="3"/>
  <c r="E114" i="3" s="1"/>
  <c r="Q46" i="18"/>
  <c r="P65" i="8"/>
  <c r="X10" i="8" s="1"/>
  <c r="R54" i="11"/>
  <c r="K140" i="11"/>
  <c r="J140" i="11"/>
  <c r="S57" i="11"/>
  <c r="E70" i="11"/>
  <c r="D70" i="11"/>
  <c r="C70" i="11"/>
  <c r="T33" i="11"/>
  <c r="S31" i="11" s="1"/>
  <c r="U32" i="11"/>
  <c r="P85" i="8"/>
  <c r="P57" i="8"/>
  <c r="U9" i="8" s="1"/>
  <c r="T18" i="17"/>
  <c r="U18" i="17" s="1"/>
  <c r="U19" i="17" s="1"/>
  <c r="U23" i="17"/>
  <c r="U35" i="17"/>
  <c r="U42" i="17" s="1"/>
  <c r="M140" i="11"/>
  <c r="D140" i="11"/>
  <c r="D109" i="11"/>
  <c r="N140" i="11"/>
  <c r="O137" i="11"/>
  <c r="R94" i="11"/>
  <c r="B46" i="6"/>
  <c r="D2" i="20" s="1"/>
  <c r="O124" i="3"/>
  <c r="I53" i="5" s="1"/>
  <c r="K53" i="5" s="1"/>
  <c r="U44" i="17"/>
  <c r="I97" i="11"/>
  <c r="L97" i="11"/>
  <c r="K97" i="11"/>
  <c r="P97" i="11"/>
  <c r="E97" i="11"/>
  <c r="O97" i="11"/>
  <c r="Q97" i="11"/>
  <c r="R97" i="11" s="1"/>
  <c r="S97" i="11" s="1"/>
  <c r="T97" i="11" s="1"/>
  <c r="U97" i="11" s="1"/>
  <c r="V97" i="11" s="1"/>
  <c r="W97" i="11" s="1"/>
  <c r="X97" i="11" s="1"/>
  <c r="Y97" i="11" s="1"/>
  <c r="Z97" i="11" s="1"/>
  <c r="AA97" i="11" s="1"/>
  <c r="AB97" i="11" s="1"/>
  <c r="AC97" i="11" s="1"/>
  <c r="AD97" i="11" s="1"/>
  <c r="AE97" i="11" s="1"/>
  <c r="AF97" i="11" s="1"/>
  <c r="AG97" i="11" s="1"/>
  <c r="AH97" i="11" s="1"/>
  <c r="AI97" i="11" s="1"/>
  <c r="AJ97" i="11" s="1"/>
  <c r="AK97" i="11" s="1"/>
  <c r="AL97" i="11" s="1"/>
  <c r="AM97" i="11" s="1"/>
  <c r="AN97" i="11" s="1"/>
  <c r="AO97" i="11" s="1"/>
  <c r="AP97" i="11" s="1"/>
  <c r="AQ97" i="11" s="1"/>
  <c r="AR97" i="11" s="1"/>
  <c r="AS97" i="11" s="1"/>
  <c r="AT97" i="11" s="1"/>
  <c r="AU97" i="11" s="1"/>
  <c r="AV97" i="11" s="1"/>
  <c r="AW97" i="11" s="1"/>
  <c r="AX97" i="11" s="1"/>
  <c r="AY97" i="11" s="1"/>
  <c r="AZ97" i="11" s="1"/>
  <c r="BA97" i="11" s="1"/>
  <c r="BB97" i="11" s="1"/>
  <c r="BC97" i="11" s="1"/>
  <c r="M97" i="11"/>
  <c r="N97" i="11"/>
  <c r="G97" i="11"/>
  <c r="F97" i="11"/>
  <c r="J97" i="11"/>
  <c r="H97" i="11"/>
  <c r="O140" i="11"/>
  <c r="E140" i="11"/>
  <c r="H140" i="11"/>
  <c r="P47" i="8"/>
  <c r="D75" i="6"/>
  <c r="U42" i="11"/>
  <c r="S51" i="11"/>
  <c r="G140" i="11"/>
  <c r="I140" i="11"/>
  <c r="F140" i="11"/>
  <c r="L140" i="11"/>
  <c r="D74" i="11" l="1"/>
  <c r="AH76" i="11" s="1"/>
  <c r="I40" i="7"/>
  <c r="L18" i="15"/>
  <c r="M18" i="15" s="1"/>
  <c r="M19" i="15" s="1"/>
  <c r="M20" i="15" s="1"/>
  <c r="M35" i="15"/>
  <c r="M42" i="15" s="1"/>
  <c r="M43" i="15" s="1"/>
  <c r="M45" i="15" s="1"/>
  <c r="U20" i="18"/>
  <c r="V19" i="18"/>
  <c r="U35" i="19"/>
  <c r="E35" i="19"/>
  <c r="Q35" i="19"/>
  <c r="Q36" i="19" s="1"/>
  <c r="M35" i="19"/>
  <c r="I35" i="19"/>
  <c r="I44" i="15"/>
  <c r="O61" i="8" s="1"/>
  <c r="I35" i="15"/>
  <c r="I42" i="15" s="1"/>
  <c r="I23" i="15"/>
  <c r="K61" i="8" s="1"/>
  <c r="H18" i="15"/>
  <c r="I18" i="15" s="1"/>
  <c r="I19" i="15" s="1"/>
  <c r="AS53" i="5"/>
  <c r="AO53" i="5"/>
  <c r="D134" i="11"/>
  <c r="D103" i="11"/>
  <c r="G78" i="8"/>
  <c r="D131" i="11"/>
  <c r="D100" i="11"/>
  <c r="G52" i="6"/>
  <c r="AA12" i="8"/>
  <c r="H9" i="8"/>
  <c r="D9" i="8"/>
  <c r="R48" i="11"/>
  <c r="Q134" i="11"/>
  <c r="E20" i="18"/>
  <c r="F19" i="19"/>
  <c r="K71" i="8"/>
  <c r="D83" i="11" s="1"/>
  <c r="AQ85" i="11" s="1"/>
  <c r="I20" i="18"/>
  <c r="L71" i="8"/>
  <c r="Z8" i="8" s="1"/>
  <c r="O70" i="8"/>
  <c r="Q45" i="17"/>
  <c r="M20" i="18"/>
  <c r="K65" i="8"/>
  <c r="D77" i="11" s="1"/>
  <c r="K67" i="8"/>
  <c r="M23" i="17"/>
  <c r="K70" i="8" s="1"/>
  <c r="L103" i="11"/>
  <c r="N103" i="11"/>
  <c r="M103" i="11"/>
  <c r="E103" i="11"/>
  <c r="H103" i="11"/>
  <c r="P103" i="11"/>
  <c r="K103" i="11"/>
  <c r="Q103" i="11"/>
  <c r="R103" i="11" s="1"/>
  <c r="S103" i="11" s="1"/>
  <c r="T103" i="11" s="1"/>
  <c r="U103" i="11" s="1"/>
  <c r="V103" i="11" s="1"/>
  <c r="W103" i="11" s="1"/>
  <c r="X103" i="11" s="1"/>
  <c r="Y103" i="11" s="1"/>
  <c r="Z103" i="11" s="1"/>
  <c r="AA103" i="11" s="1"/>
  <c r="AB103" i="11" s="1"/>
  <c r="AC103" i="11" s="1"/>
  <c r="AD103" i="11" s="1"/>
  <c r="AE103" i="11" s="1"/>
  <c r="AF103" i="11" s="1"/>
  <c r="AG103" i="11" s="1"/>
  <c r="AH103" i="11" s="1"/>
  <c r="AI103" i="11" s="1"/>
  <c r="AJ103" i="11" s="1"/>
  <c r="AK103" i="11" s="1"/>
  <c r="AL103" i="11" s="1"/>
  <c r="AM103" i="11" s="1"/>
  <c r="AN103" i="11" s="1"/>
  <c r="AO103" i="11" s="1"/>
  <c r="AP103" i="11" s="1"/>
  <c r="AQ103" i="11" s="1"/>
  <c r="AR103" i="11" s="1"/>
  <c r="AS103" i="11" s="1"/>
  <c r="AT103" i="11" s="1"/>
  <c r="AU103" i="11" s="1"/>
  <c r="AV103" i="11" s="1"/>
  <c r="AW103" i="11" s="1"/>
  <c r="AX103" i="11" s="1"/>
  <c r="AY103" i="11" s="1"/>
  <c r="AZ103" i="11" s="1"/>
  <c r="BA103" i="11" s="1"/>
  <c r="BB103" i="11" s="1"/>
  <c r="BC103" i="11" s="1"/>
  <c r="F103" i="11"/>
  <c r="I103" i="11"/>
  <c r="G103" i="11"/>
  <c r="J103" i="11"/>
  <c r="O103" i="11"/>
  <c r="AX76" i="11"/>
  <c r="R76" i="11"/>
  <c r="BA76" i="11"/>
  <c r="AK76" i="11"/>
  <c r="E76" i="11"/>
  <c r="AN76" i="11"/>
  <c r="X76" i="11"/>
  <c r="AU76" i="11"/>
  <c r="AE76" i="11"/>
  <c r="O76" i="11"/>
  <c r="L76" i="11"/>
  <c r="AI76" i="11"/>
  <c r="AT76" i="11"/>
  <c r="N76" i="11"/>
  <c r="AW76" i="11"/>
  <c r="AG76" i="11"/>
  <c r="AZ76" i="11"/>
  <c r="AJ76" i="11"/>
  <c r="T76" i="11"/>
  <c r="AQ76" i="11"/>
  <c r="AA76" i="11"/>
  <c r="K76" i="11"/>
  <c r="AF76" i="11"/>
  <c r="BC76" i="11"/>
  <c r="W76" i="11"/>
  <c r="AP76" i="11"/>
  <c r="Z76" i="11"/>
  <c r="J76" i="11"/>
  <c r="AC76" i="11"/>
  <c r="AV76" i="11"/>
  <c r="P76" i="11"/>
  <c r="G76" i="11"/>
  <c r="BB76" i="11"/>
  <c r="AL76" i="11"/>
  <c r="F76" i="11"/>
  <c r="AO76" i="11"/>
  <c r="Y76" i="11"/>
  <c r="AB76" i="11"/>
  <c r="AY76" i="11"/>
  <c r="S76" i="11"/>
  <c r="Q20" i="18"/>
  <c r="U20" i="17"/>
  <c r="L68" i="8" s="1"/>
  <c r="Y8" i="8" s="1"/>
  <c r="K68" i="8"/>
  <c r="O65" i="8"/>
  <c r="Q48" i="18"/>
  <c r="P67" i="8" s="1"/>
  <c r="H89" i="8"/>
  <c r="H43" i="8"/>
  <c r="D21" i="8" s="1"/>
  <c r="S94" i="11"/>
  <c r="T57" i="11"/>
  <c r="P148" i="11"/>
  <c r="Q35" i="11"/>
  <c r="P128" i="11"/>
  <c r="P137" i="11"/>
  <c r="P131" i="11"/>
  <c r="T51" i="11"/>
  <c r="S184" i="11"/>
  <c r="S165" i="11"/>
  <c r="L2" i="20"/>
  <c r="U7" i="20" s="1"/>
  <c r="H2" i="20"/>
  <c r="H74" i="8" s="1"/>
  <c r="AA11" i="8" s="1"/>
  <c r="U33" i="11"/>
  <c r="T31" i="11" s="1"/>
  <c r="V32" i="11"/>
  <c r="S54" i="11"/>
  <c r="O111" i="3"/>
  <c r="V42" i="11"/>
  <c r="P68" i="8"/>
  <c r="Y10" i="8" s="1"/>
  <c r="U43" i="17"/>
  <c r="T45" i="11"/>
  <c r="AR76" i="11" l="1"/>
  <c r="V76" i="11"/>
  <c r="AM76" i="11"/>
  <c r="AS76" i="11"/>
  <c r="C76" i="11"/>
  <c r="M76" i="11"/>
  <c r="D76" i="11"/>
  <c r="Q76" i="11"/>
  <c r="AD76" i="11"/>
  <c r="I76" i="11"/>
  <c r="H76" i="11"/>
  <c r="U76" i="11"/>
  <c r="U42" i="20"/>
  <c r="U34" i="20"/>
  <c r="U15" i="20"/>
  <c r="U33" i="20"/>
  <c r="U22" i="20"/>
  <c r="U39" i="20"/>
  <c r="U28" i="20"/>
  <c r="U40" i="20"/>
  <c r="U32" i="20"/>
  <c r="U21" i="20"/>
  <c r="U38" i="20"/>
  <c r="U16" i="20"/>
  <c r="U43" i="20"/>
  <c r="U30" i="20"/>
  <c r="U29" i="20" s="1"/>
  <c r="U44" i="20"/>
  <c r="U27" i="20"/>
  <c r="U37" i="20"/>
  <c r="U17" i="20"/>
  <c r="U35" i="20"/>
  <c r="L65" i="8"/>
  <c r="X8" i="8" s="1"/>
  <c r="AQ53" i="5"/>
  <c r="I43" i="15"/>
  <c r="P59" i="8"/>
  <c r="V10" i="8" s="1"/>
  <c r="K59" i="8"/>
  <c r="I20" i="15"/>
  <c r="L59" i="8" s="1"/>
  <c r="V8" i="8" s="1"/>
  <c r="R134" i="11"/>
  <c r="S48" i="11"/>
  <c r="H52" i="6"/>
  <c r="H51" i="6"/>
  <c r="H49" i="6"/>
  <c r="H50" i="6"/>
  <c r="AU85" i="11"/>
  <c r="AR85" i="11"/>
  <c r="Y85" i="11"/>
  <c r="F85" i="11"/>
  <c r="L85" i="11"/>
  <c r="O85" i="11"/>
  <c r="AL85" i="11"/>
  <c r="J74" i="6"/>
  <c r="P44" i="8" s="1"/>
  <c r="Z11" i="8" s="1"/>
  <c r="D7" i="19"/>
  <c r="AB85" i="11"/>
  <c r="AO85" i="11"/>
  <c r="BB85" i="11"/>
  <c r="L72" i="8"/>
  <c r="Z7" i="8" s="1"/>
  <c r="I85" i="11"/>
  <c r="V85" i="11"/>
  <c r="AE85" i="11"/>
  <c r="P85" i="11"/>
  <c r="AF85" i="11"/>
  <c r="AV85" i="11"/>
  <c r="M85" i="11"/>
  <c r="AC85" i="11"/>
  <c r="AS85" i="11"/>
  <c r="J85" i="11"/>
  <c r="Z85" i="11"/>
  <c r="AP85" i="11"/>
  <c r="C85" i="11"/>
  <c r="S85" i="11"/>
  <c r="AI85" i="11"/>
  <c r="AY85" i="11"/>
  <c r="D85" i="11"/>
  <c r="T85" i="11"/>
  <c r="AJ85" i="11"/>
  <c r="AZ85" i="11"/>
  <c r="Q85" i="11"/>
  <c r="AG85" i="11"/>
  <c r="AW85" i="11"/>
  <c r="N85" i="11"/>
  <c r="AD85" i="11"/>
  <c r="AT85" i="11"/>
  <c r="G85" i="11"/>
  <c r="W85" i="11"/>
  <c r="AM85" i="11"/>
  <c r="BC85" i="11"/>
  <c r="H85" i="11"/>
  <c r="X85" i="11"/>
  <c r="AN85" i="11"/>
  <c r="E85" i="11"/>
  <c r="U85" i="11"/>
  <c r="AK85" i="11"/>
  <c r="BA85" i="11"/>
  <c r="R85" i="11"/>
  <c r="AH85" i="11"/>
  <c r="AX85" i="11"/>
  <c r="K85" i="11"/>
  <c r="AA85" i="11"/>
  <c r="U36" i="19"/>
  <c r="U52" i="19" s="1"/>
  <c r="M36" i="19"/>
  <c r="M52" i="19" s="1"/>
  <c r="I36" i="19"/>
  <c r="I52" i="19" s="1"/>
  <c r="L66" i="8"/>
  <c r="X7" i="8" s="1"/>
  <c r="K78" i="8"/>
  <c r="H19" i="8" s="1"/>
  <c r="D58" i="11"/>
  <c r="O75" i="8"/>
  <c r="T184" i="11"/>
  <c r="T165" i="11"/>
  <c r="Q148" i="11"/>
  <c r="R35" i="11"/>
  <c r="Q128" i="11"/>
  <c r="Q137" i="11"/>
  <c r="Q131" i="11"/>
  <c r="Q140" i="11"/>
  <c r="H106" i="11"/>
  <c r="G106" i="11"/>
  <c r="L106" i="11"/>
  <c r="P106" i="11"/>
  <c r="K106" i="11"/>
  <c r="F106" i="11"/>
  <c r="O106" i="11"/>
  <c r="M106" i="11"/>
  <c r="E106" i="11"/>
  <c r="Q106" i="11"/>
  <c r="R106" i="11" s="1"/>
  <c r="S106" i="11" s="1"/>
  <c r="T106" i="11" s="1"/>
  <c r="U106" i="11" s="1"/>
  <c r="V106" i="11" s="1"/>
  <c r="W106" i="11" s="1"/>
  <c r="X106" i="11" s="1"/>
  <c r="Y106" i="11" s="1"/>
  <c r="Z106" i="11" s="1"/>
  <c r="AA106" i="11" s="1"/>
  <c r="AB106" i="11" s="1"/>
  <c r="AC106" i="11" s="1"/>
  <c r="AD106" i="11" s="1"/>
  <c r="AE106" i="11" s="1"/>
  <c r="AF106" i="11" s="1"/>
  <c r="AG106" i="11" s="1"/>
  <c r="AH106" i="11" s="1"/>
  <c r="AI106" i="11" s="1"/>
  <c r="AJ106" i="11" s="1"/>
  <c r="AK106" i="11" s="1"/>
  <c r="AL106" i="11" s="1"/>
  <c r="AM106" i="11" s="1"/>
  <c r="AN106" i="11" s="1"/>
  <c r="AO106" i="11" s="1"/>
  <c r="AP106" i="11" s="1"/>
  <c r="AQ106" i="11" s="1"/>
  <c r="AR106" i="11" s="1"/>
  <c r="AS106" i="11" s="1"/>
  <c r="AT106" i="11" s="1"/>
  <c r="AU106" i="11" s="1"/>
  <c r="AV106" i="11" s="1"/>
  <c r="AW106" i="11" s="1"/>
  <c r="AX106" i="11" s="1"/>
  <c r="AY106" i="11" s="1"/>
  <c r="AZ106" i="11" s="1"/>
  <c r="BA106" i="11" s="1"/>
  <c r="BB106" i="11" s="1"/>
  <c r="BC106" i="11" s="1"/>
  <c r="I106" i="11"/>
  <c r="J106" i="11"/>
  <c r="N106" i="11"/>
  <c r="U45" i="11"/>
  <c r="W42" i="11"/>
  <c r="BC79" i="11"/>
  <c r="AY79" i="11"/>
  <c r="AU79" i="11"/>
  <c r="AQ79" i="11"/>
  <c r="AM79" i="11"/>
  <c r="AI79" i="11"/>
  <c r="AE79" i="11"/>
  <c r="AA79" i="11"/>
  <c r="W79" i="11"/>
  <c r="S79" i="11"/>
  <c r="BB79" i="11"/>
  <c r="AX79" i="11"/>
  <c r="AT79" i="11"/>
  <c r="AP79" i="11"/>
  <c r="AL79" i="11"/>
  <c r="AH79" i="11"/>
  <c r="AD79" i="11"/>
  <c r="Z79" i="11"/>
  <c r="V79" i="11"/>
  <c r="R79" i="11"/>
  <c r="BA79" i="11"/>
  <c r="AW79" i="11"/>
  <c r="AS79" i="11"/>
  <c r="AO79" i="11"/>
  <c r="AK79" i="11"/>
  <c r="AG79" i="11"/>
  <c r="AC79" i="11"/>
  <c r="Y79" i="11"/>
  <c r="U79" i="11"/>
  <c r="AZ79" i="11"/>
  <c r="AJ79" i="11"/>
  <c r="T79" i="11"/>
  <c r="N79" i="11"/>
  <c r="J79" i="11"/>
  <c r="F79" i="11"/>
  <c r="AV79" i="11"/>
  <c r="AF79" i="11"/>
  <c r="Q79" i="11"/>
  <c r="M79" i="11"/>
  <c r="I79" i="11"/>
  <c r="E79" i="11"/>
  <c r="AR79" i="11"/>
  <c r="AB79" i="11"/>
  <c r="P79" i="11"/>
  <c r="L79" i="11"/>
  <c r="H79" i="11"/>
  <c r="D79" i="11"/>
  <c r="AN79" i="11"/>
  <c r="X79" i="11"/>
  <c r="O79" i="11"/>
  <c r="K79" i="11"/>
  <c r="G79" i="11"/>
  <c r="C79" i="11"/>
  <c r="V33" i="11"/>
  <c r="U31" i="11" s="1"/>
  <c r="W32" i="11"/>
  <c r="P66" i="8"/>
  <c r="X9" i="8" s="1"/>
  <c r="P86" i="8"/>
  <c r="P89" i="8"/>
  <c r="D74" i="6"/>
  <c r="T54" i="11"/>
  <c r="U57" i="11"/>
  <c r="T94" i="11"/>
  <c r="U45" i="17"/>
  <c r="P70" i="8" s="1"/>
  <c r="O68" i="8"/>
  <c r="E36" i="19"/>
  <c r="E52" i="19" s="1"/>
  <c r="Q7" i="20"/>
  <c r="M7" i="20"/>
  <c r="I7" i="20"/>
  <c r="E7" i="20"/>
  <c r="G74" i="8"/>
  <c r="C86" i="11" s="1"/>
  <c r="C58" i="11" s="1"/>
  <c r="C113" i="11" s="1"/>
  <c r="C144" i="11" s="1"/>
  <c r="U51" i="11"/>
  <c r="D80" i="11"/>
  <c r="L69" i="8"/>
  <c r="Y7" i="8" s="1"/>
  <c r="U47" i="20" l="1"/>
  <c r="U36" i="20"/>
  <c r="U48" i="20"/>
  <c r="U41" i="20"/>
  <c r="U18" i="20"/>
  <c r="U19" i="20" s="1"/>
  <c r="U31" i="20"/>
  <c r="E40" i="20"/>
  <c r="E32" i="20"/>
  <c r="E21" i="20"/>
  <c r="E17" i="20"/>
  <c r="E22" i="20"/>
  <c r="E47" i="20"/>
  <c r="E39" i="20"/>
  <c r="E37" i="20"/>
  <c r="E48" i="20" s="1"/>
  <c r="E38" i="20"/>
  <c r="E36" i="20" s="1"/>
  <c r="E30" i="20"/>
  <c r="E29" i="20" s="1"/>
  <c r="E18" i="20"/>
  <c r="E19" i="20" s="1"/>
  <c r="E44" i="20"/>
  <c r="E28" i="20"/>
  <c r="E16" i="20"/>
  <c r="E43" i="20"/>
  <c r="E35" i="20"/>
  <c r="E27" i="20"/>
  <c r="E15" i="20"/>
  <c r="E42" i="20"/>
  <c r="E41" i="20" s="1"/>
  <c r="E34" i="20"/>
  <c r="E26" i="20"/>
  <c r="E33" i="20"/>
  <c r="E31" i="20" s="1"/>
  <c r="I38" i="20"/>
  <c r="I48" i="20" s="1"/>
  <c r="I30" i="20"/>
  <c r="I29" i="20" s="1"/>
  <c r="I27" i="20"/>
  <c r="I39" i="20"/>
  <c r="I37" i="20"/>
  <c r="I36" i="20" s="1"/>
  <c r="I17" i="20"/>
  <c r="I35" i="20"/>
  <c r="I47" i="20" s="1"/>
  <c r="I44" i="20"/>
  <c r="I28" i="20"/>
  <c r="I26" i="20" s="1"/>
  <c r="I16" i="20"/>
  <c r="I43" i="20"/>
  <c r="I15" i="20"/>
  <c r="I18" i="20" s="1"/>
  <c r="I19" i="20" s="1"/>
  <c r="I42" i="20"/>
  <c r="I34" i="20"/>
  <c r="I41" i="20"/>
  <c r="I33" i="20"/>
  <c r="I31" i="20" s="1"/>
  <c r="I22" i="20"/>
  <c r="I40" i="20"/>
  <c r="I32" i="20"/>
  <c r="I21" i="20"/>
  <c r="U26" i="20"/>
  <c r="M44" i="20"/>
  <c r="M28" i="20"/>
  <c r="M16" i="20"/>
  <c r="M33" i="20"/>
  <c r="M38" i="20"/>
  <c r="M37" i="20"/>
  <c r="M17" i="20"/>
  <c r="M43" i="20"/>
  <c r="M41" i="20" s="1"/>
  <c r="M35" i="20"/>
  <c r="M27" i="20"/>
  <c r="M15" i="20"/>
  <c r="M22" i="20"/>
  <c r="M30" i="20"/>
  <c r="M42" i="20"/>
  <c r="M34" i="20"/>
  <c r="M26" i="20"/>
  <c r="M40" i="20"/>
  <c r="M32" i="20"/>
  <c r="M21" i="20"/>
  <c r="M29" i="20"/>
  <c r="M39" i="20"/>
  <c r="M31" i="20"/>
  <c r="Q44" i="20"/>
  <c r="Q35" i="20"/>
  <c r="Q22" i="20"/>
  <c r="Q32" i="20"/>
  <c r="Q38" i="20"/>
  <c r="Q43" i="20"/>
  <c r="Q41" i="20" s="1"/>
  <c r="Q34" i="20"/>
  <c r="Q21" i="20"/>
  <c r="Q16" i="20"/>
  <c r="Q40" i="20"/>
  <c r="Q42" i="20"/>
  <c r="Q33" i="20"/>
  <c r="Q17" i="20"/>
  <c r="Q30" i="20"/>
  <c r="Q29" i="20" s="1"/>
  <c r="Q27" i="20"/>
  <c r="Q47" i="20" s="1"/>
  <c r="Q15" i="20"/>
  <c r="Q39" i="20"/>
  <c r="Q28" i="20"/>
  <c r="Q37" i="20"/>
  <c r="Q36" i="20"/>
  <c r="D71" i="11"/>
  <c r="L60" i="8"/>
  <c r="V7" i="8" s="1"/>
  <c r="I45" i="15"/>
  <c r="P61" i="8" s="1"/>
  <c r="O59" i="8"/>
  <c r="D46" i="8"/>
  <c r="D10" i="8" s="1"/>
  <c r="S134" i="11"/>
  <c r="T48" i="11"/>
  <c r="U34" i="19"/>
  <c r="M34" i="19"/>
  <c r="O73" i="8"/>
  <c r="I34" i="19"/>
  <c r="E34" i="19"/>
  <c r="G76" i="8"/>
  <c r="W33" i="11"/>
  <c r="V31" i="11" s="1"/>
  <c r="X32" i="11"/>
  <c r="BC82" i="11"/>
  <c r="AY82" i="11"/>
  <c r="AU82" i="11"/>
  <c r="AQ82" i="11"/>
  <c r="AM82" i="11"/>
  <c r="AI82" i="11"/>
  <c r="AE82" i="11"/>
  <c r="AA82" i="11"/>
  <c r="W82" i="11"/>
  <c r="S82" i="11"/>
  <c r="O82" i="11"/>
  <c r="K82" i="11"/>
  <c r="G82" i="11"/>
  <c r="C82" i="11"/>
  <c r="BB82" i="11"/>
  <c r="AX82" i="11"/>
  <c r="AT82" i="11"/>
  <c r="AP82" i="11"/>
  <c r="AL82" i="11"/>
  <c r="AH82" i="11"/>
  <c r="AD82" i="11"/>
  <c r="Z82" i="11"/>
  <c r="V82" i="11"/>
  <c r="R82" i="11"/>
  <c r="N82" i="11"/>
  <c r="J82" i="11"/>
  <c r="F82" i="11"/>
  <c r="BA82" i="11"/>
  <c r="AW82" i="11"/>
  <c r="AS82" i="11"/>
  <c r="AO82" i="11"/>
  <c r="AK82" i="11"/>
  <c r="AG82" i="11"/>
  <c r="AC82" i="11"/>
  <c r="Y82" i="11"/>
  <c r="U82" i="11"/>
  <c r="Q82" i="11"/>
  <c r="M82" i="11"/>
  <c r="I82" i="11"/>
  <c r="E82" i="11"/>
  <c r="AZ82" i="11"/>
  <c r="AV82" i="11"/>
  <c r="AR82" i="11"/>
  <c r="AN82" i="11"/>
  <c r="AJ82" i="11"/>
  <c r="AB82" i="11"/>
  <c r="L82" i="11"/>
  <c r="X82" i="11"/>
  <c r="H82" i="11"/>
  <c r="T82" i="11"/>
  <c r="D82" i="11"/>
  <c r="AF82" i="11"/>
  <c r="P82" i="11"/>
  <c r="V51" i="11"/>
  <c r="X42" i="11"/>
  <c r="U184" i="11"/>
  <c r="U165" i="11"/>
  <c r="P83" i="8"/>
  <c r="P69" i="8"/>
  <c r="Y9" i="8" s="1"/>
  <c r="U94" i="11"/>
  <c r="H85" i="8"/>
  <c r="H91" i="8" s="1"/>
  <c r="H42" i="8"/>
  <c r="D20" i="8" s="1"/>
  <c r="O72" i="8"/>
  <c r="R148" i="11"/>
  <c r="S35" i="11"/>
  <c r="R128" i="11"/>
  <c r="R137" i="11"/>
  <c r="R131" i="11"/>
  <c r="R140" i="11"/>
  <c r="O109" i="11"/>
  <c r="H109" i="11"/>
  <c r="G109" i="11"/>
  <c r="F109" i="11"/>
  <c r="L109" i="11"/>
  <c r="E109" i="11"/>
  <c r="I109" i="11"/>
  <c r="P109" i="11"/>
  <c r="Q109" i="11"/>
  <c r="R109" i="11" s="1"/>
  <c r="S109" i="11" s="1"/>
  <c r="T109" i="11" s="1"/>
  <c r="U109" i="11" s="1"/>
  <c r="V109" i="11" s="1"/>
  <c r="W109" i="11" s="1"/>
  <c r="X109" i="11" s="1"/>
  <c r="Y109" i="11" s="1"/>
  <c r="Z109" i="11" s="1"/>
  <c r="AA109" i="11" s="1"/>
  <c r="AB109" i="11" s="1"/>
  <c r="AC109" i="11" s="1"/>
  <c r="AD109" i="11" s="1"/>
  <c r="AE109" i="11" s="1"/>
  <c r="AF109" i="11" s="1"/>
  <c r="AG109" i="11" s="1"/>
  <c r="AH109" i="11" s="1"/>
  <c r="AI109" i="11" s="1"/>
  <c r="AJ109" i="11" s="1"/>
  <c r="AK109" i="11" s="1"/>
  <c r="AL109" i="11" s="1"/>
  <c r="AM109" i="11" s="1"/>
  <c r="AN109" i="11" s="1"/>
  <c r="AO109" i="11" s="1"/>
  <c r="AP109" i="11" s="1"/>
  <c r="AQ109" i="11" s="1"/>
  <c r="AR109" i="11" s="1"/>
  <c r="AS109" i="11" s="1"/>
  <c r="AT109" i="11" s="1"/>
  <c r="AU109" i="11" s="1"/>
  <c r="AV109" i="11" s="1"/>
  <c r="AW109" i="11" s="1"/>
  <c r="AX109" i="11" s="1"/>
  <c r="AY109" i="11" s="1"/>
  <c r="AZ109" i="11" s="1"/>
  <c r="BA109" i="11" s="1"/>
  <c r="BB109" i="11" s="1"/>
  <c r="BC109" i="11" s="1"/>
  <c r="K109" i="11"/>
  <c r="N109" i="11"/>
  <c r="M109" i="11"/>
  <c r="J109" i="11"/>
  <c r="V57" i="11"/>
  <c r="U54" i="11"/>
  <c r="V45" i="11"/>
  <c r="D113" i="11"/>
  <c r="D144" i="11" s="1"/>
  <c r="O60" i="11"/>
  <c r="K60" i="11"/>
  <c r="N60" i="11"/>
  <c r="J60" i="11"/>
  <c r="F60" i="11"/>
  <c r="E60" i="11"/>
  <c r="H60" i="11"/>
  <c r="I60" i="11"/>
  <c r="L60" i="11"/>
  <c r="M60" i="11"/>
  <c r="P60" i="11"/>
  <c r="Q60" i="11"/>
  <c r="G60" i="11"/>
  <c r="C60" i="11"/>
  <c r="C115" i="11" s="1"/>
  <c r="C90" i="11" s="1"/>
  <c r="C117" i="11" s="1"/>
  <c r="D60" i="11"/>
  <c r="U46" i="20" l="1"/>
  <c r="U45" i="20" s="1"/>
  <c r="E46" i="20"/>
  <c r="E45" i="20" s="1"/>
  <c r="I46" i="20"/>
  <c r="I45" i="20" s="1"/>
  <c r="M48" i="20"/>
  <c r="M47" i="20"/>
  <c r="M18" i="20"/>
  <c r="M19" i="20" s="1"/>
  <c r="M36" i="20"/>
  <c r="M46" i="20" s="1"/>
  <c r="M45" i="20" s="1"/>
  <c r="Q26" i="20"/>
  <c r="Q48" i="20"/>
  <c r="Q31" i="20"/>
  <c r="Q18" i="20"/>
  <c r="Q19" i="20" s="1"/>
  <c r="U50" i="19"/>
  <c r="U51" i="19" s="1"/>
  <c r="U53" i="19" s="1"/>
  <c r="M50" i="19"/>
  <c r="M51" i="19" s="1"/>
  <c r="M53" i="19" s="1"/>
  <c r="I50" i="19"/>
  <c r="I51" i="19" s="1"/>
  <c r="I53" i="19" s="1"/>
  <c r="E50" i="19"/>
  <c r="E51" i="19" s="1"/>
  <c r="P60" i="8"/>
  <c r="V9" i="8" s="1"/>
  <c r="P82" i="8"/>
  <c r="J100" i="11"/>
  <c r="Q100" i="11"/>
  <c r="R100" i="11" s="1"/>
  <c r="S100" i="11" s="1"/>
  <c r="M100" i="11"/>
  <c r="P100" i="11"/>
  <c r="G100" i="11"/>
  <c r="H100" i="11"/>
  <c r="K100" i="11"/>
  <c r="N100" i="11"/>
  <c r="O100" i="11"/>
  <c r="F100" i="11"/>
  <c r="I100" i="11"/>
  <c r="E100" i="11"/>
  <c r="L100" i="11"/>
  <c r="BB73" i="11"/>
  <c r="AL73" i="11"/>
  <c r="V73" i="11"/>
  <c r="F73" i="11"/>
  <c r="AO73" i="11"/>
  <c r="Y73" i="11"/>
  <c r="I73" i="11"/>
  <c r="AR73" i="11"/>
  <c r="AB73" i="11"/>
  <c r="L73" i="11"/>
  <c r="AY73" i="11"/>
  <c r="AI73" i="11"/>
  <c r="S73" i="11"/>
  <c r="C73" i="11"/>
  <c r="AH73" i="11"/>
  <c r="BA73" i="11"/>
  <c r="U73" i="11"/>
  <c r="AN73" i="11"/>
  <c r="X73" i="11"/>
  <c r="AU73" i="11"/>
  <c r="O73" i="11"/>
  <c r="AX73" i="11"/>
  <c r="R73" i="11"/>
  <c r="AK73" i="11"/>
  <c r="E73" i="11"/>
  <c r="H73" i="11"/>
  <c r="AE73" i="11"/>
  <c r="AT73" i="11"/>
  <c r="AD73" i="11"/>
  <c r="N73" i="11"/>
  <c r="AW73" i="11"/>
  <c r="AG73" i="11"/>
  <c r="Q73" i="11"/>
  <c r="AZ73" i="11"/>
  <c r="AJ73" i="11"/>
  <c r="T73" i="11"/>
  <c r="D73" i="11"/>
  <c r="AQ73" i="11"/>
  <c r="AA73" i="11"/>
  <c r="K73" i="11"/>
  <c r="AP73" i="11"/>
  <c r="Z73" i="11"/>
  <c r="J73" i="11"/>
  <c r="AS73" i="11"/>
  <c r="AC73" i="11"/>
  <c r="M73" i="11"/>
  <c r="AV73" i="11"/>
  <c r="AF73" i="11"/>
  <c r="P73" i="11"/>
  <c r="BC73" i="11"/>
  <c r="AM73" i="11"/>
  <c r="W73" i="11"/>
  <c r="G73" i="11"/>
  <c r="U48" i="11"/>
  <c r="T134" i="11"/>
  <c r="C119" i="11"/>
  <c r="C151" i="11" s="1"/>
  <c r="C153" i="11" s="1"/>
  <c r="C154" i="11" s="1"/>
  <c r="K76" i="8"/>
  <c r="H20" i="8" s="1"/>
  <c r="K74" i="8"/>
  <c r="O76" i="8"/>
  <c r="P76" i="8"/>
  <c r="I146" i="11"/>
  <c r="D146" i="11"/>
  <c r="D115" i="11"/>
  <c r="D90" i="11" s="1"/>
  <c r="D117" i="11" s="1"/>
  <c r="P146" i="11"/>
  <c r="H146" i="11"/>
  <c r="N146" i="11"/>
  <c r="F143" i="11"/>
  <c r="Q143" i="11"/>
  <c r="E143" i="11"/>
  <c r="J143" i="11"/>
  <c r="I143" i="11"/>
  <c r="O143" i="11"/>
  <c r="L143" i="11"/>
  <c r="K143" i="11"/>
  <c r="N143" i="11"/>
  <c r="P143" i="11"/>
  <c r="H143" i="11"/>
  <c r="G143" i="11"/>
  <c r="M143" i="11"/>
  <c r="R143" i="11"/>
  <c r="S143" i="11"/>
  <c r="X33" i="11"/>
  <c r="W31" i="11" s="1"/>
  <c r="Y32" i="11"/>
  <c r="Q146" i="11"/>
  <c r="R60" i="11"/>
  <c r="J146" i="11"/>
  <c r="M146" i="11"/>
  <c r="K146" i="11"/>
  <c r="W45" i="11"/>
  <c r="W57" i="11"/>
  <c r="S148" i="11"/>
  <c r="T35" i="11"/>
  <c r="T143" i="11" s="1"/>
  <c r="S128" i="11"/>
  <c r="S131" i="11"/>
  <c r="S137" i="11"/>
  <c r="S140" i="11"/>
  <c r="Y42" i="11"/>
  <c r="W51" i="11"/>
  <c r="E146" i="11"/>
  <c r="G146" i="11"/>
  <c r="L146" i="11"/>
  <c r="F146" i="11"/>
  <c r="O146" i="11"/>
  <c r="V54" i="11"/>
  <c r="H92" i="8"/>
  <c r="H93" i="8" s="1"/>
  <c r="H11" i="8"/>
  <c r="V94" i="11"/>
  <c r="V184" i="11"/>
  <c r="V165" i="11"/>
  <c r="Q46" i="20" l="1"/>
  <c r="Q45" i="20" s="1"/>
  <c r="P71" i="8"/>
  <c r="Z10" i="8" s="1"/>
  <c r="E53" i="19"/>
  <c r="P73" i="8" s="1"/>
  <c r="E112" i="11" s="1"/>
  <c r="O71" i="8"/>
  <c r="P72" i="8" s="1"/>
  <c r="Z9" i="8" s="1"/>
  <c r="V48" i="11"/>
  <c r="U134" i="11"/>
  <c r="D119" i="11"/>
  <c r="D151" i="11" s="1"/>
  <c r="D153" i="11" s="1"/>
  <c r="D154" i="11" s="1"/>
  <c r="P74" i="8"/>
  <c r="AA10" i="8" s="1"/>
  <c r="L74" i="8"/>
  <c r="AA8" i="8" s="1"/>
  <c r="J115" i="11"/>
  <c r="Q115" i="11"/>
  <c r="R115" i="11" s="1"/>
  <c r="S115" i="11" s="1"/>
  <c r="T115" i="11" s="1"/>
  <c r="U115" i="11" s="1"/>
  <c r="V115" i="11" s="1"/>
  <c r="W115" i="11" s="1"/>
  <c r="X115" i="11" s="1"/>
  <c r="Y115" i="11" s="1"/>
  <c r="Z115" i="11" s="1"/>
  <c r="AA115" i="11" s="1"/>
  <c r="AB115" i="11" s="1"/>
  <c r="AC115" i="11" s="1"/>
  <c r="AD115" i="11" s="1"/>
  <c r="AE115" i="11" s="1"/>
  <c r="AF115" i="11" s="1"/>
  <c r="AG115" i="11" s="1"/>
  <c r="AH115" i="11" s="1"/>
  <c r="AI115" i="11" s="1"/>
  <c r="AJ115" i="11" s="1"/>
  <c r="AK115" i="11" s="1"/>
  <c r="AL115" i="11" s="1"/>
  <c r="AM115" i="11" s="1"/>
  <c r="AN115" i="11" s="1"/>
  <c r="AO115" i="11" s="1"/>
  <c r="AP115" i="11" s="1"/>
  <c r="AQ115" i="11" s="1"/>
  <c r="AR115" i="11" s="1"/>
  <c r="AS115" i="11" s="1"/>
  <c r="AT115" i="11" s="1"/>
  <c r="AU115" i="11" s="1"/>
  <c r="AV115" i="11" s="1"/>
  <c r="AW115" i="11" s="1"/>
  <c r="AX115" i="11" s="1"/>
  <c r="AY115" i="11" s="1"/>
  <c r="AZ115" i="11" s="1"/>
  <c r="BA115" i="11" s="1"/>
  <c r="BB115" i="11" s="1"/>
  <c r="BC115" i="11" s="1"/>
  <c r="H115" i="11"/>
  <c r="K115" i="11"/>
  <c r="E115" i="11"/>
  <c r="O115" i="11"/>
  <c r="L115" i="11"/>
  <c r="M115" i="11"/>
  <c r="F115" i="11"/>
  <c r="G115" i="11"/>
  <c r="P115" i="11"/>
  <c r="I115" i="11"/>
  <c r="N115" i="11"/>
  <c r="Z42" i="11"/>
  <c r="T100" i="11"/>
  <c r="W94" i="11"/>
  <c r="W54" i="11"/>
  <c r="Y33" i="11"/>
  <c r="X31" i="11" s="1"/>
  <c r="Z32" i="11"/>
  <c r="D86" i="11"/>
  <c r="L76" i="8"/>
  <c r="L75" i="8"/>
  <c r="AA7" i="8" s="1"/>
  <c r="K79" i="8"/>
  <c r="X51" i="11"/>
  <c r="T148" i="11"/>
  <c r="U35" i="11"/>
  <c r="T128" i="11"/>
  <c r="T137" i="11"/>
  <c r="T131" i="11"/>
  <c r="T140" i="11"/>
  <c r="X45" i="11"/>
  <c r="R146" i="11"/>
  <c r="S60" i="11"/>
  <c r="X57" i="11"/>
  <c r="G112" i="11" l="1"/>
  <c r="G90" i="11" s="1"/>
  <c r="G117" i="11" s="1"/>
  <c r="G119" i="11" s="1"/>
  <c r="G151" i="11" s="1"/>
  <c r="G153" i="11" s="1"/>
  <c r="G154" i="11" s="1"/>
  <c r="P87" i="8"/>
  <c r="Q112" i="11"/>
  <c r="R112" i="11" s="1"/>
  <c r="R90" i="11" s="1"/>
  <c r="R117" i="11" s="1"/>
  <c r="H112" i="11"/>
  <c r="H90" i="11" s="1"/>
  <c r="H117" i="11" s="1"/>
  <c r="H119" i="11" s="1"/>
  <c r="H151" i="11" s="1"/>
  <c r="H153" i="11" s="1"/>
  <c r="H154" i="11" s="1"/>
  <c r="K112" i="11"/>
  <c r="K90" i="11" s="1"/>
  <c r="K117" i="11" s="1"/>
  <c r="K119" i="11" s="1"/>
  <c r="K151" i="11" s="1"/>
  <c r="K153" i="11" s="1"/>
  <c r="K154" i="11" s="1"/>
  <c r="P112" i="11"/>
  <c r="O112" i="11"/>
  <c r="O90" i="11" s="1"/>
  <c r="O117" i="11" s="1"/>
  <c r="O119" i="11" s="1"/>
  <c r="O151" i="11" s="1"/>
  <c r="O153" i="11" s="1"/>
  <c r="O154" i="11" s="1"/>
  <c r="I112" i="11"/>
  <c r="I90" i="11" s="1"/>
  <c r="I117" i="11" s="1"/>
  <c r="I119" i="11" s="1"/>
  <c r="I151" i="11" s="1"/>
  <c r="I153" i="11" s="1"/>
  <c r="I154" i="11" s="1"/>
  <c r="J112" i="11"/>
  <c r="J90" i="11" s="1"/>
  <c r="J117" i="11" s="1"/>
  <c r="J119" i="11" s="1"/>
  <c r="J151" i="11" s="1"/>
  <c r="J153" i="11" s="1"/>
  <c r="J154" i="11" s="1"/>
  <c r="F112" i="11"/>
  <c r="F90" i="11" s="1"/>
  <c r="F117" i="11" s="1"/>
  <c r="F119" i="11" s="1"/>
  <c r="F151" i="11" s="1"/>
  <c r="F153" i="11" s="1"/>
  <c r="F154" i="11" s="1"/>
  <c r="M112" i="11"/>
  <c r="M90" i="11" s="1"/>
  <c r="M117" i="11" s="1"/>
  <c r="M119" i="11" s="1"/>
  <c r="M151" i="11" s="1"/>
  <c r="M153" i="11" s="1"/>
  <c r="M154" i="11" s="1"/>
  <c r="L112" i="11"/>
  <c r="L90" i="11" s="1"/>
  <c r="L117" i="11" s="1"/>
  <c r="L119" i="11" s="1"/>
  <c r="L151" i="11" s="1"/>
  <c r="L153" i="11" s="1"/>
  <c r="L154" i="11" s="1"/>
  <c r="N112" i="11"/>
  <c r="N90" i="11" s="1"/>
  <c r="N117" i="11" s="1"/>
  <c r="N119" i="11" s="1"/>
  <c r="N151" i="11" s="1"/>
  <c r="N153" i="11" s="1"/>
  <c r="N154" i="11" s="1"/>
  <c r="P90" i="11"/>
  <c r="P117" i="11" s="1"/>
  <c r="P119" i="11" s="1"/>
  <c r="P151" i="11" s="1"/>
  <c r="P153" i="11" s="1"/>
  <c r="P154" i="11" s="1"/>
  <c r="V134" i="11"/>
  <c r="W48" i="11"/>
  <c r="O74" i="8"/>
  <c r="P88" i="8" s="1"/>
  <c r="E90" i="11"/>
  <c r="E117" i="11" s="1"/>
  <c r="E119" i="11" s="1"/>
  <c r="E151" i="11" s="1"/>
  <c r="E153" i="11" s="1"/>
  <c r="E154" i="11" s="1"/>
  <c r="G77" i="8"/>
  <c r="H17" i="8" s="1"/>
  <c r="Y57" i="11"/>
  <c r="Y45" i="11"/>
  <c r="Y51" i="11"/>
  <c r="H16" i="8"/>
  <c r="L79" i="8"/>
  <c r="Z33" i="11"/>
  <c r="Y31" i="11" s="1"/>
  <c r="AA32" i="11"/>
  <c r="X54" i="11"/>
  <c r="U148" i="11"/>
  <c r="V35" i="11"/>
  <c r="U128" i="11"/>
  <c r="U137" i="11"/>
  <c r="U143" i="11"/>
  <c r="U131" i="11"/>
  <c r="U140" i="11"/>
  <c r="BC88" i="11"/>
  <c r="BC63" i="11" s="1"/>
  <c r="AY88" i="11"/>
  <c r="AY63" i="11" s="1"/>
  <c r="AU88" i="11"/>
  <c r="AU63" i="11" s="1"/>
  <c r="AQ88" i="11"/>
  <c r="AQ63" i="11" s="1"/>
  <c r="AM88" i="11"/>
  <c r="AM63" i="11" s="1"/>
  <c r="AI88" i="11"/>
  <c r="AI63" i="11" s="1"/>
  <c r="AE88" i="11"/>
  <c r="AE63" i="11" s="1"/>
  <c r="AA88" i="11"/>
  <c r="AA63" i="11" s="1"/>
  <c r="W88" i="11"/>
  <c r="W63" i="11" s="1"/>
  <c r="S88" i="11"/>
  <c r="S63" i="11" s="1"/>
  <c r="O88" i="11"/>
  <c r="O63" i="11" s="1"/>
  <c r="K88" i="11"/>
  <c r="K63" i="11" s="1"/>
  <c r="G88" i="11"/>
  <c r="G63" i="11" s="1"/>
  <c r="C88" i="11"/>
  <c r="C63" i="11" s="1"/>
  <c r="BB88" i="11"/>
  <c r="BB63" i="11" s="1"/>
  <c r="AX88" i="11"/>
  <c r="AX63" i="11" s="1"/>
  <c r="AT88" i="11"/>
  <c r="AT63" i="11" s="1"/>
  <c r="AP88" i="11"/>
  <c r="AP63" i="11" s="1"/>
  <c r="AL88" i="11"/>
  <c r="AL63" i="11" s="1"/>
  <c r="AH88" i="11"/>
  <c r="AH63" i="11" s="1"/>
  <c r="AD88" i="11"/>
  <c r="AD63" i="11" s="1"/>
  <c r="Z88" i="11"/>
  <c r="Z63" i="11" s="1"/>
  <c r="V88" i="11"/>
  <c r="V63" i="11" s="1"/>
  <c r="R88" i="11"/>
  <c r="R63" i="11" s="1"/>
  <c r="N88" i="11"/>
  <c r="N63" i="11" s="1"/>
  <c r="J88" i="11"/>
  <c r="J63" i="11" s="1"/>
  <c r="F88" i="11"/>
  <c r="F63" i="11" s="1"/>
  <c r="BA88" i="11"/>
  <c r="BA63" i="11" s="1"/>
  <c r="AW88" i="11"/>
  <c r="AW63" i="11" s="1"/>
  <c r="AS88" i="11"/>
  <c r="AS63" i="11" s="1"/>
  <c r="AO88" i="11"/>
  <c r="AO63" i="11" s="1"/>
  <c r="AK88" i="11"/>
  <c r="AK63" i="11" s="1"/>
  <c r="AG88" i="11"/>
  <c r="AG63" i="11" s="1"/>
  <c r="AC88" i="11"/>
  <c r="AC63" i="11" s="1"/>
  <c r="Y88" i="11"/>
  <c r="Y63" i="11" s="1"/>
  <c r="U88" i="11"/>
  <c r="U63" i="11" s="1"/>
  <c r="Q88" i="11"/>
  <c r="Q63" i="11" s="1"/>
  <c r="M88" i="11"/>
  <c r="M63" i="11" s="1"/>
  <c r="I88" i="11"/>
  <c r="I63" i="11" s="1"/>
  <c r="E88" i="11"/>
  <c r="E63" i="11" s="1"/>
  <c r="AZ88" i="11"/>
  <c r="AZ63" i="11" s="1"/>
  <c r="AV88" i="11"/>
  <c r="AV63" i="11" s="1"/>
  <c r="AR88" i="11"/>
  <c r="AR63" i="11" s="1"/>
  <c r="AN88" i="11"/>
  <c r="AN63" i="11" s="1"/>
  <c r="AJ88" i="11"/>
  <c r="AJ63" i="11" s="1"/>
  <c r="AF88" i="11"/>
  <c r="AF63" i="11" s="1"/>
  <c r="AB88" i="11"/>
  <c r="AB63" i="11" s="1"/>
  <c r="X88" i="11"/>
  <c r="X63" i="11" s="1"/>
  <c r="T88" i="11"/>
  <c r="T63" i="11" s="1"/>
  <c r="P88" i="11"/>
  <c r="P63" i="11" s="1"/>
  <c r="L88" i="11"/>
  <c r="L63" i="11" s="1"/>
  <c r="H88" i="11"/>
  <c r="H63" i="11" s="1"/>
  <c r="D88" i="11"/>
  <c r="D63" i="11" s="1"/>
  <c r="X184" i="11"/>
  <c r="X165" i="11"/>
  <c r="U100" i="11"/>
  <c r="X94" i="11"/>
  <c r="AA42" i="11"/>
  <c r="S146" i="11"/>
  <c r="T60" i="11"/>
  <c r="Q90" i="11" l="1"/>
  <c r="Q117" i="11" s="1"/>
  <c r="Q119" i="11" s="1"/>
  <c r="Q151" i="11" s="1"/>
  <c r="Q153" i="11" s="1"/>
  <c r="Q154" i="11" s="1"/>
  <c r="Q156" i="11" s="1"/>
  <c r="X48" i="11"/>
  <c r="W134" i="11"/>
  <c r="O79" i="8"/>
  <c r="H98" i="8" s="1"/>
  <c r="L98" i="8" s="1"/>
  <c r="L99" i="8" s="1"/>
  <c r="L100" i="8" s="1"/>
  <c r="P90" i="8"/>
  <c r="P75" i="8"/>
  <c r="AA9" i="8" s="1"/>
  <c r="M156" i="11"/>
  <c r="G156" i="11"/>
  <c r="I156" i="11"/>
  <c r="O156" i="11"/>
  <c r="J156" i="11"/>
  <c r="J159" i="11" s="1"/>
  <c r="P156" i="11"/>
  <c r="K156" i="11"/>
  <c r="AB42" i="11"/>
  <c r="V100" i="11"/>
  <c r="L163" i="11"/>
  <c r="L167" i="11"/>
  <c r="L182" i="11" s="1"/>
  <c r="AB167" i="11"/>
  <c r="AR167" i="11"/>
  <c r="I163" i="11"/>
  <c r="I167" i="11"/>
  <c r="I182" i="11" s="1"/>
  <c r="Y163" i="11"/>
  <c r="Y167" i="11"/>
  <c r="Y182" i="11" s="1"/>
  <c r="AO167" i="11"/>
  <c r="F167" i="11"/>
  <c r="F182" i="11" s="1"/>
  <c r="F163" i="11"/>
  <c r="V167" i="11"/>
  <c r="V182" i="11" s="1"/>
  <c r="V163" i="11"/>
  <c r="AL167" i="11"/>
  <c r="BB167" i="11"/>
  <c r="O163" i="11"/>
  <c r="O167" i="11"/>
  <c r="O182" i="11" s="1"/>
  <c r="AE167" i="11"/>
  <c r="AU167" i="11"/>
  <c r="AA33" i="11"/>
  <c r="Z31" i="11" s="1"/>
  <c r="AB32" i="11"/>
  <c r="Z45" i="11"/>
  <c r="Y184" i="11"/>
  <c r="Y165" i="11"/>
  <c r="S112" i="11"/>
  <c r="S90" i="11" s="1"/>
  <c r="S117" i="11" s="1"/>
  <c r="P163" i="11"/>
  <c r="P167" i="11"/>
  <c r="P182" i="11" s="1"/>
  <c r="AF167" i="11"/>
  <c r="AV167" i="11"/>
  <c r="M163" i="11"/>
  <c r="M167" i="11"/>
  <c r="M182" i="11" s="1"/>
  <c r="AC167" i="11"/>
  <c r="AS167" i="11"/>
  <c r="J167" i="11"/>
  <c r="J182" i="11" s="1"/>
  <c r="J163" i="11"/>
  <c r="Z167" i="11"/>
  <c r="Z182" i="11" s="1"/>
  <c r="Z163" i="11"/>
  <c r="AP167" i="11"/>
  <c r="C163" i="11"/>
  <c r="C167" i="11"/>
  <c r="C156" i="11"/>
  <c r="S163" i="11"/>
  <c r="S167" i="11"/>
  <c r="S182" i="11" s="1"/>
  <c r="AI167" i="11"/>
  <c r="AY167" i="11"/>
  <c r="H156" i="11"/>
  <c r="F156" i="11"/>
  <c r="D163" i="11"/>
  <c r="D167" i="11"/>
  <c r="D182" i="11" s="1"/>
  <c r="T163" i="11"/>
  <c r="T167" i="11"/>
  <c r="T182" i="11" s="1"/>
  <c r="AJ167" i="11"/>
  <c r="AZ167" i="11"/>
  <c r="Q163" i="11"/>
  <c r="Q167" i="11"/>
  <c r="Q182" i="11" s="1"/>
  <c r="AG167" i="11"/>
  <c r="AW167" i="11"/>
  <c r="N167" i="11"/>
  <c r="N182" i="11" s="1"/>
  <c r="N163" i="11"/>
  <c r="AD167" i="11"/>
  <c r="AT167" i="11"/>
  <c r="G163" i="11"/>
  <c r="G167" i="11"/>
  <c r="G182" i="11" s="1"/>
  <c r="W163" i="11"/>
  <c r="W167" i="11"/>
  <c r="W182" i="11" s="1"/>
  <c r="AM167" i="11"/>
  <c r="BC167" i="11"/>
  <c r="N156" i="11"/>
  <c r="Y54" i="11"/>
  <c r="Z51" i="11"/>
  <c r="Z57" i="11"/>
  <c r="L156" i="11"/>
  <c r="T146" i="11"/>
  <c r="U60" i="11"/>
  <c r="Y94" i="11"/>
  <c r="H163" i="11"/>
  <c r="H167" i="11"/>
  <c r="H182" i="11" s="1"/>
  <c r="X163" i="11"/>
  <c r="X167" i="11"/>
  <c r="X182" i="11" s="1"/>
  <c r="AN167" i="11"/>
  <c r="E163" i="11"/>
  <c r="E167" i="11"/>
  <c r="E182" i="11" s="1"/>
  <c r="U163" i="11"/>
  <c r="U167" i="11"/>
  <c r="U182" i="11" s="1"/>
  <c r="AK167" i="11"/>
  <c r="BA167" i="11"/>
  <c r="R167" i="11"/>
  <c r="R182" i="11" s="1"/>
  <c r="R163" i="11"/>
  <c r="AH167" i="11"/>
  <c r="AX167" i="11"/>
  <c r="K163" i="11"/>
  <c r="K167" i="11"/>
  <c r="K182" i="11" s="1"/>
  <c r="AA163" i="11"/>
  <c r="AA167" i="11"/>
  <c r="AA182" i="11" s="1"/>
  <c r="AQ167" i="11"/>
  <c r="V148" i="11"/>
  <c r="W35" i="11"/>
  <c r="V128" i="11"/>
  <c r="V137" i="11"/>
  <c r="V143" i="11"/>
  <c r="V131" i="11"/>
  <c r="V140" i="11"/>
  <c r="E156" i="11"/>
  <c r="D156" i="11"/>
  <c r="H99" i="8" l="1"/>
  <c r="H100" i="8" s="1"/>
  <c r="P79" i="8"/>
  <c r="H8" i="8"/>
  <c r="H10" i="8" s="1"/>
  <c r="H12" i="8" s="1"/>
  <c r="H13" i="8" s="1"/>
  <c r="Y48" i="11"/>
  <c r="X134" i="11"/>
  <c r="O165" i="11"/>
  <c r="G159" i="11"/>
  <c r="M159" i="11"/>
  <c r="G161" i="11"/>
  <c r="M161" i="11"/>
  <c r="I159" i="11"/>
  <c r="I161" i="11"/>
  <c r="P159" i="11"/>
  <c r="J161" i="11"/>
  <c r="K161" i="11"/>
  <c r="P161" i="11"/>
  <c r="O161" i="11"/>
  <c r="O159" i="11"/>
  <c r="K159" i="11"/>
  <c r="E161" i="11"/>
  <c r="E159" i="11"/>
  <c r="Z94" i="11"/>
  <c r="D161" i="11"/>
  <c r="D159" i="11"/>
  <c r="L161" i="11"/>
  <c r="L159" i="11"/>
  <c r="T112" i="11"/>
  <c r="T90" i="11" s="1"/>
  <c r="T117" i="11" s="1"/>
  <c r="AB182" i="11"/>
  <c r="W100" i="11"/>
  <c r="AC42" i="11"/>
  <c r="AA57" i="11"/>
  <c r="Z54" i="11"/>
  <c r="F161" i="11"/>
  <c r="F159" i="11"/>
  <c r="C175" i="11"/>
  <c r="C161" i="11"/>
  <c r="C162" i="11" s="1"/>
  <c r="C157" i="11"/>
  <c r="D157" i="11" s="1"/>
  <c r="E157" i="11" s="1"/>
  <c r="F157" i="11" s="1"/>
  <c r="G157" i="11" s="1"/>
  <c r="C159" i="11"/>
  <c r="AB33" i="11"/>
  <c r="AA31" i="11" s="1"/>
  <c r="AC32" i="11"/>
  <c r="AC182" i="11" s="1"/>
  <c r="AB163" i="11"/>
  <c r="Z184" i="11"/>
  <c r="Z165" i="11"/>
  <c r="Q161" i="11"/>
  <c r="Q159" i="11"/>
  <c r="W148" i="11"/>
  <c r="X35" i="11"/>
  <c r="W128" i="11"/>
  <c r="W137" i="11"/>
  <c r="W131" i="11"/>
  <c r="W143" i="11"/>
  <c r="W140" i="11"/>
  <c r="U146" i="11"/>
  <c r="V60" i="11"/>
  <c r="AA51" i="11"/>
  <c r="N161" i="11"/>
  <c r="N159" i="11"/>
  <c r="H161" i="11"/>
  <c r="H159" i="11"/>
  <c r="C182" i="11"/>
  <c r="C168" i="11"/>
  <c r="C173" i="11" s="1"/>
  <c r="J171" i="11"/>
  <c r="H171" i="11"/>
  <c r="I171" i="11"/>
  <c r="M171" i="11"/>
  <c r="O171" i="11"/>
  <c r="U171" i="11"/>
  <c r="W171" i="11"/>
  <c r="Y171" i="11"/>
  <c r="Q171" i="11"/>
  <c r="N171" i="11"/>
  <c r="V171" i="11"/>
  <c r="X171" i="11"/>
  <c r="L171" i="11"/>
  <c r="S171" i="11"/>
  <c r="P171" i="11"/>
  <c r="AA171" i="11"/>
  <c r="K171" i="11"/>
  <c r="Z171" i="11"/>
  <c r="T171" i="11"/>
  <c r="R171" i="11"/>
  <c r="R119" i="11"/>
  <c r="R151" i="11" s="1"/>
  <c r="R153" i="11" s="1"/>
  <c r="R154" i="11" s="1"/>
  <c r="R156" i="11" s="1"/>
  <c r="AA45" i="11"/>
  <c r="N53" i="10" l="1"/>
  <c r="N51" i="10" s="1"/>
  <c r="AH53" i="10"/>
  <c r="AH51" i="10" s="1"/>
  <c r="Q53" i="10"/>
  <c r="Q51" i="10" s="1"/>
  <c r="AZ53" i="10"/>
  <c r="AZ52" i="10" s="1"/>
  <c r="AT53" i="10"/>
  <c r="AT51" i="10" s="1"/>
  <c r="AF53" i="10"/>
  <c r="AF51" i="10" s="1"/>
  <c r="AV53" i="10"/>
  <c r="AV52" i="10" s="1"/>
  <c r="AG53" i="10"/>
  <c r="Z20" i="10" s="1"/>
  <c r="AA20" i="10" s="1"/>
  <c r="AI53" i="10"/>
  <c r="AI52" i="10" s="1"/>
  <c r="AW53" i="10"/>
  <c r="AW52" i="10" s="1"/>
  <c r="AD53" i="10"/>
  <c r="AD52" i="10" s="1"/>
  <c r="R53" i="10"/>
  <c r="R51" i="10" s="1"/>
  <c r="AM53" i="10"/>
  <c r="AM52" i="10" s="1"/>
  <c r="L53" i="10"/>
  <c r="L52" i="10" s="1"/>
  <c r="AB53" i="10"/>
  <c r="AB51" i="10" s="1"/>
  <c r="AR53" i="10"/>
  <c r="AR52" i="10" s="1"/>
  <c r="AN53" i="10"/>
  <c r="AN52" i="10" s="1"/>
  <c r="AY53" i="10"/>
  <c r="AY51" i="10" s="1"/>
  <c r="U53" i="10"/>
  <c r="U52" i="10" s="1"/>
  <c r="V53" i="10"/>
  <c r="V51" i="10" s="1"/>
  <c r="AL53" i="10"/>
  <c r="AL52" i="10" s="1"/>
  <c r="Z9" i="10" s="1"/>
  <c r="AA9" i="10" s="1"/>
  <c r="G53" i="10"/>
  <c r="G52" i="10" s="1"/>
  <c r="W53" i="10"/>
  <c r="W52" i="10" s="1"/>
  <c r="S53" i="10"/>
  <c r="S51" i="10" s="1"/>
  <c r="BA53" i="10"/>
  <c r="BA52" i="10" s="1"/>
  <c r="AJ53" i="10"/>
  <c r="AJ51" i="10" s="1"/>
  <c r="O53" i="10"/>
  <c r="O51" i="10" s="1"/>
  <c r="AC53" i="10"/>
  <c r="AC52" i="10" s="1"/>
  <c r="AE53" i="10"/>
  <c r="AE52" i="10" s="1"/>
  <c r="AS53" i="10"/>
  <c r="AS52" i="10" s="1"/>
  <c r="H53" i="10"/>
  <c r="H52" i="10" s="1"/>
  <c r="J53" i="10"/>
  <c r="J52" i="10" s="1"/>
  <c r="X53" i="10"/>
  <c r="X52" i="10" s="1"/>
  <c r="Z53" i="10"/>
  <c r="Z52" i="10" s="1"/>
  <c r="P53" i="10"/>
  <c r="P52" i="10" s="1"/>
  <c r="AX53" i="10"/>
  <c r="AX52" i="10" s="1"/>
  <c r="AK53" i="10"/>
  <c r="AK52" i="10" s="1"/>
  <c r="T53" i="10"/>
  <c r="T51" i="10" s="1"/>
  <c r="AP53" i="10"/>
  <c r="AP51" i="10" s="1"/>
  <c r="I53" i="10"/>
  <c r="I52" i="10" s="1"/>
  <c r="K53" i="10"/>
  <c r="K51" i="10" s="1"/>
  <c r="Y53" i="10"/>
  <c r="Y51" i="10" s="1"/>
  <c r="AA53" i="10"/>
  <c r="AA51" i="10" s="1"/>
  <c r="AO53" i="10"/>
  <c r="AO51" i="10" s="1"/>
  <c r="AQ53" i="10"/>
  <c r="AQ52" i="10" s="1"/>
  <c r="F53" i="10"/>
  <c r="F52" i="10" s="1"/>
  <c r="AU53" i="10"/>
  <c r="AU52" i="10" s="1"/>
  <c r="M53" i="10"/>
  <c r="M51" i="10" s="1"/>
  <c r="Y134" i="11"/>
  <c r="Z48" i="11"/>
  <c r="Q52" i="10"/>
  <c r="R165" i="11"/>
  <c r="D162" i="11"/>
  <c r="E162" i="11" s="1"/>
  <c r="F162" i="11" s="1"/>
  <c r="G162" i="11" s="1"/>
  <c r="H162" i="11" s="1"/>
  <c r="I162" i="11" s="1"/>
  <c r="J162" i="11" s="1"/>
  <c r="K162" i="11" s="1"/>
  <c r="L162" i="11" s="1"/>
  <c r="M162" i="11" s="1"/>
  <c r="N162" i="11" s="1"/>
  <c r="O162" i="11" s="1"/>
  <c r="P162" i="11" s="1"/>
  <c r="Q162" i="11" s="1"/>
  <c r="AB45" i="11"/>
  <c r="AA184" i="11"/>
  <c r="AA165" i="11"/>
  <c r="C176" i="11"/>
  <c r="C180" i="11"/>
  <c r="C181" i="11" s="1"/>
  <c r="C178" i="11"/>
  <c r="AA54" i="11"/>
  <c r="X100" i="11"/>
  <c r="S119" i="11"/>
  <c r="S151" i="11" s="1"/>
  <c r="S153" i="11" s="1"/>
  <c r="S154" i="11" s="1"/>
  <c r="S156" i="11" s="1"/>
  <c r="V146" i="11"/>
  <c r="W60" i="11"/>
  <c r="X148" i="11"/>
  <c r="Y35" i="11"/>
  <c r="X128" i="11"/>
  <c r="X143" i="11"/>
  <c r="X137" i="11"/>
  <c r="X131" i="11"/>
  <c r="X140" i="11"/>
  <c r="AC33" i="11"/>
  <c r="AB31" i="11" s="1"/>
  <c r="AD32" i="11"/>
  <c r="AC163" i="11"/>
  <c r="C160" i="11"/>
  <c r="D160" i="11" s="1"/>
  <c r="E160" i="11" s="1"/>
  <c r="F160" i="11" s="1"/>
  <c r="G160" i="11" s="1"/>
  <c r="H160" i="11" s="1"/>
  <c r="I160" i="11" s="1"/>
  <c r="J160" i="11" s="1"/>
  <c r="K160" i="11" s="1"/>
  <c r="L160" i="11" s="1"/>
  <c r="M160" i="11" s="1"/>
  <c r="N160" i="11" s="1"/>
  <c r="O160" i="11" s="1"/>
  <c r="P160" i="11" s="1"/>
  <c r="Q160" i="11" s="1"/>
  <c r="AD42" i="11"/>
  <c r="U112" i="11"/>
  <c r="U90" i="11" s="1"/>
  <c r="U117" i="11" s="1"/>
  <c r="R161" i="11"/>
  <c r="R159" i="11"/>
  <c r="D168" i="11"/>
  <c r="D173" i="11" s="1"/>
  <c r="D172" i="11"/>
  <c r="D175" i="11" s="1"/>
  <c r="H157" i="11"/>
  <c r="G164" i="11"/>
  <c r="AB57" i="11"/>
  <c r="AA94" i="11"/>
  <c r="AB51" i="11"/>
  <c r="N52" i="10" l="1"/>
  <c r="AH52" i="10"/>
  <c r="AE51" i="10"/>
  <c r="AI51" i="10"/>
  <c r="AZ51" i="10"/>
  <c r="AD51" i="10"/>
  <c r="Z8" i="10"/>
  <c r="AA8" i="10" s="1"/>
  <c r="AT52" i="10"/>
  <c r="AF52" i="10"/>
  <c r="AG52" i="10"/>
  <c r="Z21" i="10" s="1"/>
  <c r="AA21" i="10" s="1"/>
  <c r="AV51" i="10"/>
  <c r="R52" i="10"/>
  <c r="AC51" i="10"/>
  <c r="AX51" i="10"/>
  <c r="J51" i="10"/>
  <c r="V52" i="10"/>
  <c r="AR51" i="10"/>
  <c r="AG51" i="10"/>
  <c r="Z22" i="10" s="1"/>
  <c r="AA22" i="10" s="1"/>
  <c r="S52" i="10"/>
  <c r="AW51" i="10"/>
  <c r="AO52" i="10"/>
  <c r="M52" i="10"/>
  <c r="F51" i="10"/>
  <c r="AS51" i="10"/>
  <c r="AY52" i="10"/>
  <c r="Z28" i="10"/>
  <c r="AA28" i="10" s="1"/>
  <c r="BA51" i="10"/>
  <c r="AM51" i="10"/>
  <c r="I51" i="10"/>
  <c r="Z12" i="10"/>
  <c r="AA12" i="10" s="1"/>
  <c r="X51" i="10"/>
  <c r="AQ51" i="10"/>
  <c r="Z17" i="10"/>
  <c r="AA17" i="10" s="1"/>
  <c r="U51" i="10"/>
  <c r="Z24" i="10"/>
  <c r="AA24" i="10" s="1"/>
  <c r="AB52" i="10"/>
  <c r="Z51" i="10"/>
  <c r="Z16" i="10"/>
  <c r="AA16" i="10" s="1"/>
  <c r="W51" i="10"/>
  <c r="AK51" i="10"/>
  <c r="L51" i="10"/>
  <c r="AN51" i="10"/>
  <c r="G51" i="10"/>
  <c r="K52" i="10"/>
  <c r="AL51" i="10"/>
  <c r="Z10" i="10" s="1"/>
  <c r="AA10" i="10" s="1"/>
  <c r="H51" i="10"/>
  <c r="Y52" i="10"/>
  <c r="T52" i="10"/>
  <c r="AA52" i="10"/>
  <c r="AP52" i="10"/>
  <c r="AJ52" i="10"/>
  <c r="O52" i="10"/>
  <c r="P51" i="10"/>
  <c r="AU51" i="10"/>
  <c r="AA48" i="11"/>
  <c r="Z134" i="11"/>
  <c r="R160" i="11"/>
  <c r="R162" i="11"/>
  <c r="AB94" i="11"/>
  <c r="AC57" i="11"/>
  <c r="E168" i="11"/>
  <c r="E173" i="11" s="1"/>
  <c r="E172" i="11"/>
  <c r="E175" i="11" s="1"/>
  <c r="AE42" i="11"/>
  <c r="Y148" i="11"/>
  <c r="Z35" i="11"/>
  <c r="Y128" i="11"/>
  <c r="Y143" i="11"/>
  <c r="Y131" i="11"/>
  <c r="Y137" i="11"/>
  <c r="Y140" i="11"/>
  <c r="AB54" i="11"/>
  <c r="S161" i="11"/>
  <c r="S159" i="11"/>
  <c r="D176" i="11"/>
  <c r="AC45" i="11"/>
  <c r="T119" i="11"/>
  <c r="T151" i="11" s="1"/>
  <c r="T153" i="11" s="1"/>
  <c r="T154" i="11" s="1"/>
  <c r="T156" i="11" s="1"/>
  <c r="W146" i="11"/>
  <c r="X60" i="11"/>
  <c r="AC51" i="11"/>
  <c r="I157" i="11"/>
  <c r="H164" i="11"/>
  <c r="D180" i="11"/>
  <c r="D181" i="11" s="1"/>
  <c r="D178" i="11"/>
  <c r="V112" i="11"/>
  <c r="V90" i="11" s="1"/>
  <c r="V117" i="11" s="1"/>
  <c r="AD33" i="11"/>
  <c r="AC31" i="11" s="1"/>
  <c r="AE32" i="11"/>
  <c r="AD163" i="11"/>
  <c r="AD182" i="11"/>
  <c r="Y100" i="11"/>
  <c r="C179" i="11"/>
  <c r="Z30" i="10" l="1"/>
  <c r="AA30" i="10" s="1"/>
  <c r="Z26" i="10"/>
  <c r="AA26" i="10" s="1"/>
  <c r="Z25" i="10"/>
  <c r="AA25" i="10" s="1"/>
  <c r="Z29" i="10"/>
  <c r="AA29" i="10" s="1"/>
  <c r="Z13" i="10"/>
  <c r="AA13" i="10" s="1"/>
  <c r="Z14" i="10"/>
  <c r="AA14" i="10" s="1"/>
  <c r="Z18" i="10"/>
  <c r="AA18" i="10" s="1"/>
  <c r="AB48" i="11"/>
  <c r="AA134" i="11"/>
  <c r="E176" i="11"/>
  <c r="S162" i="11"/>
  <c r="AC184" i="11"/>
  <c r="AC165" i="11"/>
  <c r="Z100" i="11"/>
  <c r="E180" i="11"/>
  <c r="E181" i="11" s="1"/>
  <c r="E178" i="11"/>
  <c r="U119" i="11"/>
  <c r="U151" i="11" s="1"/>
  <c r="U153" i="11" s="1"/>
  <c r="U154" i="11" s="1"/>
  <c r="U156" i="11" s="1"/>
  <c r="AD51" i="11"/>
  <c r="T161" i="11"/>
  <c r="T159" i="11"/>
  <c r="S160" i="11"/>
  <c r="F168" i="11"/>
  <c r="F173" i="11" s="1"/>
  <c r="F172" i="11"/>
  <c r="F175" i="11" s="1"/>
  <c r="AC94" i="11"/>
  <c r="X146" i="11"/>
  <c r="Y60" i="11"/>
  <c r="D179" i="11"/>
  <c r="W112" i="11"/>
  <c r="W90" i="11" s="1"/>
  <c r="W117" i="11" s="1"/>
  <c r="J157" i="11"/>
  <c r="I164" i="11"/>
  <c r="AD45" i="11"/>
  <c r="Z148" i="11"/>
  <c r="AA35" i="11"/>
  <c r="Z128" i="11"/>
  <c r="Z143" i="11"/>
  <c r="Z137" i="11"/>
  <c r="Z131" i="11"/>
  <c r="Z140" i="11"/>
  <c r="AF42" i="11"/>
  <c r="AD57" i="11"/>
  <c r="AE33" i="11"/>
  <c r="AD31" i="11" s="1"/>
  <c r="AF32" i="11"/>
  <c r="AE163" i="11"/>
  <c r="AE182" i="11"/>
  <c r="AC54" i="11"/>
  <c r="AB134" i="11" l="1"/>
  <c r="AC48" i="11"/>
  <c r="T162" i="11"/>
  <c r="E179" i="11"/>
  <c r="T160" i="11"/>
  <c r="AD184" i="11"/>
  <c r="AD165" i="11"/>
  <c r="F180" i="11"/>
  <c r="F181" i="11" s="1"/>
  <c r="F178" i="11"/>
  <c r="AE57" i="11"/>
  <c r="X112" i="11"/>
  <c r="X90" i="11" s="1"/>
  <c r="X117" i="11" s="1"/>
  <c r="G168" i="11"/>
  <c r="G173" i="11" s="1"/>
  <c r="G172" i="11"/>
  <c r="G175" i="11" s="1"/>
  <c r="AE51" i="11"/>
  <c r="U161" i="11"/>
  <c r="U159" i="11"/>
  <c r="F176" i="11"/>
  <c r="AF33" i="11"/>
  <c r="AE31" i="11" s="1"/>
  <c r="AG32" i="11"/>
  <c r="AF163" i="11"/>
  <c r="AF182" i="11"/>
  <c r="AA148" i="11"/>
  <c r="AB35" i="11"/>
  <c r="AA128" i="11"/>
  <c r="AA137" i="11"/>
  <c r="AA131" i="11"/>
  <c r="AA143" i="11"/>
  <c r="AA140" i="11"/>
  <c r="AD54" i="11"/>
  <c r="AG42" i="11"/>
  <c r="K157" i="11"/>
  <c r="J164" i="11"/>
  <c r="Y146" i="11"/>
  <c r="Z60" i="11"/>
  <c r="AE45" i="11"/>
  <c r="V119" i="11"/>
  <c r="V151" i="11" s="1"/>
  <c r="V153" i="11" s="1"/>
  <c r="V154" i="11" s="1"/>
  <c r="V156" i="11" s="1"/>
  <c r="AD94" i="11"/>
  <c r="AA100" i="11"/>
  <c r="AC134" i="11" l="1"/>
  <c r="AD48" i="11"/>
  <c r="U160" i="11"/>
  <c r="U162" i="11"/>
  <c r="F179" i="11"/>
  <c r="G176" i="11"/>
  <c r="G183" i="11" s="1"/>
  <c r="AE94" i="11"/>
  <c r="AF45" i="11"/>
  <c r="L157" i="11"/>
  <c r="K164" i="11"/>
  <c r="AE54" i="11"/>
  <c r="AG33" i="11"/>
  <c r="AF31" i="11" s="1"/>
  <c r="AH32" i="11"/>
  <c r="AG163" i="11"/>
  <c r="AG182" i="11"/>
  <c r="AF51" i="11"/>
  <c r="AE184" i="11"/>
  <c r="AE165" i="11"/>
  <c r="W119" i="11"/>
  <c r="W151" i="11" s="1"/>
  <c r="W153" i="11" s="1"/>
  <c r="W154" i="11" s="1"/>
  <c r="W156" i="11" s="1"/>
  <c r="AH42" i="11"/>
  <c r="G180" i="11"/>
  <c r="G181" i="11" s="1"/>
  <c r="G178" i="11"/>
  <c r="Y112" i="11"/>
  <c r="Y90" i="11" s="1"/>
  <c r="Y117" i="11" s="1"/>
  <c r="AB100" i="11"/>
  <c r="Z146" i="11"/>
  <c r="AA60" i="11"/>
  <c r="V161" i="11"/>
  <c r="V159" i="11"/>
  <c r="AB148" i="11"/>
  <c r="AC35" i="11"/>
  <c r="AB128" i="11"/>
  <c r="AB143" i="11"/>
  <c r="AB131" i="11"/>
  <c r="AB137" i="11"/>
  <c r="AB140" i="11"/>
  <c r="H168" i="11"/>
  <c r="H173" i="11" s="1"/>
  <c r="H172" i="11"/>
  <c r="H175" i="11" s="1"/>
  <c r="AF57" i="11"/>
  <c r="AD134" i="11" l="1"/>
  <c r="AE48" i="11"/>
  <c r="V162" i="11"/>
  <c r="W165" i="11"/>
  <c r="I168" i="11"/>
  <c r="I173" i="11" s="1"/>
  <c r="I172" i="11"/>
  <c r="I175" i="11" s="1"/>
  <c r="AG57" i="11"/>
  <c r="Z112" i="11"/>
  <c r="Z90" i="11" s="1"/>
  <c r="Z117" i="11" s="1"/>
  <c r="AF94" i="11"/>
  <c r="AC148" i="11"/>
  <c r="AD35" i="11"/>
  <c r="AC128" i="11"/>
  <c r="AC137" i="11"/>
  <c r="AC131" i="11"/>
  <c r="AC143" i="11"/>
  <c r="AC140" i="11"/>
  <c r="AH33" i="11"/>
  <c r="AG31" i="11" s="1"/>
  <c r="AI32" i="11"/>
  <c r="AH163" i="11"/>
  <c r="AH182" i="11"/>
  <c r="M157" i="11"/>
  <c r="L164" i="11"/>
  <c r="H180" i="11"/>
  <c r="H181" i="11" s="1"/>
  <c r="H178" i="11"/>
  <c r="AC100" i="11"/>
  <c r="W161" i="11"/>
  <c r="W159" i="11"/>
  <c r="AF184" i="11"/>
  <c r="AF165" i="11"/>
  <c r="G179" i="11"/>
  <c r="H176" i="11"/>
  <c r="AF54" i="11"/>
  <c r="AG45" i="11"/>
  <c r="AA146" i="11"/>
  <c r="AB60" i="11"/>
  <c r="X119" i="11"/>
  <c r="X151" i="11" s="1"/>
  <c r="X153" i="11" s="1"/>
  <c r="X154" i="11" s="1"/>
  <c r="X156" i="11" s="1"/>
  <c r="AI42" i="11"/>
  <c r="AG51" i="11"/>
  <c r="V160" i="11"/>
  <c r="AF48" i="11" l="1"/>
  <c r="AE134" i="11"/>
  <c r="W162" i="11"/>
  <c r="H179" i="11"/>
  <c r="W160" i="11"/>
  <c r="AD100" i="11"/>
  <c r="AI33" i="11"/>
  <c r="AH31" i="11" s="1"/>
  <c r="AJ32" i="11"/>
  <c r="AI163" i="11"/>
  <c r="AI182" i="11"/>
  <c r="Y119" i="11"/>
  <c r="Y151" i="11" s="1"/>
  <c r="Y153" i="11" s="1"/>
  <c r="Y154" i="11" s="1"/>
  <c r="Y156" i="11" s="1"/>
  <c r="I180" i="11"/>
  <c r="I181" i="11" s="1"/>
  <c r="I178" i="11"/>
  <c r="AB146" i="11"/>
  <c r="AC60" i="11"/>
  <c r="AH45" i="11"/>
  <c r="N157" i="11"/>
  <c r="M164" i="11"/>
  <c r="AA112" i="11"/>
  <c r="AA90" i="11" s="1"/>
  <c r="AA117" i="11" s="1"/>
  <c r="J168" i="11"/>
  <c r="J173" i="11" s="1"/>
  <c r="J172" i="11"/>
  <c r="J175" i="11" s="1"/>
  <c r="AJ42" i="11"/>
  <c r="AH51" i="11"/>
  <c r="I176" i="11"/>
  <c r="H183" i="11"/>
  <c r="AG94" i="11"/>
  <c r="AH57" i="11"/>
  <c r="X161" i="11"/>
  <c r="X159" i="11"/>
  <c r="AG54" i="11"/>
  <c r="AD148" i="11"/>
  <c r="AE35" i="11"/>
  <c r="AD128" i="11"/>
  <c r="AD137" i="11"/>
  <c r="AD131" i="11"/>
  <c r="AD143" i="11"/>
  <c r="AD140" i="11"/>
  <c r="AF134" i="11" l="1"/>
  <c r="AG48" i="11"/>
  <c r="X162" i="11"/>
  <c r="I179" i="11"/>
  <c r="Z119" i="11"/>
  <c r="Z151" i="11" s="1"/>
  <c r="Z153" i="11" s="1"/>
  <c r="Z154" i="11" s="1"/>
  <c r="Z156" i="11" s="1"/>
  <c r="O157" i="11"/>
  <c r="N164" i="11"/>
  <c r="Y161" i="11"/>
  <c r="Y159" i="11"/>
  <c r="AJ33" i="11"/>
  <c r="AI31" i="11" s="1"/>
  <c r="AK32" i="11"/>
  <c r="AJ163" i="11"/>
  <c r="AJ182" i="11"/>
  <c r="AK42" i="11"/>
  <c r="AH54" i="11"/>
  <c r="AH94" i="11"/>
  <c r="AB112" i="11"/>
  <c r="AB90" i="11" s="1"/>
  <c r="AB117" i="11" s="1"/>
  <c r="AC146" i="11"/>
  <c r="AD60" i="11"/>
  <c r="AE100" i="11"/>
  <c r="AI51" i="11"/>
  <c r="AE148" i="11"/>
  <c r="AF35" i="11"/>
  <c r="AE128" i="11"/>
  <c r="AE131" i="11"/>
  <c r="AE143" i="11"/>
  <c r="AE137" i="11"/>
  <c r="AE140" i="11"/>
  <c r="AI57" i="11"/>
  <c r="J180" i="11"/>
  <c r="J181" i="11" s="1"/>
  <c r="J178" i="11"/>
  <c r="AH184" i="11"/>
  <c r="AH165" i="11"/>
  <c r="J176" i="11"/>
  <c r="I183" i="11"/>
  <c r="K168" i="11"/>
  <c r="K173" i="11" s="1"/>
  <c r="K172" i="11"/>
  <c r="K175" i="11" s="1"/>
  <c r="AI45" i="11"/>
  <c r="X160" i="11"/>
  <c r="AG134" i="11" l="1"/>
  <c r="AH48" i="11"/>
  <c r="Y162" i="11"/>
  <c r="J179" i="11"/>
  <c r="Y160" i="11"/>
  <c r="AJ51" i="11"/>
  <c r="AI94" i="11"/>
  <c r="AK33" i="11"/>
  <c r="AJ31" i="11" s="1"/>
  <c r="AL32" i="11"/>
  <c r="AK163" i="11"/>
  <c r="AK182" i="11"/>
  <c r="K180" i="11"/>
  <c r="K181" i="11" s="1"/>
  <c r="K178" i="11"/>
  <c r="AA119" i="11"/>
  <c r="AA151" i="11" s="1"/>
  <c r="AA153" i="11" s="1"/>
  <c r="AA154" i="11" s="1"/>
  <c r="AA156" i="11" s="1"/>
  <c r="AI54" i="11"/>
  <c r="Z161" i="11"/>
  <c r="Z159" i="11"/>
  <c r="L168" i="11"/>
  <c r="L173" i="11" s="1"/>
  <c r="L172" i="11"/>
  <c r="L175" i="11" s="1"/>
  <c r="AF148" i="11"/>
  <c r="AG35" i="11"/>
  <c r="AF128" i="11"/>
  <c r="AF143" i="11"/>
  <c r="AF137" i="11"/>
  <c r="AF131" i="11"/>
  <c r="AF140" i="11"/>
  <c r="AC112" i="11"/>
  <c r="AC90" i="11" s="1"/>
  <c r="AC117" i="11" s="1"/>
  <c r="P157" i="11"/>
  <c r="O164" i="11"/>
  <c r="K176" i="11"/>
  <c r="J183" i="11"/>
  <c r="AD146" i="11"/>
  <c r="AE60" i="11"/>
  <c r="AJ45" i="11"/>
  <c r="AJ57" i="11"/>
  <c r="AF100" i="11"/>
  <c r="AL42" i="11"/>
  <c r="AI48" i="11" l="1"/>
  <c r="AH134" i="11"/>
  <c r="Z162" i="11"/>
  <c r="K179" i="11"/>
  <c r="AK57" i="11"/>
  <c r="AE146" i="11"/>
  <c r="AF60" i="11"/>
  <c r="M168" i="11"/>
  <c r="M173" i="11" s="1"/>
  <c r="M172" i="11"/>
  <c r="M175" i="11" s="1"/>
  <c r="AM42" i="11"/>
  <c r="Q157" i="11"/>
  <c r="P164" i="11"/>
  <c r="AG148" i="11"/>
  <c r="AH35" i="11"/>
  <c r="AG128" i="11"/>
  <c r="AG143" i="11"/>
  <c r="AG137" i="11"/>
  <c r="AG131" i="11"/>
  <c r="AG140" i="11"/>
  <c r="Z160" i="11"/>
  <c r="AJ184" i="11"/>
  <c r="AJ165" i="11"/>
  <c r="AG100" i="11"/>
  <c r="AK45" i="11"/>
  <c r="AJ54" i="11"/>
  <c r="AA161" i="11"/>
  <c r="AA159" i="11"/>
  <c r="AB119" i="11"/>
  <c r="AB151" i="11" s="1"/>
  <c r="AB153" i="11" s="1"/>
  <c r="AB154" i="11" s="1"/>
  <c r="AB156" i="11" s="1"/>
  <c r="AB165" i="11" s="1"/>
  <c r="L176" i="11"/>
  <c r="K183" i="11"/>
  <c r="AD112" i="11"/>
  <c r="AD90" i="11" s="1"/>
  <c r="AD117" i="11" s="1"/>
  <c r="L180" i="11"/>
  <c r="L181" i="11" s="1"/>
  <c r="L178" i="11"/>
  <c r="AL33" i="11"/>
  <c r="AM32" i="11"/>
  <c r="AL163" i="11"/>
  <c r="AL182" i="11"/>
  <c r="AJ94" i="11"/>
  <c r="AK51" i="11"/>
  <c r="AI134" i="11" l="1"/>
  <c r="AJ48" i="11"/>
  <c r="AA162" i="11"/>
  <c r="L179" i="11"/>
  <c r="AK94" i="11"/>
  <c r="M176" i="11"/>
  <c r="L183" i="11"/>
  <c r="AL45" i="11"/>
  <c r="AH148" i="11"/>
  <c r="AI35" i="11"/>
  <c r="AH128" i="11"/>
  <c r="AH137" i="11"/>
  <c r="AH131" i="11"/>
  <c r="AH143" i="11"/>
  <c r="AH140" i="11"/>
  <c r="AN42" i="11"/>
  <c r="N168" i="11"/>
  <c r="N173" i="11" s="1"/>
  <c r="N172" i="11"/>
  <c r="N175" i="11" s="1"/>
  <c r="AC119" i="11"/>
  <c r="AC151" i="11" s="1"/>
  <c r="AC153" i="11" s="1"/>
  <c r="AC154" i="11" s="1"/>
  <c r="AC156" i="11" s="1"/>
  <c r="AB175" i="11"/>
  <c r="AB161" i="11"/>
  <c r="AB159" i="11"/>
  <c r="AK54" i="11"/>
  <c r="AF146" i="11"/>
  <c r="AG60" i="11"/>
  <c r="AL51" i="11"/>
  <c r="AE112" i="11"/>
  <c r="AE90" i="11" s="1"/>
  <c r="AE117" i="11" s="1"/>
  <c r="AA160" i="11"/>
  <c r="AK31" i="11"/>
  <c r="AM33" i="11"/>
  <c r="AN32" i="11"/>
  <c r="AM163" i="11"/>
  <c r="AM182" i="11"/>
  <c r="AH100" i="11"/>
  <c r="R157" i="11"/>
  <c r="Q164" i="11"/>
  <c r="M180" i="11"/>
  <c r="M181" i="11" s="1"/>
  <c r="M178" i="11"/>
  <c r="AL57" i="11"/>
  <c r="AK48" i="11" l="1"/>
  <c r="AJ134" i="11"/>
  <c r="AB162" i="11"/>
  <c r="M179" i="11"/>
  <c r="AB160" i="11"/>
  <c r="AI100" i="11"/>
  <c r="AN33" i="11"/>
  <c r="AM31" i="11" s="1"/>
  <c r="AO32" i="11"/>
  <c r="AN163" i="11"/>
  <c r="AN182" i="11"/>
  <c r="AD119" i="11"/>
  <c r="AD151" i="11" s="1"/>
  <c r="AD153" i="11" s="1"/>
  <c r="AD154" i="11" s="1"/>
  <c r="AD156" i="11" s="1"/>
  <c r="AG146" i="11"/>
  <c r="AH60" i="11"/>
  <c r="O168" i="11"/>
  <c r="O173" i="11" s="1"/>
  <c r="O172" i="11"/>
  <c r="O175" i="11" s="1"/>
  <c r="O184" i="11" s="1"/>
  <c r="AI148" i="11"/>
  <c r="AJ35" i="11"/>
  <c r="AI128" i="11"/>
  <c r="AI131" i="11"/>
  <c r="AI143" i="11"/>
  <c r="AI137" i="11"/>
  <c r="AI140" i="11"/>
  <c r="AL94" i="11"/>
  <c r="AO42" i="11"/>
  <c r="N176" i="11"/>
  <c r="M183" i="11"/>
  <c r="AM57" i="11"/>
  <c r="AF112" i="11"/>
  <c r="AF90" i="11" s="1"/>
  <c r="AF117" i="11" s="1"/>
  <c r="S157" i="11"/>
  <c r="R164" i="11"/>
  <c r="AK184" i="11"/>
  <c r="AK165" i="11"/>
  <c r="AM51" i="11"/>
  <c r="AC175" i="11"/>
  <c r="AC161" i="11"/>
  <c r="AC159" i="11"/>
  <c r="AM45" i="11"/>
  <c r="AL31" i="11"/>
  <c r="AL54" i="11"/>
  <c r="AB180" i="11"/>
  <c r="AB178" i="11"/>
  <c r="N180" i="11"/>
  <c r="N181" i="11" s="1"/>
  <c r="N178" i="11"/>
  <c r="AK134" i="11" l="1"/>
  <c r="AL48" i="11"/>
  <c r="AC162" i="11"/>
  <c r="N179" i="11"/>
  <c r="AC160" i="11"/>
  <c r="T157" i="11"/>
  <c r="S164" i="11"/>
  <c r="AN57" i="11"/>
  <c r="AM94" i="11"/>
  <c r="O180" i="11"/>
  <c r="O181" i="11" s="1"/>
  <c r="O178" i="11"/>
  <c r="AJ100" i="11"/>
  <c r="AE119" i="11"/>
  <c r="AE151" i="11" s="1"/>
  <c r="AE153" i="11" s="1"/>
  <c r="AE154" i="11" s="1"/>
  <c r="AE156" i="11" s="1"/>
  <c r="AP42" i="11"/>
  <c r="P168" i="11"/>
  <c r="P173" i="11" s="1"/>
  <c r="P172" i="11"/>
  <c r="P175" i="11" s="1"/>
  <c r="AM54" i="11"/>
  <c r="AC180" i="11"/>
  <c r="AC178" i="11"/>
  <c r="AG112" i="11"/>
  <c r="AG90" i="11" s="1"/>
  <c r="AG117" i="11" s="1"/>
  <c r="AJ148" i="11"/>
  <c r="AK35" i="11"/>
  <c r="AJ128" i="11"/>
  <c r="AJ137" i="11"/>
  <c r="AJ131" i="11"/>
  <c r="AJ143" i="11"/>
  <c r="AJ140" i="11"/>
  <c r="AH146" i="11"/>
  <c r="AI60" i="11"/>
  <c r="AD175" i="11"/>
  <c r="AD161" i="11"/>
  <c r="AD159" i="11"/>
  <c r="AN45" i="11"/>
  <c r="AN51" i="11"/>
  <c r="AM184" i="11"/>
  <c r="AM165" i="11"/>
  <c r="O176" i="11"/>
  <c r="N183" i="11"/>
  <c r="AO33" i="11"/>
  <c r="AP32" i="11"/>
  <c r="AO163" i="11"/>
  <c r="AO182" i="11"/>
  <c r="AL134" i="11" l="1"/>
  <c r="AM48" i="11"/>
  <c r="AD162" i="11"/>
  <c r="O179" i="11"/>
  <c r="AO45" i="11"/>
  <c r="AF119" i="11"/>
  <c r="AF151" i="11" s="1"/>
  <c r="AF153" i="11" s="1"/>
  <c r="AF154" i="11" s="1"/>
  <c r="AF156" i="11" s="1"/>
  <c r="AN54" i="11"/>
  <c r="AQ42" i="11"/>
  <c r="AE175" i="11"/>
  <c r="AE161" i="11"/>
  <c r="AE159" i="11"/>
  <c r="AO57" i="11"/>
  <c r="AD160" i="11"/>
  <c r="AH112" i="11"/>
  <c r="AH90" i="11" s="1"/>
  <c r="AH117" i="11" s="1"/>
  <c r="AO51" i="11"/>
  <c r="AD180" i="11"/>
  <c r="AD178" i="11"/>
  <c r="AK148" i="11"/>
  <c r="AL35" i="11"/>
  <c r="AK128" i="11"/>
  <c r="AK131" i="11"/>
  <c r="AK137" i="11"/>
  <c r="AK143" i="11"/>
  <c r="AK140" i="11"/>
  <c r="P180" i="11"/>
  <c r="P181" i="11" s="1"/>
  <c r="P178" i="11"/>
  <c r="AK100" i="11"/>
  <c r="AN94" i="11"/>
  <c r="AP33" i="11"/>
  <c r="AO31" i="11" s="1"/>
  <c r="AQ32" i="11"/>
  <c r="AP163" i="11"/>
  <c r="AP182" i="11"/>
  <c r="P176" i="11"/>
  <c r="O183" i="11"/>
  <c r="AI146" i="11"/>
  <c r="AJ60" i="11"/>
  <c r="Q168" i="11"/>
  <c r="Q173" i="11" s="1"/>
  <c r="Q172" i="11"/>
  <c r="Q175" i="11" s="1"/>
  <c r="AN31" i="11"/>
  <c r="U157" i="11"/>
  <c r="T164" i="11"/>
  <c r="AM134" i="11" l="1"/>
  <c r="AN48" i="11"/>
  <c r="AE162" i="11"/>
  <c r="P179" i="11"/>
  <c r="AE160" i="11"/>
  <c r="AO184" i="11"/>
  <c r="AO165" i="11"/>
  <c r="V157" i="11"/>
  <c r="U164" i="11"/>
  <c r="AI112" i="11"/>
  <c r="AI90" i="11" s="1"/>
  <c r="AI117" i="11" s="1"/>
  <c r="R168" i="11"/>
  <c r="R173" i="11" s="1"/>
  <c r="R172" i="11"/>
  <c r="R175" i="11" s="1"/>
  <c r="R184" i="11" s="1"/>
  <c r="AL100" i="11"/>
  <c r="AL148" i="11"/>
  <c r="AM35" i="11"/>
  <c r="AL128" i="11"/>
  <c r="AL131" i="11"/>
  <c r="AL143" i="11"/>
  <c r="AL137" i="11"/>
  <c r="AL140" i="11"/>
  <c r="AP51" i="11"/>
  <c r="AO54" i="11"/>
  <c r="AF175" i="11"/>
  <c r="AF161" i="11"/>
  <c r="AF159" i="11"/>
  <c r="AN184" i="11"/>
  <c r="AN165" i="11"/>
  <c r="Q176" i="11"/>
  <c r="P183" i="11"/>
  <c r="AJ146" i="11"/>
  <c r="AK60" i="11"/>
  <c r="AQ33" i="11"/>
  <c r="AP31" i="11" s="1"/>
  <c r="AR32" i="11"/>
  <c r="AQ163" i="11"/>
  <c r="AQ182" i="11"/>
  <c r="AP57" i="11"/>
  <c r="AE180" i="11"/>
  <c r="AE178" i="11"/>
  <c r="AP45" i="11"/>
  <c r="Q180" i="11"/>
  <c r="Q181" i="11" s="1"/>
  <c r="Q178" i="11"/>
  <c r="AO94" i="11"/>
  <c r="AG119" i="11"/>
  <c r="AG151" i="11" s="1"/>
  <c r="AG153" i="11" s="1"/>
  <c r="AG154" i="11" s="1"/>
  <c r="AG156" i="11" s="1"/>
  <c r="AR42" i="11"/>
  <c r="AN134" i="11" l="1"/>
  <c r="AO48" i="11"/>
  <c r="Q179" i="11"/>
  <c r="AF162" i="11"/>
  <c r="AG165" i="11"/>
  <c r="AM100" i="11"/>
  <c r="AJ112" i="11"/>
  <c r="AJ90" i="11" s="1"/>
  <c r="AJ117" i="11" s="1"/>
  <c r="AS42" i="11"/>
  <c r="R176" i="11"/>
  <c r="Q183" i="11"/>
  <c r="AF160" i="11"/>
  <c r="AM148" i="11"/>
  <c r="AN35" i="11"/>
  <c r="AM128" i="11"/>
  <c r="AM137" i="11"/>
  <c r="AM143" i="11"/>
  <c r="AM131" i="11"/>
  <c r="AM140" i="11"/>
  <c r="R180" i="11"/>
  <c r="R181" i="11" s="1"/>
  <c r="R178" i="11"/>
  <c r="AP184" i="11"/>
  <c r="AP165" i="11"/>
  <c r="AR33" i="11"/>
  <c r="AQ31" i="11" s="1"/>
  <c r="AS32" i="11"/>
  <c r="AR163" i="11"/>
  <c r="AR182" i="11"/>
  <c r="AK146" i="11"/>
  <c r="AL60" i="11"/>
  <c r="AF180" i="11"/>
  <c r="AF178" i="11"/>
  <c r="AQ51" i="11"/>
  <c r="S168" i="11"/>
  <c r="S173" i="11" s="1"/>
  <c r="S172" i="11"/>
  <c r="S175" i="11" s="1"/>
  <c r="W157" i="11"/>
  <c r="V164" i="11"/>
  <c r="AG175" i="11"/>
  <c r="AG161" i="11"/>
  <c r="AG159" i="11"/>
  <c r="AP94" i="11"/>
  <c r="AQ45" i="11"/>
  <c r="AQ57" i="11"/>
  <c r="AP54" i="11"/>
  <c r="AH119" i="11"/>
  <c r="AH151" i="11" s="1"/>
  <c r="AH153" i="11" s="1"/>
  <c r="AH154" i="11" s="1"/>
  <c r="AH156" i="11" s="1"/>
  <c r="AP48" i="11" l="1"/>
  <c r="AO134" i="11"/>
  <c r="R179" i="11"/>
  <c r="AG162" i="11"/>
  <c r="AR57" i="11"/>
  <c r="AG180" i="11"/>
  <c r="AG178" i="11"/>
  <c r="T168" i="11"/>
  <c r="T173" i="11" s="1"/>
  <c r="T172" i="11"/>
  <c r="T175" i="11" s="1"/>
  <c r="AK112" i="11"/>
  <c r="AK90" i="11" s="1"/>
  <c r="AK117" i="11" s="1"/>
  <c r="AH175" i="11"/>
  <c r="AH161" i="11"/>
  <c r="AH159" i="11"/>
  <c r="AQ94" i="11"/>
  <c r="AG160" i="11"/>
  <c r="AT42" i="11"/>
  <c r="AQ54" i="11"/>
  <c r="AR45" i="11"/>
  <c r="X157" i="11"/>
  <c r="W164" i="11"/>
  <c r="AR51" i="11"/>
  <c r="AL146" i="11"/>
  <c r="AM60" i="11"/>
  <c r="AS33" i="11"/>
  <c r="AR31" i="11" s="1"/>
  <c r="AT32" i="11"/>
  <c r="AS163" i="11"/>
  <c r="AS182" i="11"/>
  <c r="AN100" i="11"/>
  <c r="S180" i="11"/>
  <c r="S181" i="11" s="1"/>
  <c r="S178" i="11"/>
  <c r="AN148" i="11"/>
  <c r="AO35" i="11"/>
  <c r="AN128" i="11"/>
  <c r="AN131" i="11"/>
  <c r="AN143" i="11"/>
  <c r="AN137" i="11"/>
  <c r="AN140" i="11"/>
  <c r="S176" i="11"/>
  <c r="R183" i="11"/>
  <c r="AI119" i="11"/>
  <c r="AI151" i="11" s="1"/>
  <c r="AI153" i="11" s="1"/>
  <c r="AI154" i="11" s="1"/>
  <c r="AI156" i="11" s="1"/>
  <c r="AQ48" i="11" l="1"/>
  <c r="AP134" i="11"/>
  <c r="S179" i="11"/>
  <c r="AI165" i="11"/>
  <c r="AH162" i="11"/>
  <c r="AH160" i="11"/>
  <c r="AR184" i="11"/>
  <c r="AR165" i="11"/>
  <c r="AT33" i="11"/>
  <c r="AU32" i="11"/>
  <c r="AT163" i="11"/>
  <c r="AT182" i="11"/>
  <c r="AM146" i="11"/>
  <c r="AN60" i="11"/>
  <c r="AR54" i="11"/>
  <c r="T176" i="11"/>
  <c r="S183" i="11"/>
  <c r="AO100" i="11"/>
  <c r="Y157" i="11"/>
  <c r="X164" i="11"/>
  <c r="AR94" i="11"/>
  <c r="AH180" i="11"/>
  <c r="AH178" i="11"/>
  <c r="T180" i="11"/>
  <c r="T181" i="11" s="1"/>
  <c r="T178" i="11"/>
  <c r="AS57" i="11"/>
  <c r="AS51" i="11"/>
  <c r="AS45" i="11"/>
  <c r="AU42" i="11"/>
  <c r="AJ119" i="11"/>
  <c r="AJ151" i="11" s="1"/>
  <c r="AJ153" i="11" s="1"/>
  <c r="AJ154" i="11" s="1"/>
  <c r="AJ156" i="11" s="1"/>
  <c r="U168" i="11"/>
  <c r="U173" i="11" s="1"/>
  <c r="U172" i="11"/>
  <c r="U175" i="11" s="1"/>
  <c r="AI175" i="11"/>
  <c r="AI161" i="11"/>
  <c r="AI159" i="11"/>
  <c r="AO148" i="11"/>
  <c r="AP35" i="11"/>
  <c r="AO128" i="11"/>
  <c r="AO137" i="11"/>
  <c r="AO131" i="11"/>
  <c r="AO143" i="11"/>
  <c r="AO140" i="11"/>
  <c r="AL112" i="11"/>
  <c r="AL90" i="11" s="1"/>
  <c r="AL117" i="11" s="1"/>
  <c r="AQ134" i="11" l="1"/>
  <c r="AR48" i="11"/>
  <c r="T179" i="11"/>
  <c r="AI162" i="11"/>
  <c r="AI160" i="11"/>
  <c r="AS94" i="11"/>
  <c r="AK119" i="11"/>
  <c r="AK151" i="11" s="1"/>
  <c r="AK153" i="11" s="1"/>
  <c r="AK154" i="11" s="1"/>
  <c r="AK156" i="11" s="1"/>
  <c r="AP148" i="11"/>
  <c r="AQ35" i="11"/>
  <c r="AP128" i="11"/>
  <c r="AP137" i="11"/>
  <c r="AP131" i="11"/>
  <c r="AP143" i="11"/>
  <c r="AP140" i="11"/>
  <c r="AI180" i="11"/>
  <c r="AI178" i="11"/>
  <c r="AT45" i="11"/>
  <c r="AT57" i="11"/>
  <c r="AP100" i="11"/>
  <c r="AS54" i="11"/>
  <c r="AM112" i="11"/>
  <c r="AM90" i="11" s="1"/>
  <c r="AM117" i="11" s="1"/>
  <c r="AJ175" i="11"/>
  <c r="AJ161" i="11"/>
  <c r="AJ159" i="11"/>
  <c r="Z157" i="11"/>
  <c r="Y164" i="11"/>
  <c r="U180" i="11"/>
  <c r="U181" i="11" s="1"/>
  <c r="U178" i="11"/>
  <c r="V168" i="11"/>
  <c r="V173" i="11" s="1"/>
  <c r="V172" i="11"/>
  <c r="V175" i="11" s="1"/>
  <c r="AV42" i="11"/>
  <c r="AT51" i="11"/>
  <c r="AS31" i="11"/>
  <c r="U176" i="11"/>
  <c r="T183" i="11"/>
  <c r="AN146" i="11"/>
  <c r="AO60" i="11"/>
  <c r="AU33" i="11"/>
  <c r="AV32" i="11"/>
  <c r="AU163" i="11"/>
  <c r="AU182" i="11"/>
  <c r="AS48" i="11" l="1"/>
  <c r="AR134" i="11"/>
  <c r="U179" i="11"/>
  <c r="AJ162" i="11"/>
  <c r="AV33" i="11"/>
  <c r="AU31" i="11" s="1"/>
  <c r="AW32" i="11"/>
  <c r="AV163" i="11"/>
  <c r="AV182" i="11"/>
  <c r="AN112" i="11"/>
  <c r="AN90" i="11" s="1"/>
  <c r="AN117" i="11" s="1"/>
  <c r="AQ100" i="11"/>
  <c r="AQ148" i="11"/>
  <c r="AR35" i="11"/>
  <c r="AQ128" i="11"/>
  <c r="AQ131" i="11"/>
  <c r="AQ137" i="11"/>
  <c r="AQ143" i="11"/>
  <c r="AQ140" i="11"/>
  <c r="AK175" i="11"/>
  <c r="AK161" i="11"/>
  <c r="AK159" i="11"/>
  <c r="AT94" i="11"/>
  <c r="AS184" i="11"/>
  <c r="AS165" i="11"/>
  <c r="AU51" i="11"/>
  <c r="V180" i="11"/>
  <c r="V181" i="11" s="1"/>
  <c r="V178" i="11"/>
  <c r="AJ180" i="11"/>
  <c r="AJ178" i="11"/>
  <c r="AT54" i="11"/>
  <c r="AU57" i="11"/>
  <c r="AT31" i="11"/>
  <c r="AO146" i="11"/>
  <c r="AP60" i="11"/>
  <c r="W168" i="11"/>
  <c r="W173" i="11" s="1"/>
  <c r="W172" i="11"/>
  <c r="W175" i="11" s="1"/>
  <c r="AA157" i="11"/>
  <c r="Z164" i="11"/>
  <c r="AJ160" i="11"/>
  <c r="V176" i="11"/>
  <c r="U183" i="11"/>
  <c r="AW42" i="11"/>
  <c r="AL119" i="11"/>
  <c r="AL151" i="11" s="1"/>
  <c r="AL153" i="11" s="1"/>
  <c r="AL154" i="11" s="1"/>
  <c r="AL156" i="11" s="1"/>
  <c r="AU45" i="11"/>
  <c r="AT48" i="11" l="1"/>
  <c r="AS134" i="11"/>
  <c r="V179" i="11"/>
  <c r="AK162" i="11"/>
  <c r="AL165" i="11"/>
  <c r="AK160" i="11"/>
  <c r="W180" i="11"/>
  <c r="W181" i="11" s="1"/>
  <c r="W178" i="11"/>
  <c r="W184" i="11"/>
  <c r="AT184" i="11"/>
  <c r="AT165" i="11"/>
  <c r="AU54" i="11"/>
  <c r="AU184" i="11"/>
  <c r="AU165" i="11"/>
  <c r="AU94" i="11"/>
  <c r="AR100" i="11"/>
  <c r="AR148" i="11"/>
  <c r="AS35" i="11"/>
  <c r="AR128" i="11"/>
  <c r="AR143" i="11"/>
  <c r="AR131" i="11"/>
  <c r="AR137" i="11"/>
  <c r="AR140" i="11"/>
  <c r="AM119" i="11"/>
  <c r="AM151" i="11" s="1"/>
  <c r="AM153" i="11" s="1"/>
  <c r="AM154" i="11" s="1"/>
  <c r="AM156" i="11" s="1"/>
  <c r="AW33" i="11"/>
  <c r="AV31" i="11" s="1"/>
  <c r="AX32" i="11"/>
  <c r="AW163" i="11"/>
  <c r="AW182" i="11"/>
  <c r="X168" i="11"/>
  <c r="X173" i="11" s="1"/>
  <c r="X172" i="11"/>
  <c r="X175" i="11" s="1"/>
  <c r="AP146" i="11"/>
  <c r="AQ60" i="11"/>
  <c r="AV57" i="11"/>
  <c r="AV51" i="11"/>
  <c r="AO112" i="11"/>
  <c r="AO90" i="11" s="1"/>
  <c r="AO117" i="11" s="1"/>
  <c r="AX42" i="11"/>
  <c r="AV45" i="11"/>
  <c r="AL175" i="11"/>
  <c r="AL161" i="11"/>
  <c r="AL159" i="11"/>
  <c r="W176" i="11"/>
  <c r="V183" i="11"/>
  <c r="AB157" i="11"/>
  <c r="AA164" i="11"/>
  <c r="AK180" i="11"/>
  <c r="AK178" i="11"/>
  <c r="AU48" i="11" l="1"/>
  <c r="AT134" i="11"/>
  <c r="W179" i="11"/>
  <c r="AL162" i="11"/>
  <c r="AN119" i="11"/>
  <c r="AN151" i="11" s="1"/>
  <c r="AN153" i="11" s="1"/>
  <c r="AN154" i="11" s="1"/>
  <c r="AN156" i="11" s="1"/>
  <c r="AS100" i="11"/>
  <c r="AL160" i="11"/>
  <c r="AC157" i="11"/>
  <c r="AB164" i="11"/>
  <c r="AY42" i="11"/>
  <c r="AP112" i="11"/>
  <c r="AP90" i="11" s="1"/>
  <c r="AP117" i="11" s="1"/>
  <c r="AW57" i="11"/>
  <c r="AX33" i="11"/>
  <c r="AW31" i="11" s="1"/>
  <c r="AY32" i="11"/>
  <c r="AX163" i="11"/>
  <c r="AX182" i="11"/>
  <c r="AS148" i="11"/>
  <c r="AT35" i="11"/>
  <c r="AS128" i="11"/>
  <c r="AS143" i="11"/>
  <c r="AS137" i="11"/>
  <c r="AS131" i="11"/>
  <c r="AS140" i="11"/>
  <c r="AV94" i="11"/>
  <c r="AV54" i="11"/>
  <c r="AL180" i="11"/>
  <c r="AL178" i="11"/>
  <c r="Y168" i="11"/>
  <c r="Y173" i="11" s="1"/>
  <c r="Y172" i="11"/>
  <c r="Y175" i="11" s="1"/>
  <c r="X180" i="11"/>
  <c r="X181" i="11" s="1"/>
  <c r="X178" i="11"/>
  <c r="X176" i="11"/>
  <c r="W183" i="11"/>
  <c r="AW45" i="11"/>
  <c r="AV184" i="11"/>
  <c r="AV165" i="11"/>
  <c r="AW51" i="11"/>
  <c r="AQ146" i="11"/>
  <c r="AR60" i="11"/>
  <c r="AM175" i="11"/>
  <c r="AM161" i="11"/>
  <c r="AM159" i="11"/>
  <c r="AV48" i="11" l="1"/>
  <c r="AU134" i="11"/>
  <c r="X179" i="11"/>
  <c r="AM162" i="11"/>
  <c r="AR146" i="11"/>
  <c r="AS60" i="11"/>
  <c r="AM160" i="11"/>
  <c r="Y176" i="11"/>
  <c r="X183" i="11"/>
  <c r="AO119" i="11"/>
  <c r="AO151" i="11" s="1"/>
  <c r="AO153" i="11" s="1"/>
  <c r="AO154" i="11" s="1"/>
  <c r="AO156" i="11" s="1"/>
  <c r="AN175" i="11"/>
  <c r="AN161" i="11"/>
  <c r="AN159" i="11"/>
  <c r="AW184" i="11"/>
  <c r="AW165" i="11"/>
  <c r="AX45" i="11"/>
  <c r="Y180" i="11"/>
  <c r="Y181" i="11" s="1"/>
  <c r="Y178" i="11"/>
  <c r="AW54" i="11"/>
  <c r="AQ112" i="11"/>
  <c r="AQ90" i="11" s="1"/>
  <c r="AQ117" i="11" s="1"/>
  <c r="AD157" i="11"/>
  <c r="AC164" i="11"/>
  <c r="AT100" i="11"/>
  <c r="AW94" i="11"/>
  <c r="AX51" i="11"/>
  <c r="AM180" i="11"/>
  <c r="AM178" i="11"/>
  <c r="Z168" i="11"/>
  <c r="Z173" i="11" s="1"/>
  <c r="Z172" i="11"/>
  <c r="Z175" i="11" s="1"/>
  <c r="AT148" i="11"/>
  <c r="AU35" i="11"/>
  <c r="AT128" i="11"/>
  <c r="AT137" i="11"/>
  <c r="AT143" i="11"/>
  <c r="AT131" i="11"/>
  <c r="AT140" i="11"/>
  <c r="AY33" i="11"/>
  <c r="AX31" i="11" s="1"/>
  <c r="AZ32" i="11"/>
  <c r="AY163" i="11"/>
  <c r="AY182" i="11"/>
  <c r="AX57" i="11"/>
  <c r="AZ42" i="11"/>
  <c r="AV134" i="11" l="1"/>
  <c r="AW48" i="11"/>
  <c r="Y179" i="11"/>
  <c r="AN162" i="11"/>
  <c r="AX184" i="11"/>
  <c r="AX165" i="11"/>
  <c r="AU148" i="11"/>
  <c r="AV35" i="11"/>
  <c r="AU128" i="11"/>
  <c r="AU143" i="11"/>
  <c r="AU137" i="11"/>
  <c r="AU131" i="11"/>
  <c r="AU140" i="11"/>
  <c r="AX54" i="11"/>
  <c r="AY45" i="11"/>
  <c r="AN160" i="11"/>
  <c r="AX94" i="11"/>
  <c r="AE157" i="11"/>
  <c r="AD164" i="11"/>
  <c r="AO175" i="11"/>
  <c r="AO161" i="11"/>
  <c r="AO159" i="11"/>
  <c r="AY51" i="11"/>
  <c r="AP119" i="11"/>
  <c r="AP151" i="11" s="1"/>
  <c r="AP153" i="11" s="1"/>
  <c r="AP154" i="11" s="1"/>
  <c r="AP156" i="11" s="1"/>
  <c r="AN180" i="11"/>
  <c r="AN178" i="11"/>
  <c r="BA42" i="11"/>
  <c r="Z180" i="11"/>
  <c r="Z181" i="11" s="1"/>
  <c r="Z178" i="11"/>
  <c r="AY57" i="11"/>
  <c r="AZ33" i="11"/>
  <c r="BA32" i="11"/>
  <c r="AZ163" i="11"/>
  <c r="AZ182" i="11"/>
  <c r="AA168" i="11"/>
  <c r="AA173" i="11" s="1"/>
  <c r="AB168" i="11" s="1"/>
  <c r="AB173" i="11" s="1"/>
  <c r="AC168" i="11" s="1"/>
  <c r="AC173" i="11" s="1"/>
  <c r="AD168" i="11" s="1"/>
  <c r="AD173" i="11" s="1"/>
  <c r="AE168" i="11" s="1"/>
  <c r="AE173" i="11" s="1"/>
  <c r="AF168" i="11" s="1"/>
  <c r="AF173" i="11" s="1"/>
  <c r="AG168" i="11" s="1"/>
  <c r="AG173" i="11" s="1"/>
  <c r="AH168" i="11" s="1"/>
  <c r="AH173" i="11" s="1"/>
  <c r="AI168" i="11" s="1"/>
  <c r="AI173" i="11" s="1"/>
  <c r="AJ168" i="11" s="1"/>
  <c r="AJ173" i="11" s="1"/>
  <c r="AK168" i="11" s="1"/>
  <c r="AK173" i="11" s="1"/>
  <c r="AL168" i="11" s="1"/>
  <c r="AL173" i="11" s="1"/>
  <c r="AM168" i="11" s="1"/>
  <c r="AM173" i="11" s="1"/>
  <c r="AN168" i="11" s="1"/>
  <c r="AN173" i="11" s="1"/>
  <c r="AO168" i="11" s="1"/>
  <c r="AO173" i="11" s="1"/>
  <c r="AP168" i="11" s="1"/>
  <c r="AP173" i="11" s="1"/>
  <c r="AQ168" i="11" s="1"/>
  <c r="AQ173" i="11" s="1"/>
  <c r="AR168" i="11" s="1"/>
  <c r="AR173" i="11" s="1"/>
  <c r="AS168" i="11" s="1"/>
  <c r="AS173" i="11" s="1"/>
  <c r="AT168" i="11" s="1"/>
  <c r="AT173" i="11" s="1"/>
  <c r="AU168" i="11" s="1"/>
  <c r="AU173" i="11" s="1"/>
  <c r="AV168" i="11" s="1"/>
  <c r="AV173" i="11" s="1"/>
  <c r="AW168" i="11" s="1"/>
  <c r="AW173" i="11" s="1"/>
  <c r="AX168" i="11" s="1"/>
  <c r="AX173" i="11" s="1"/>
  <c r="AY168" i="11" s="1"/>
  <c r="AY173" i="11" s="1"/>
  <c r="AZ168" i="11" s="1"/>
  <c r="AZ173" i="11" s="1"/>
  <c r="BA168" i="11" s="1"/>
  <c r="BA173" i="11" s="1"/>
  <c r="BB168" i="11" s="1"/>
  <c r="BB173" i="11" s="1"/>
  <c r="BC168" i="11" s="1"/>
  <c r="BC173" i="11" s="1"/>
  <c r="AA172" i="11"/>
  <c r="AA175" i="11" s="1"/>
  <c r="AU100" i="11"/>
  <c r="AR112" i="11"/>
  <c r="AR90" i="11" s="1"/>
  <c r="AR117" i="11" s="1"/>
  <c r="Z176" i="11"/>
  <c r="Y183" i="11"/>
  <c r="AS146" i="11"/>
  <c r="AT60" i="11"/>
  <c r="AX48" i="11" l="1"/>
  <c r="AW134" i="11"/>
  <c r="Z179" i="11"/>
  <c r="AI184" i="11"/>
  <c r="AB184" i="11"/>
  <c r="AO162" i="11"/>
  <c r="AL184" i="11"/>
  <c r="AG184" i="11"/>
  <c r="AV100" i="11"/>
  <c r="AZ51" i="11"/>
  <c r="AZ45" i="11"/>
  <c r="AQ119" i="11"/>
  <c r="AQ151" i="11" s="1"/>
  <c r="AQ153" i="11" s="1"/>
  <c r="AQ154" i="11" s="1"/>
  <c r="AQ156" i="11" s="1"/>
  <c r="AA180" i="11"/>
  <c r="AA181" i="11" s="1"/>
  <c r="AB181" i="11" s="1"/>
  <c r="AC181" i="11" s="1"/>
  <c r="AD181" i="11" s="1"/>
  <c r="AE181" i="11" s="1"/>
  <c r="AF181" i="11" s="1"/>
  <c r="AG181" i="11" s="1"/>
  <c r="AH181" i="11" s="1"/>
  <c r="AI181" i="11" s="1"/>
  <c r="AJ181" i="11" s="1"/>
  <c r="AK181" i="11" s="1"/>
  <c r="AL181" i="11" s="1"/>
  <c r="AM181" i="11" s="1"/>
  <c r="AN181" i="11" s="1"/>
  <c r="AA178" i="11"/>
  <c r="BA33" i="11"/>
  <c r="AZ31" i="11" s="1"/>
  <c r="BB32" i="11"/>
  <c r="BA163" i="11"/>
  <c r="BA182" i="11"/>
  <c r="AZ57" i="11"/>
  <c r="BB42" i="11"/>
  <c r="AO180" i="11"/>
  <c r="AO178" i="11"/>
  <c r="AY94" i="11"/>
  <c r="AV148" i="11"/>
  <c r="AW35" i="11"/>
  <c r="AV128" i="11"/>
  <c r="AV131" i="11"/>
  <c r="AV137" i="11"/>
  <c r="AV143" i="11"/>
  <c r="AV140" i="11"/>
  <c r="AY31" i="11"/>
  <c r="AY54" i="11"/>
  <c r="AT146" i="11"/>
  <c r="AU60" i="11"/>
  <c r="AS112" i="11"/>
  <c r="AS90" i="11" s="1"/>
  <c r="AS117" i="11" s="1"/>
  <c r="AA176" i="11"/>
  <c r="Z183" i="11"/>
  <c r="AP175" i="11"/>
  <c r="AP161" i="11"/>
  <c r="AP159" i="11"/>
  <c r="AF157" i="11"/>
  <c r="AE164" i="11"/>
  <c r="AO160" i="11"/>
  <c r="AX134" i="11" l="1"/>
  <c r="AY48" i="11"/>
  <c r="AA179" i="11"/>
  <c r="AB179" i="11" s="1"/>
  <c r="AC179" i="11" s="1"/>
  <c r="AD179" i="11" s="1"/>
  <c r="AE179" i="11" s="1"/>
  <c r="AF179" i="11" s="1"/>
  <c r="AG179" i="11" s="1"/>
  <c r="AH179" i="11" s="1"/>
  <c r="AI179" i="11" s="1"/>
  <c r="AJ179" i="11" s="1"/>
  <c r="AK179" i="11" s="1"/>
  <c r="AL179" i="11" s="1"/>
  <c r="AM179" i="11" s="1"/>
  <c r="AN179" i="11" s="1"/>
  <c r="AO179" i="11" s="1"/>
  <c r="AP162" i="11"/>
  <c r="AQ165" i="11"/>
  <c r="AP160" i="11"/>
  <c r="AO181" i="11"/>
  <c r="AZ184" i="11"/>
  <c r="AZ165" i="11"/>
  <c r="AZ94" i="11"/>
  <c r="BC42" i="11"/>
  <c r="AW100" i="11"/>
  <c r="AR119" i="11"/>
  <c r="AR151" i="11" s="1"/>
  <c r="AR153" i="11" s="1"/>
  <c r="AR154" i="11" s="1"/>
  <c r="AR156" i="11" s="1"/>
  <c r="AP180" i="11"/>
  <c r="AP178" i="11"/>
  <c r="AT112" i="11"/>
  <c r="AT90" i="11" s="1"/>
  <c r="AT117" i="11" s="1"/>
  <c r="AZ54" i="11"/>
  <c r="BA51" i="11"/>
  <c r="AG157" i="11"/>
  <c r="AF164" i="11"/>
  <c r="AU146" i="11"/>
  <c r="AV60" i="11"/>
  <c r="AW148" i="11"/>
  <c r="AX35" i="11"/>
  <c r="AW128" i="11"/>
  <c r="AW137" i="11"/>
  <c r="AW131" i="11"/>
  <c r="AW143" i="11"/>
  <c r="AW140" i="11"/>
  <c r="BA57" i="11"/>
  <c r="BB33" i="11"/>
  <c r="BA31" i="11" s="1"/>
  <c r="BC32" i="11"/>
  <c r="BB163" i="11"/>
  <c r="BB182" i="11"/>
  <c r="AQ175" i="11"/>
  <c r="AQ184" i="11" s="1"/>
  <c r="AQ161" i="11"/>
  <c r="AQ159" i="11"/>
  <c r="AB176" i="11"/>
  <c r="AA183" i="11"/>
  <c r="AY184" i="11"/>
  <c r="AY165" i="11"/>
  <c r="BA45" i="11"/>
  <c r="AZ48" i="11" l="1"/>
  <c r="AY134" i="11"/>
  <c r="AQ162" i="11"/>
  <c r="AP179" i="11"/>
  <c r="AP181" i="11"/>
  <c r="BB45" i="11"/>
  <c r="BC33" i="11"/>
  <c r="BC163" i="11"/>
  <c r="BC182" i="11"/>
  <c r="BB57" i="11"/>
  <c r="AH157" i="11"/>
  <c r="AG164" i="11"/>
  <c r="AQ160" i="11"/>
  <c r="AV146" i="11"/>
  <c r="AW60" i="11"/>
  <c r="BB51" i="11"/>
  <c r="AS119" i="11"/>
  <c r="AS151" i="11" s="1"/>
  <c r="AS153" i="11" s="1"/>
  <c r="AS154" i="11" s="1"/>
  <c r="AS156" i="11" s="1"/>
  <c r="AX100" i="11"/>
  <c r="BA94" i="11"/>
  <c r="AQ180" i="11"/>
  <c r="AQ178" i="11"/>
  <c r="AC176" i="11"/>
  <c r="AB183" i="11"/>
  <c r="AU112" i="11"/>
  <c r="AU90" i="11" s="1"/>
  <c r="AU117" i="11" s="1"/>
  <c r="AX148" i="11"/>
  <c r="AY35" i="11"/>
  <c r="AX128" i="11"/>
  <c r="AX143" i="11"/>
  <c r="AX131" i="11"/>
  <c r="AX137" i="11"/>
  <c r="AX140" i="11"/>
  <c r="BA54" i="11"/>
  <c r="AR175" i="11"/>
  <c r="AR161" i="11"/>
  <c r="AR159" i="11"/>
  <c r="AZ134" i="11" l="1"/>
  <c r="BA48" i="11"/>
  <c r="AR162" i="11"/>
  <c r="AQ181" i="11"/>
  <c r="AQ179" i="11"/>
  <c r="AT119" i="11"/>
  <c r="AT151" i="11" s="1"/>
  <c r="AT153" i="11" s="1"/>
  <c r="AT154" i="11" s="1"/>
  <c r="AT156" i="11" s="1"/>
  <c r="AR160" i="11"/>
  <c r="BC57" i="11"/>
  <c r="BC31" i="11"/>
  <c r="G11" i="11"/>
  <c r="F11" i="11"/>
  <c r="H24" i="8" s="1"/>
  <c r="H18" i="8" s="1"/>
  <c r="AR180" i="11"/>
  <c r="AR178" i="11"/>
  <c r="AY148" i="11"/>
  <c r="AZ35" i="11"/>
  <c r="AY128" i="11"/>
  <c r="AY143" i="11"/>
  <c r="AY137" i="11"/>
  <c r="AY131" i="11"/>
  <c r="AY140" i="11"/>
  <c r="AV112" i="11"/>
  <c r="AV90" i="11" s="1"/>
  <c r="AV117" i="11" s="1"/>
  <c r="BB94" i="11"/>
  <c r="AW146" i="11"/>
  <c r="AX60" i="11"/>
  <c r="AS175" i="11"/>
  <c r="AS161" i="11"/>
  <c r="AS159" i="11"/>
  <c r="AI157" i="11"/>
  <c r="AH164" i="11"/>
  <c r="BB54" i="11"/>
  <c r="AD176" i="11"/>
  <c r="AC183" i="11"/>
  <c r="AY100" i="11"/>
  <c r="BC51" i="11"/>
  <c r="BB31" i="11"/>
  <c r="BC45" i="11"/>
  <c r="BB48" i="11" l="1"/>
  <c r="BA134" i="11"/>
  <c r="AS162" i="11"/>
  <c r="AR181" i="11"/>
  <c r="AR179" i="11"/>
  <c r="AE176" i="11"/>
  <c r="AD183" i="11"/>
  <c r="AT175" i="11"/>
  <c r="AT161" i="11"/>
  <c r="AT159" i="11"/>
  <c r="AZ148" i="11"/>
  <c r="BA35" i="11"/>
  <c r="AZ128" i="11"/>
  <c r="AZ137" i="11"/>
  <c r="AZ143" i="11"/>
  <c r="AZ131" i="11"/>
  <c r="AZ140" i="11"/>
  <c r="BC54" i="11"/>
  <c r="AX146" i="11"/>
  <c r="AY60" i="11"/>
  <c r="AS160" i="11"/>
  <c r="BB184" i="11"/>
  <c r="BB165" i="11"/>
  <c r="AW112" i="11"/>
  <c r="AW90" i="11" s="1"/>
  <c r="AW117" i="11" s="1"/>
  <c r="AJ157" i="11"/>
  <c r="AI164" i="11"/>
  <c r="BC94" i="11"/>
  <c r="AU119" i="11"/>
  <c r="AU151" i="11" s="1"/>
  <c r="AU153" i="11" s="1"/>
  <c r="AU154" i="11" s="1"/>
  <c r="AU156" i="11" s="1"/>
  <c r="AZ100" i="11"/>
  <c r="AS180" i="11"/>
  <c r="AS178" i="11"/>
  <c r="BB134" i="11" l="1"/>
  <c r="BC48" i="11"/>
  <c r="BC134" i="11" s="1"/>
  <c r="AT162" i="11"/>
  <c r="AS181" i="11"/>
  <c r="AS179" i="11"/>
  <c r="AF176" i="11"/>
  <c r="AE183" i="11"/>
  <c r="AY146" i="11"/>
  <c r="AZ60" i="11"/>
  <c r="AU175" i="11"/>
  <c r="AU161" i="11"/>
  <c r="AU159" i="11"/>
  <c r="AK157" i="11"/>
  <c r="AJ164" i="11"/>
  <c r="AV119" i="11"/>
  <c r="AV151" i="11" s="1"/>
  <c r="AV153" i="11" s="1"/>
  <c r="AV154" i="11" s="1"/>
  <c r="AV156" i="11" s="1"/>
  <c r="BA148" i="11"/>
  <c r="BB35" i="11"/>
  <c r="BA128" i="11"/>
  <c r="BA143" i="11"/>
  <c r="BA131" i="11"/>
  <c r="BA137" i="11"/>
  <c r="BA140" i="11"/>
  <c r="AT180" i="11"/>
  <c r="AT178" i="11"/>
  <c r="BA100" i="11"/>
  <c r="AX112" i="11"/>
  <c r="AX90" i="11" s="1"/>
  <c r="AX117" i="11" s="1"/>
  <c r="AT160" i="11"/>
  <c r="AU162" i="11" l="1"/>
  <c r="AT181" i="11"/>
  <c r="AT179" i="11"/>
  <c r="AU160" i="11"/>
  <c r="AY112" i="11"/>
  <c r="AY90" i="11" s="1"/>
  <c r="AY117" i="11" s="1"/>
  <c r="AU180" i="11"/>
  <c r="AU178" i="11"/>
  <c r="AG176" i="11"/>
  <c r="AF183" i="11"/>
  <c r="AL157" i="11"/>
  <c r="AK164" i="11"/>
  <c r="AZ146" i="11"/>
  <c r="BA60" i="11"/>
  <c r="AW119" i="11"/>
  <c r="AW151" i="11" s="1"/>
  <c r="AW153" i="11" s="1"/>
  <c r="AW154" i="11" s="1"/>
  <c r="AW156" i="11" s="1"/>
  <c r="BB100" i="11"/>
  <c r="BB148" i="11"/>
  <c r="BC35" i="11"/>
  <c r="BB128" i="11"/>
  <c r="BB131" i="11"/>
  <c r="BB137" i="11"/>
  <c r="BB143" i="11"/>
  <c r="BB140" i="11"/>
  <c r="AV175" i="11"/>
  <c r="AV161" i="11"/>
  <c r="AV159" i="11"/>
  <c r="AV162" i="11" l="1"/>
  <c r="AU181" i="11"/>
  <c r="AU179" i="11"/>
  <c r="AW175" i="11"/>
  <c r="AW161" i="11"/>
  <c r="AW162" i="11" s="1"/>
  <c r="AW159" i="11"/>
  <c r="AZ112" i="11"/>
  <c r="AZ90" i="11" s="1"/>
  <c r="AZ117" i="11" s="1"/>
  <c r="BC100" i="11"/>
  <c r="AV160" i="11"/>
  <c r="AM157" i="11"/>
  <c r="AL164" i="11"/>
  <c r="AV180" i="11"/>
  <c r="AV178" i="11"/>
  <c r="BC148" i="11"/>
  <c r="BC128" i="11"/>
  <c r="BC143" i="11"/>
  <c r="BC131" i="11"/>
  <c r="BC137" i="11"/>
  <c r="BC140" i="11"/>
  <c r="BA146" i="11"/>
  <c r="BB60" i="11"/>
  <c r="AH176" i="11"/>
  <c r="AG183" i="11"/>
  <c r="AX119" i="11"/>
  <c r="AX151" i="11" s="1"/>
  <c r="AX153" i="11" s="1"/>
  <c r="AX154" i="11" s="1"/>
  <c r="AX156" i="11" s="1"/>
  <c r="AV181" i="11" l="1"/>
  <c r="AV179" i="11"/>
  <c r="AW160" i="11"/>
  <c r="AY119" i="11"/>
  <c r="AY151" i="11" s="1"/>
  <c r="AY153" i="11" s="1"/>
  <c r="AY154" i="11" s="1"/>
  <c r="AY156" i="11" s="1"/>
  <c r="AW180" i="11"/>
  <c r="AW178" i="11"/>
  <c r="AN157" i="11"/>
  <c r="AM164" i="11"/>
  <c r="BB146" i="11"/>
  <c r="BC60" i="11"/>
  <c r="BC146" i="11" s="1"/>
  <c r="BA112" i="11"/>
  <c r="BA90" i="11" s="1"/>
  <c r="BA117" i="11" s="1"/>
  <c r="AX175" i="11"/>
  <c r="AX161" i="11"/>
  <c r="AX162" i="11" s="1"/>
  <c r="AX159" i="11"/>
  <c r="AI176" i="11"/>
  <c r="AH183" i="11"/>
  <c r="AW181" i="11" l="1"/>
  <c r="AW179" i="11"/>
  <c r="AX180" i="11"/>
  <c r="AX178" i="11"/>
  <c r="AX160" i="11"/>
  <c r="AO157" i="11"/>
  <c r="AN164" i="11"/>
  <c r="AY175" i="11"/>
  <c r="AY161" i="11"/>
  <c r="AY162" i="11" s="1"/>
  <c r="AY159" i="11"/>
  <c r="AZ119" i="11"/>
  <c r="AZ151" i="11" s="1"/>
  <c r="AZ153" i="11" s="1"/>
  <c r="AZ154" i="11" s="1"/>
  <c r="AZ156" i="11" s="1"/>
  <c r="AJ176" i="11"/>
  <c r="AI183" i="11"/>
  <c r="BB112" i="11"/>
  <c r="BB90" i="11" s="1"/>
  <c r="BB117" i="11" s="1"/>
  <c r="AX181" i="11" l="1"/>
  <c r="AX179" i="11"/>
  <c r="AZ175" i="11"/>
  <c r="AZ161" i="11"/>
  <c r="AZ162" i="11" s="1"/>
  <c r="AZ159" i="11"/>
  <c r="BA119" i="11"/>
  <c r="BA151" i="11" s="1"/>
  <c r="BA153" i="11" s="1"/>
  <c r="BA154" i="11" s="1"/>
  <c r="BA156" i="11" s="1"/>
  <c r="BA165" i="11" s="1"/>
  <c r="F9" i="11" s="1"/>
  <c r="AP157" i="11"/>
  <c r="AO164" i="11"/>
  <c r="AK176" i="11"/>
  <c r="AJ183" i="11"/>
  <c r="BC112" i="11"/>
  <c r="BC90" i="11" s="1"/>
  <c r="BC117" i="11" s="1"/>
  <c r="AY180" i="11"/>
  <c r="AY178" i="11"/>
  <c r="AY160" i="11"/>
  <c r="BC119" i="11" l="1"/>
  <c r="BC151" i="11" s="1"/>
  <c r="BC153" i="11" s="1"/>
  <c r="BC154" i="11" s="1"/>
  <c r="BC156" i="11" s="1"/>
  <c r="BC165" i="11" s="1"/>
  <c r="AY181" i="11"/>
  <c r="AY179" i="11"/>
  <c r="AZ160" i="11"/>
  <c r="AL176" i="11"/>
  <c r="AK183" i="11"/>
  <c r="BA175" i="11"/>
  <c r="BA184" i="11" s="1"/>
  <c r="BA161" i="11"/>
  <c r="BA162" i="11" s="1"/>
  <c r="BA159" i="11"/>
  <c r="AZ180" i="11"/>
  <c r="AZ178" i="11"/>
  <c r="AQ157" i="11"/>
  <c r="AP164" i="11"/>
  <c r="BB119" i="11"/>
  <c r="BB151" i="11" s="1"/>
  <c r="BB153" i="11" s="1"/>
  <c r="BB154" i="11" s="1"/>
  <c r="BB156" i="11" s="1"/>
  <c r="L27" i="11" l="1"/>
  <c r="H28" i="8" s="1"/>
  <c r="F10" i="11"/>
  <c r="AZ181" i="11"/>
  <c r="AZ179" i="11"/>
  <c r="AM176" i="11"/>
  <c r="AL183" i="11"/>
  <c r="AR157" i="11"/>
  <c r="AQ164" i="11"/>
  <c r="BA180" i="11"/>
  <c r="BA178" i="11"/>
  <c r="BC175" i="11"/>
  <c r="BC161" i="11"/>
  <c r="BC159" i="11"/>
  <c r="BA160" i="11"/>
  <c r="BB175" i="11"/>
  <c r="BB161" i="11"/>
  <c r="BB162" i="11" s="1"/>
  <c r="BB159" i="11"/>
  <c r="BC184" i="11" l="1"/>
  <c r="G9" i="11" s="1"/>
  <c r="G10" i="11" s="1"/>
  <c r="BA181" i="11"/>
  <c r="BA179" i="11"/>
  <c r="BC162" i="11"/>
  <c r="AN176" i="11"/>
  <c r="AM183" i="11"/>
  <c r="BB180" i="11"/>
  <c r="BB178" i="11"/>
  <c r="BC180" i="11"/>
  <c r="BC178" i="11"/>
  <c r="AS157" i="11"/>
  <c r="AR164" i="11"/>
  <c r="F8" i="11"/>
  <c r="F14" i="11"/>
  <c r="Q26" i="11" s="1"/>
  <c r="H29" i="8" s="1"/>
  <c r="BB160" i="11"/>
  <c r="BC160" i="11" s="1"/>
  <c r="BB181" i="11" l="1"/>
  <c r="BC181" i="11" s="1"/>
  <c r="BB179" i="11"/>
  <c r="BC179" i="11" s="1"/>
  <c r="G8" i="11"/>
  <c r="G14" i="11"/>
  <c r="AO176" i="11"/>
  <c r="AN183" i="11"/>
  <c r="F12" i="11"/>
  <c r="L26" i="11"/>
  <c r="H27" i="8" s="1"/>
  <c r="AT157" i="11"/>
  <c r="AS164" i="11"/>
  <c r="AP176" i="11" l="1"/>
  <c r="AO183" i="11"/>
  <c r="AU157" i="11"/>
  <c r="AT164" i="11"/>
  <c r="G12" i="11"/>
  <c r="AV157" i="11" l="1"/>
  <c r="AU164" i="11"/>
  <c r="AQ176" i="11"/>
  <c r="AP183" i="11"/>
  <c r="AW157" i="11" l="1"/>
  <c r="AV164" i="11"/>
  <c r="AR176" i="11"/>
  <c r="AQ183" i="11"/>
  <c r="AS176" i="11" l="1"/>
  <c r="AR183" i="11"/>
  <c r="AX157" i="11"/>
  <c r="AW164" i="11"/>
  <c r="AY157" i="11" l="1"/>
  <c r="AX164" i="11"/>
  <c r="AT176" i="11"/>
  <c r="AS183" i="11"/>
  <c r="AU176" i="11" l="1"/>
  <c r="AT183" i="11"/>
  <c r="AZ157" i="11"/>
  <c r="AY164" i="11"/>
  <c r="BA157" i="11" l="1"/>
  <c r="AZ164" i="11"/>
  <c r="AV176" i="11"/>
  <c r="AU183" i="11"/>
  <c r="AW176" i="11" l="1"/>
  <c r="AV183" i="11"/>
  <c r="BB157" i="11"/>
  <c r="BA164" i="11"/>
  <c r="BC157" i="11" l="1"/>
  <c r="BB164" i="11"/>
  <c r="AX176" i="11"/>
  <c r="AW183" i="11"/>
  <c r="AY176" i="11" l="1"/>
  <c r="AX183" i="11"/>
  <c r="BC164" i="11"/>
  <c r="F13" i="11" s="1"/>
  <c r="L28" i="11" s="1"/>
  <c r="H26" i="8" s="1"/>
  <c r="AZ176" i="11" l="1"/>
  <c r="AY183" i="11"/>
  <c r="BA176" i="11" l="1"/>
  <c r="AZ183" i="11"/>
  <c r="BB176" i="11" l="1"/>
  <c r="BA183" i="11"/>
  <c r="BC176" i="11" l="1"/>
  <c r="BB183" i="11"/>
  <c r="BC183" i="11" l="1"/>
  <c r="G1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Particular</author>
  </authors>
  <commentList>
    <comment ref="E9" authorId="0" shapeId="0" xr:uid="{00000000-0006-0000-0100-000001000000}">
      <text>
        <r>
          <rPr>
            <sz val="11"/>
            <color rgb="FF000000"/>
            <rFont val="Calibri"/>
            <family val="2"/>
          </rPr>
          <t xml:space="preserve">A geração </t>
        </r>
        <r>
          <rPr>
            <i/>
            <sz val="11"/>
            <color rgb="FF000000"/>
            <rFont val="Calibri"/>
            <family val="2"/>
          </rPr>
          <t>per capita</t>
        </r>
        <r>
          <rPr>
            <sz val="11"/>
            <color rgb="FF000000"/>
            <rFont val="Calibri"/>
            <family val="2"/>
          </rPr>
          <t xml:space="preserve"> informada deve ter como base os dias úteis de coleta, ou seja, 6 dias por semana OU 26,08 dias por mês OU 313 dias por ano.
</t>
        </r>
        <r>
          <rPr>
            <sz val="11"/>
            <color rgb="FF000000"/>
            <rFont val="Calibri"/>
            <family val="2"/>
          </rPr>
          <t xml:space="preserve">Além disso, fica a critério do usuário simular somente resíduos domiciliares (RDO) ou a totalidade dos resíduos urbanos (RSU).
</t>
        </r>
        <r>
          <rPr>
            <sz val="11"/>
            <color rgb="FF000000"/>
            <rFont val="Calibri"/>
            <family val="2"/>
          </rPr>
          <t>É importante considerar que, na tabela de composição gravimétrica, as porcentagens devem refletir a composição dos resíduos simulados (RDO ou RSU).</t>
        </r>
      </text>
    </comment>
    <comment ref="E10" authorId="0" shapeId="0" xr:uid="{00000000-0006-0000-0100-000002000000}">
      <text>
        <r>
          <rPr>
            <sz val="11"/>
            <color rgb="FF000000"/>
            <rFont val="Calibri"/>
            <family val="2"/>
          </rPr>
          <t>A massa total por dia informada deve ter como base os dias úteis de coleta, ou seja, 6 dias por semana OU 26,08 dias por mês OU 313 dias por ano.</t>
        </r>
      </text>
    </comment>
    <comment ref="C16" authorId="1" shapeId="0" xr:uid="{00000000-0006-0000-0100-000003000000}">
      <text>
        <r>
          <rPr>
            <sz val="9"/>
            <color indexed="81"/>
            <rFont val="Segoe UI"/>
            <family val="2"/>
          </rPr>
          <t xml:space="preserve">A composição gravimétrica deve represtar a tortalidade da massa de resíduos sólidos para qual a presenta rota tecnológica está sendo simulada (massa que consta em </t>
        </r>
        <r>
          <rPr>
            <b/>
            <i/>
            <sz val="9"/>
            <color indexed="81"/>
            <rFont val="Segoe UI"/>
            <family val="2"/>
          </rPr>
          <t>E14</t>
        </r>
        <r>
          <rPr>
            <sz val="9"/>
            <color indexed="81"/>
            <rFont val="Segoe UI"/>
            <family val="2"/>
          </rPr>
          <t xml:space="preserve">).
</t>
        </r>
      </text>
    </comment>
    <comment ref="F20" authorId="0" shapeId="0" xr:uid="{00000000-0006-0000-0100-000004000000}">
      <text>
        <r>
          <rPr>
            <sz val="11"/>
            <color rgb="FF000000"/>
            <rFont val="Calibri"/>
            <family val="2"/>
          </rPr>
          <t>A composição gravimétrica fornecida deve incluir a totalidade dos resíduos a ser simulada na ROTA (domiciliares das coletas convencional e seletiva mais os públicos e os comercias — quando estes últimos dois estiverem incluídos na geração per capita fornecida em E12).</t>
        </r>
      </text>
    </comment>
    <comment ref="F21" authorId="0" shapeId="0" xr:uid="{00000000-0006-0000-0100-000005000000}">
      <text>
        <r>
          <rPr>
            <sz val="11"/>
            <color rgb="FF000000"/>
            <rFont val="Calibri"/>
            <family val="2"/>
          </rPr>
          <t xml:space="preserve">O "padrão Brasil" refere-se à gravimetria dos resíduos sólidos domiciliares.
</t>
        </r>
        <r>
          <rPr>
            <sz val="11"/>
            <color rgb="FF000000"/>
            <rFont val="Calibri"/>
            <family val="2"/>
          </rPr>
          <t>Para simulção de RSU, entrar com a composição ponderada da soma desses resíduos (domiciliares + públicos + comerciais).</t>
        </r>
      </text>
    </comment>
    <comment ref="D26" authorId="1" shapeId="0" xr:uid="{00000000-0006-0000-0100-000006000000}">
      <text>
        <r>
          <rPr>
            <sz val="9"/>
            <color indexed="81"/>
            <rFont val="Segoe UI"/>
            <family val="2"/>
          </rPr>
          <t xml:space="preserve"> Lembre-se de que a composição gravimétrica a inserir em D26 a D39 deve representar a massa total de resíduos da rota tecnológica que está sendo avaliada.
Assim, se na massa total informada em E14 estiverem os resíduos domiciliares, os resíduos de podas e os resíduos da limpeza urbana, a composição aqui informada deve representar esta composição relativa.</t>
        </r>
      </text>
    </comment>
    <comment ref="C28" authorId="0" shapeId="0" xr:uid="{00000000-0006-0000-0100-000007000000}">
      <text>
        <r>
          <rPr>
            <sz val="11"/>
            <color rgb="FF000000"/>
            <rFont val="Calibri"/>
            <family val="2"/>
          </rPr>
          <t>Inclui embalagens multicamada ou tipo longa vida</t>
        </r>
      </text>
    </comment>
    <comment ref="C39" authorId="0" shapeId="0" xr:uid="{00000000-0006-0000-0100-000008000000}">
      <text>
        <r>
          <rPr>
            <sz val="11"/>
            <color rgb="FF000000"/>
            <rFont val="Calibri"/>
            <family val="2"/>
          </rPr>
          <t>Inclui todas as frações de resíduos citadas, como "fração fina", porcelana", "miscelâneas" ...</t>
        </r>
      </text>
    </comment>
    <comment ref="D43" authorId="0" shapeId="0" xr:uid="{00000000-0006-0000-0100-000009000000}">
      <text>
        <r>
          <rPr>
            <sz val="11"/>
            <color rgb="FF000000"/>
            <rFont val="Calibri"/>
            <family val="2"/>
          </rPr>
          <t>Percentual em relação à geração total de RSU do município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Particular</author>
    <author/>
  </authors>
  <commentList>
    <comment ref="I24" authorId="0" shapeId="0" xr:uid="{00000000-0006-0000-0200-000001000000}">
      <text>
        <r>
          <rPr>
            <sz val="9"/>
            <color indexed="81"/>
            <rFont val="Segoe UI"/>
            <family val="2"/>
          </rPr>
          <t>Aqui se definção a massa (ou porentagem ) dos resíduos da coleta mistas que passam por processo de triagem mecanizada.  
A massa de resíduos que não for triada (conforme valor em I26), mas adinate ainda poderá ser enviada para incineração (em H106) ou irá ao aterro sanitário.</t>
        </r>
      </text>
    </comment>
    <comment ref="E25" authorId="0" shapeId="0" xr:uid="{00000000-0006-0000-0200-000002000000}">
      <text>
        <r>
          <rPr>
            <sz val="9"/>
            <color indexed="81"/>
            <rFont val="Segoe UI"/>
            <family val="2"/>
          </rPr>
          <t>Porcentagem inserida aqui deve resultar em massa máxima de 50 t/d na célula E29.
Da mesma forma, deve resultar adicionalmente e massa mínima de 50 t/d na célula E33.</t>
        </r>
      </text>
    </comment>
    <comment ref="I26" authorId="0" shapeId="0" xr:uid="{00000000-0006-0000-0200-000003000000}">
      <text>
        <r>
          <rPr>
            <sz val="9"/>
            <color indexed="81"/>
            <rFont val="Segoe UI"/>
            <family val="2"/>
          </rPr>
          <t xml:space="preserve">Valor da porcentagem inserida aqui deve resultar em massa mínima de 50 t/d para triagem mecanizada de mistos (em I27).
</t>
        </r>
      </text>
    </comment>
    <comment ref="I29" authorId="0" shapeId="0" xr:uid="{00000000-0006-0000-0200-000004000000}">
      <text>
        <r>
          <rPr>
            <sz val="9"/>
            <color indexed="81"/>
            <rFont val="Segoe UI"/>
            <family val="2"/>
          </rPr>
          <t xml:space="preserve">Embora não faço muito sentido fazer a triagem dos orgânicos e enviá-los ao aterro sanitário, essa alternativa pode estar presente na simulção de alguma </t>
        </r>
        <r>
          <rPr>
            <b/>
            <sz val="9"/>
            <color indexed="81"/>
            <rFont val="Segoe UI"/>
            <family val="2"/>
          </rPr>
          <t>rota atual</t>
        </r>
        <r>
          <rPr>
            <sz val="9"/>
            <color indexed="81"/>
            <rFont val="Segoe UI"/>
            <family val="2"/>
          </rPr>
          <t>, por isso obtou-se pela inclusão dessa possibilidade aqui.</t>
        </r>
      </text>
    </comment>
    <comment ref="G31" authorId="0" shapeId="0" xr:uid="{00000000-0006-0000-0200-000005000000}">
      <text>
        <r>
          <rPr>
            <sz val="9"/>
            <color indexed="81"/>
            <rFont val="Segoe UI"/>
            <family val="2"/>
          </rPr>
          <t>Para verificar ou modificar os valores parametrizados das eficiências, vá para a Aba 'R-Avançado'.</t>
        </r>
      </text>
    </comment>
    <comment ref="D62" authorId="1" shapeId="0" xr:uid="{00000000-0006-0000-0200-000006000000}">
      <text>
        <r>
          <rPr>
            <sz val="11"/>
            <color rgb="FF000000"/>
            <rFont val="Calibri"/>
            <family val="2"/>
          </rPr>
          <t>Para verificar ou modificar os valores parametrizados, vá para a Aba 'R-Avançado'</t>
        </r>
      </text>
    </comment>
    <comment ref="D68" authorId="1" shapeId="0" xr:uid="{00000000-0006-0000-0200-000007000000}">
      <text>
        <r>
          <rPr>
            <sz val="11"/>
            <color rgb="FF000000"/>
            <rFont val="Calibri"/>
            <family val="2"/>
          </rPr>
          <t>Para verificar ou modificar os valores parametrizados, vá para a Aba 'R-Avançado'</t>
        </r>
      </text>
    </comment>
    <comment ref="J119" authorId="1" shapeId="0" xr:uid="{00000000-0006-0000-0200-000008000000}">
      <text>
        <r>
          <rPr>
            <sz val="11"/>
            <color rgb="FF000000"/>
            <rFont val="Calibri"/>
            <family val="2"/>
          </rPr>
          <t>Se for Rota Atual com diposição final inadequada (lixão), a Ferramente assume que o biogás não terá queima.</t>
        </r>
      </text>
    </comment>
    <comment ref="N122" authorId="1" shapeId="0" xr:uid="{00000000-0006-0000-0200-000009000000}">
      <text>
        <r>
          <rPr>
            <sz val="11"/>
            <color rgb="FF000000"/>
            <rFont val="Calibri"/>
            <family val="2"/>
          </rPr>
          <t>A porcentagem a ser informada aqui é sobre o total disposto no aterro, que está na célula E119.</t>
        </r>
      </text>
    </comment>
    <comment ref="D128" authorId="1" shapeId="0" xr:uid="{00000000-0006-0000-0200-00000A000000}">
      <text>
        <r>
          <rPr>
            <sz val="11"/>
            <color rgb="FF000000"/>
            <rFont val="Calibri"/>
            <family val="2"/>
          </rPr>
          <t>Para verificar ou modificar os valores parametrizados, vá para a Aba 'R-Avançado'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Particular</author>
  </authors>
  <commentList>
    <comment ref="B8" authorId="0" shapeId="0" xr:uid="{00000000-0006-0000-0600-000001000000}">
      <text>
        <r>
          <rPr>
            <sz val="9"/>
            <color indexed="81"/>
            <rFont val="Segoe UI"/>
            <family val="2"/>
          </rPr>
          <t>Identificação da Aba da Ferramenta GEE onde devem ser inseridas as informações do balanço de massa da Ferramenta Rotas e Custos.</t>
        </r>
      </text>
    </comment>
    <comment ref="C9" authorId="0" shapeId="0" xr:uid="{00000000-0006-0000-0600-000002000000}">
      <text>
        <r>
          <rPr>
            <sz val="9"/>
            <color indexed="81"/>
            <rFont val="Segoe UI"/>
            <family val="2"/>
          </rPr>
          <t>Identificação da célula correspondente da Aba da Ferramenta GEE onde o valor da celula destacada à direita nessa Aba de Rotas e Custos na cor amarela deverá ser inserido.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tc={0E6D4CBB-7C04-498F-B9DA-F11CD8046EBA}</author>
  </authors>
  <commentList>
    <comment ref="H33" authorId="0" shapeId="0" xr:uid="{00000000-0006-0000-0700-000001000000}">
      <text>
        <r>
          <rPr>
            <sz val="11"/>
            <color rgb="FF000000"/>
            <rFont val="Calibri"/>
            <family val="2"/>
          </rPr>
          <t xml:space="preserve">[Comentário encadeado]
</t>
        </r>
        <r>
          <rPr>
            <sz val="11"/>
            <color rgb="FF000000"/>
            <rFont val="Calibri"/>
            <family val="2"/>
          </rPr>
          <t xml:space="preserve">
</t>
        </r>
        <r>
          <rPr>
            <sz val="11"/>
            <color rgb="FF000000"/>
            <rFont val="Calibri"/>
            <family val="2"/>
          </rPr>
          <t xml:space="preserve">Sua versão do Excel permite que você leia este comentário encadeado, no entanto, as edições serão removidas se o arquivo for aberto em uma versão mais recente do Excel. Saiba mais: https://go.microsoft.com/fwlink/?linkid=870924
</t>
        </r>
        <r>
          <rPr>
            <sz val="11"/>
            <color rgb="FF000000"/>
            <rFont val="Calibri"/>
            <family val="2"/>
          </rPr>
          <t xml:space="preserve">
</t>
        </r>
        <r>
          <rPr>
            <sz val="11"/>
            <color rgb="FF000000"/>
            <rFont val="Calibri"/>
            <family val="2"/>
          </rPr>
          <t xml:space="preserve">Comentário:
</t>
        </r>
        <r>
          <rPr>
            <sz val="11"/>
            <color rgb="FF000000"/>
            <rFont val="Calibri"/>
            <family val="2"/>
          </rPr>
          <t xml:space="preserve">    Valor do Total a ser Pago em Milhões de Reais(MR$) no "Período Total do Contrato" tomando-se em conta a "Tarifa do Serviço de Coleta, Tratamento e Destinação de Resíduos calculada abaixo" a ser paga para remunerar no "Prazo de Retorno do Investimento" definidos acima, todos os Custos de Investimento do Projeto e os Custos Operacionais Totais da Rota Tecnológica definida, deduzindo-se as "Receitas Acessórias de Venda dos Substratos" Estimadas e sem levar em conta as despesas financeiras da estrutura de capital e outros impactos decorrentes da inlação, bem como das curvas de aprendizagem das novas operações.</t>
        </r>
      </text>
    </comment>
    <comment ref="D53" authorId="0" shapeId="0" xr:uid="{00000000-0006-0000-0700-000002000000}">
      <text>
        <r>
          <rPr>
            <b/>
            <u/>
            <sz val="12"/>
            <color rgb="FF000000"/>
            <rFont val="Calibri"/>
            <family val="2"/>
          </rPr>
          <t>Comentário:</t>
        </r>
        <r>
          <rPr>
            <sz val="11"/>
            <color rgb="FF000000"/>
            <rFont val="Calibri"/>
            <family val="2"/>
          </rPr>
          <t xml:space="preserve"> Os custos dos equipamentos importados foram feitos em determinadas taxas de câmbio, conforme mencionado na célula D4 das abas de cada tecnologia. Assim, o valor do câmbio a ser informado deve ser aquele para o qual o usuário deseja fazer a simulação.</t>
        </r>
      </text>
    </comment>
    <comment ref="D54" authorId="0" shapeId="0" xr:uid="{00000000-0006-0000-0700-000003000000}">
      <text>
        <r>
          <rPr>
            <b/>
            <u/>
            <sz val="12"/>
            <color rgb="FF000000"/>
            <rFont val="Calibri"/>
            <family val="2"/>
          </rPr>
          <t>Comentário:</t>
        </r>
        <r>
          <rPr>
            <sz val="11"/>
            <color rgb="FF000000"/>
            <rFont val="Calibri"/>
            <family val="2"/>
          </rPr>
          <t xml:space="preserve"> Os custos dos equipamentos importados foram feitos em determinadas taxas de câmbio, conforme mencionado na célula D4 das abas de cada tecnologia. Assim, o valor do câmbio a ser informado deve ser aquele para o qual o usuário deseja fazer a simulação.</t>
        </r>
      </text>
    </comment>
    <comment ref="G54" authorId="0" shapeId="0" xr:uid="{00000000-0006-0000-0700-000004000000}">
      <text>
        <r>
          <rPr>
            <b/>
            <u/>
            <sz val="12"/>
            <color rgb="FF000000"/>
            <rFont val="Calibri"/>
            <family val="2"/>
          </rPr>
          <t>Comentário:</t>
        </r>
        <r>
          <rPr>
            <sz val="11"/>
            <color rgb="FF000000"/>
            <rFont val="Calibri"/>
            <family val="2"/>
          </rPr>
          <t xml:space="preserve"> Usualmente, o percentual de nacionalização da tecnologia de triagem manuel é de 100%, pois trata-se de uma tecnologia com equipamentos simples e com fornecedores nacionais já consolidados.</t>
        </r>
      </text>
    </comment>
    <comment ref="D55" authorId="0" shapeId="0" xr:uid="{00000000-0006-0000-0700-000005000000}">
      <text>
        <r>
          <rPr>
            <b/>
            <u/>
            <sz val="12"/>
            <color rgb="FF000000"/>
            <rFont val="Calibri"/>
            <family val="2"/>
          </rPr>
          <t>Comentário:</t>
        </r>
        <r>
          <rPr>
            <sz val="11"/>
            <color rgb="FF000000"/>
            <rFont val="Calibri"/>
            <family val="2"/>
          </rPr>
          <t xml:space="preserve"> O valor a ser informado aqui se refere à estimativa das taxas e dos impostos sobre importação de equipamentos a ser aplicada sobre os equipamentos definidos em cada tecnologia como importados.</t>
        </r>
      </text>
    </comment>
    <comment ref="D56" authorId="0" shapeId="0" xr:uid="{00000000-0006-0000-0700-000006000000}">
      <text>
        <r>
          <rPr>
            <b/>
            <u/>
            <sz val="12"/>
            <color rgb="FF000000"/>
            <rFont val="Calibri"/>
            <family val="2"/>
          </rPr>
          <t>Comentário:</t>
        </r>
        <r>
          <rPr>
            <sz val="11"/>
            <color rgb="FF000000"/>
            <rFont val="Calibri"/>
            <family val="2"/>
          </rPr>
          <t xml:space="preserve"> Trata-se do preço médio de aquisição de terreno a ser considerado como investimento para construção da unidade de tratamento de resíduos de acordo com a área requerida em cada tecnologia. Esse custo somente não afeta os custos de implantação do aterro sanitário cujo valor do terreno é assumido como "custo zero".</t>
        </r>
      </text>
    </comment>
    <comment ref="D57" authorId="0" shapeId="0" xr:uid="{00000000-0006-0000-0700-000007000000}">
      <text>
        <r>
          <rPr>
            <b/>
            <u/>
            <sz val="11"/>
            <color rgb="FF000000"/>
            <rFont val="Calibri"/>
            <family val="2"/>
          </rPr>
          <t>Comentário:</t>
        </r>
        <r>
          <rPr>
            <sz val="11"/>
            <color rgb="FF000000"/>
            <rFont val="Calibri"/>
            <family val="2"/>
          </rPr>
          <t xml:space="preserve"> Trata-se do preço médio de aquisição de terreno a ser considerado como investimento para construção EXCLUSIVA DO ATERRO SANITÁRIO para disposição de resíduos de acordo com a área requerida na aba da tecnologia de Aterro Sanitário. Esse custo somente não afeta os custos de implantação do aterro sanitário cujo valor do terreno é assumido como "custo zero".</t>
        </r>
      </text>
    </comment>
    <comment ref="G57" authorId="0" shapeId="0" xr:uid="{00000000-0006-0000-0700-000008000000}">
      <text>
        <r>
          <rPr>
            <b/>
            <u/>
            <sz val="12"/>
            <color rgb="FF000000"/>
            <rFont val="Calibri"/>
            <family val="2"/>
          </rPr>
          <t>Comentário:</t>
        </r>
        <r>
          <rPr>
            <sz val="11"/>
            <color rgb="FF000000"/>
            <rFont val="Calibri"/>
            <family val="2"/>
          </rPr>
          <t xml:space="preserve"> O percentual de nacionalização máximo depende da eficiência de triagem mecanizada definida nas Opções da Rota Tecnológica.
Se Eficiência = Alta -&gt; % Nac. &lt; 30%
Se Eficiência = Baix -&gt; % Nac. &lt; 50%</t>
        </r>
      </text>
    </comment>
    <comment ref="D58" authorId="0" shapeId="0" xr:uid="{00000000-0006-0000-0700-000009000000}">
      <text>
        <r>
          <rPr>
            <b/>
            <u/>
            <sz val="11"/>
            <color rgb="FF000000"/>
            <rFont val="Calibri"/>
            <family val="2"/>
          </rPr>
          <t xml:space="preserve">Comentário: </t>
        </r>
        <r>
          <rPr>
            <sz val="11"/>
            <color rgb="FF000000"/>
            <rFont val="Calibri"/>
            <family val="2"/>
          </rPr>
          <t>Preço médio a ser informado para pavimentação e paisagismo das áreas da unidade de tratamento de resíduos conforme a área total definida para o empreendimento e deduzindo-se a área de construção industrial.</t>
        </r>
      </text>
    </comment>
    <comment ref="C59" authorId="0" shapeId="0" xr:uid="{00000000-0006-0000-0700-00000A000000}">
      <text>
        <r>
          <rPr>
            <b/>
            <u/>
            <sz val="12"/>
            <color rgb="FF000000"/>
            <rFont val="Calibri"/>
            <family val="2"/>
          </rPr>
          <t>Comentário:</t>
        </r>
        <r>
          <rPr>
            <sz val="11"/>
            <color rgb="FF000000"/>
            <rFont val="Calibri"/>
            <family val="2"/>
          </rPr>
          <t xml:space="preserve"> Essa seleção tem impacto apenas sobre a TECNOLOGIA DE INCINERAÇÃO. Dessa forma, o usuário tem a possibilidade de definir a ORIGEM da tecnologia de Incineração como "Tecnologia Europeia" ou "Tecnologia Chinesa". Todos os impactos relevantes de Capex/Opex são automaticamente ajustados de acordo com essa seleção.</t>
        </r>
      </text>
    </comment>
    <comment ref="D60" authorId="0" shapeId="0" xr:uid="{00000000-0006-0000-0700-00000B000000}">
      <text>
        <r>
          <rPr>
            <b/>
            <u/>
            <sz val="12"/>
            <color rgb="FF000000"/>
            <rFont val="Calibri"/>
            <family val="2"/>
          </rPr>
          <t>Comentário:</t>
        </r>
        <r>
          <rPr>
            <sz val="11"/>
            <color rgb="FF000000"/>
            <rFont val="Calibri"/>
            <family val="2"/>
          </rPr>
          <t xml:space="preserve"> Os custos civis do Capex da tecnologia de INCINERAÇÃO têm uma forte dependência dos custos de concretagem usinada. A referência média no Brasil para grandes centros é um valor em torno de R$ 5.000 para o concreto aplicado (preparação, armação, fundação etc). Assim, o usuário pode introduzir alguma outra estimativa e os custos civis da tecnologia de incineração serão ajustados de acordo com o valor inserido.</t>
        </r>
      </text>
    </comment>
    <comment ref="G60" authorId="0" shapeId="0" xr:uid="{00000000-0006-0000-0700-00000C000000}">
      <text>
        <r>
          <rPr>
            <b/>
            <u/>
            <sz val="12"/>
            <color rgb="FF000000"/>
            <rFont val="Calibri"/>
            <family val="2"/>
          </rPr>
          <t>Comentário:</t>
        </r>
        <r>
          <rPr>
            <sz val="11"/>
            <color rgb="FF000000"/>
            <rFont val="Calibri"/>
            <family val="2"/>
          </rPr>
          <t xml:space="preserve"> Os equipamentos críticos, como trituradores de alta rotação (granuladores) e os separadores óticos de qualidade, deverão ser importados. Assim, não se recomenda um percentual de nacionalização acima de 30%.</t>
        </r>
      </text>
    </comment>
    <comment ref="D61" authorId="0" shapeId="0" xr:uid="{00000000-0006-0000-0700-00000D000000}">
      <text>
        <r>
          <rPr>
            <b/>
            <u/>
            <sz val="12"/>
            <color rgb="FF000000"/>
            <rFont val="Calibri"/>
            <family val="2"/>
          </rPr>
          <t>Comentário:</t>
        </r>
        <r>
          <rPr>
            <sz val="11"/>
            <color rgb="FF000000"/>
            <rFont val="Calibri"/>
            <family val="2"/>
          </rPr>
          <t xml:space="preserve"> Preço médio para construção de um galpão industrial com pré-moldados com fechamento lateral, cobertura e piso concretado.</t>
        </r>
      </text>
    </comment>
    <comment ref="D62" authorId="0" shapeId="0" xr:uid="{00000000-0006-0000-0700-00000E000000}">
      <text>
        <r>
          <rPr>
            <b/>
            <u/>
            <sz val="12"/>
            <color rgb="FF000000"/>
            <rFont val="Calibri"/>
            <family val="2"/>
          </rPr>
          <t>Comentário:</t>
        </r>
        <r>
          <rPr>
            <sz val="11"/>
            <color rgb="FF000000"/>
            <rFont val="Calibri"/>
            <family val="2"/>
          </rPr>
          <t xml:space="preserve"> O valor a ser informado aqui se refere ao reajuste (%) de preços a ser aplicado sobre o Capex de equipamentos nacionais em relação à Base de Custos da Ferramenta: março/2020.</t>
        </r>
      </text>
    </comment>
    <comment ref="G63" authorId="0" shapeId="0" xr:uid="{00000000-0006-0000-0700-00000F000000}">
      <text>
        <r>
          <rPr>
            <b/>
            <u/>
            <sz val="12"/>
            <color rgb="FF000000"/>
            <rFont val="Calibri"/>
            <family val="2"/>
          </rPr>
          <t>Comentário:</t>
        </r>
        <r>
          <rPr>
            <sz val="11"/>
            <color rgb="FF000000"/>
            <rFont val="Calibri"/>
            <family val="2"/>
          </rPr>
          <t xml:space="preserve"> Os equipamentos críticos, como trituradores de alta rotação (granuladores), os equipamentos do processo de biossecagem da fração orgânica e os separadores óticos de qualidade deverão ser importados. Assim, não se recomenda um percentual de nacionalização acima de 20%.</t>
        </r>
      </text>
    </comment>
    <comment ref="D64" authorId="0" shapeId="0" xr:uid="{00000000-0006-0000-0700-000010000000}">
      <text>
        <r>
          <rPr>
            <b/>
            <u/>
            <sz val="12"/>
            <color rgb="FF000000"/>
            <rFont val="Calibri"/>
            <family val="2"/>
          </rPr>
          <t>Comentário:</t>
        </r>
        <r>
          <rPr>
            <sz val="11"/>
            <color rgb="FF000000"/>
            <rFont val="Calibri"/>
            <family val="2"/>
          </rPr>
          <t xml:space="preserve"> Salário bruto mensal para o Gerente da Unidade de Tratamento de Resíduos, considerando todas as tecnologias selecionadas instaladas em um mesmo site.</t>
        </r>
      </text>
    </comment>
    <comment ref="D65" authorId="0" shapeId="0" xr:uid="{00000000-0006-0000-0700-000011000000}">
      <text>
        <r>
          <rPr>
            <b/>
            <u/>
            <sz val="12"/>
            <color rgb="FF000000"/>
            <rFont val="Calibri"/>
            <family val="2"/>
          </rPr>
          <t>Comentário:</t>
        </r>
        <r>
          <rPr>
            <sz val="11"/>
            <color rgb="FF000000"/>
            <rFont val="Calibri"/>
            <family val="2"/>
          </rPr>
          <t xml:space="preserve"> O salário médio mensal de supervisão é aquele considerado para todas as funções de liderança intermediária ou de alguma outra função sênior de qualificação da unidade de tratamento de resíduos.</t>
        </r>
      </text>
    </comment>
    <comment ref="D66" authorId="0" shapeId="0" xr:uid="{00000000-0006-0000-0700-000012000000}">
      <text>
        <r>
          <rPr>
            <b/>
            <u/>
            <sz val="12"/>
            <color rgb="FF000000"/>
            <rFont val="Calibri"/>
            <family val="2"/>
          </rPr>
          <t>Comentário:</t>
        </r>
        <r>
          <rPr>
            <sz val="11"/>
            <color rgb="FF000000"/>
            <rFont val="Calibri"/>
            <family val="2"/>
          </rPr>
          <t xml:space="preserve"> O salário médio bruto mensal do operador se refere ao salário que será considerado em todas as funções de nível operacional da unidade de tratamento de resíduos, com exceção dos operadores de triagem manual, que podem ter um regime de contratação diferenciado conforme as células D27 e D28.</t>
        </r>
      </text>
    </comment>
    <comment ref="G66" authorId="0" shapeId="0" xr:uid="{00000000-0006-0000-0700-000013000000}">
      <text>
        <r>
          <rPr>
            <b/>
            <u/>
            <sz val="12"/>
            <color rgb="FF000000"/>
            <rFont val="Calibri"/>
            <family val="2"/>
          </rPr>
          <t>Comentário:</t>
        </r>
        <r>
          <rPr>
            <sz val="11"/>
            <color rgb="FF000000"/>
            <rFont val="Calibri"/>
            <family val="2"/>
          </rPr>
          <t xml:space="preserve"> Os equipamentos críticos, como motogeradores, plantas de separação de biometano e alimentadores dos reatores (esse último para o caso de plantas com capacidade acima de 500t/d), deverão ser importados. Assim, não se recomenda um percentual de nacionalização acima de 15% para plantas acima de 500t/d nem um percentual de nacionalização acima de 25% para plantas abaixo de 500t/d.</t>
        </r>
      </text>
    </comment>
    <comment ref="C67" authorId="0" shapeId="0" xr:uid="{00000000-0006-0000-0700-000014000000}">
      <text>
        <r>
          <rPr>
            <b/>
            <u/>
            <sz val="12"/>
            <color rgb="FF000000"/>
            <rFont val="Calibri"/>
            <family val="2"/>
          </rPr>
          <t>Comentário:</t>
        </r>
        <r>
          <rPr>
            <sz val="11"/>
            <color rgb="FF000000"/>
            <rFont val="Calibri"/>
            <family val="2"/>
          </rPr>
          <t xml:space="preserve"> Definir o regime de contratação entre CLT e COOPERATIVA dos operadores da triagem manual.</t>
        </r>
      </text>
    </comment>
    <comment ref="D68" authorId="0" shapeId="0" xr:uid="{00000000-0006-0000-0700-000015000000}">
      <text>
        <r>
          <rPr>
            <b/>
            <u/>
            <sz val="12"/>
            <color rgb="FF000000"/>
            <rFont val="Calibri"/>
            <family val="2"/>
          </rPr>
          <t>Comentário:</t>
        </r>
        <r>
          <rPr>
            <sz val="11"/>
            <color rgb="FF000000"/>
            <rFont val="Calibri"/>
            <family val="2"/>
          </rPr>
          <t xml:space="preserve"> Salário médio bruto mensal do operador da tecnologia de TRIAGEM MANUAL. Confirmar também na célula acima o regime de contratação: CLT ou COOPERATIVA.</t>
        </r>
      </text>
    </comment>
    <comment ref="D69" authorId="0" shapeId="0" xr:uid="{00000000-0006-0000-0700-000016000000}">
      <text>
        <r>
          <rPr>
            <b/>
            <u/>
            <sz val="12"/>
            <color rgb="FF000000"/>
            <rFont val="Calibri"/>
            <family val="2"/>
          </rPr>
          <t>Comentário:</t>
        </r>
        <r>
          <rPr>
            <sz val="11"/>
            <color rgb="FF000000"/>
            <rFont val="Calibri"/>
            <family val="2"/>
          </rPr>
          <t xml:space="preserve"> Custo médio de consumo de energia elétrica em KWh/t a ser considerado para os cálculos/estimativas do custo operacional de cada tecnologia selecionada e de acordo com os consumos específicos unitários já definidos dentro da ferramenta.</t>
        </r>
      </text>
    </comment>
    <comment ref="G69" authorId="0" shapeId="0" xr:uid="{00000000-0006-0000-0700-000017000000}">
      <text>
        <r>
          <rPr>
            <b/>
            <u/>
            <sz val="12"/>
            <color rgb="FF000000"/>
            <rFont val="Calibri"/>
            <family val="2"/>
          </rPr>
          <t>Comentário:</t>
        </r>
        <r>
          <rPr>
            <sz val="11"/>
            <color rgb="FF000000"/>
            <rFont val="Calibri"/>
            <family val="2"/>
          </rPr>
          <t xml:space="preserve"> A maior parte dos custos de Capex de equipamentos se refere às mantas de cobertura das leiras e seus equipamentos e sistemas de controle de processo. Dessa forma, não se recomenda um percentual de nacionalização acima de 20%.</t>
        </r>
      </text>
    </comment>
    <comment ref="D70" authorId="0" shapeId="0" xr:uid="{00000000-0006-0000-0700-000018000000}">
      <text>
        <r>
          <rPr>
            <b/>
            <u/>
            <sz val="12"/>
            <color rgb="FF000000"/>
            <rFont val="Calibri"/>
            <family val="2"/>
          </rPr>
          <t>Comentário:</t>
        </r>
        <r>
          <rPr>
            <sz val="11"/>
            <color rgb="FF000000"/>
            <rFont val="Calibri"/>
            <family val="2"/>
          </rPr>
          <t xml:space="preserve"> Custo médio de consumo de energia elétrica em KWh/t a ser considerado para os cálculos/estimativas do custo operacional de cada tecnologia selecionada e de acordo com os consumos específicos unitários já definidos dentro da ferramenta.</t>
        </r>
      </text>
    </comment>
    <comment ref="D71" authorId="0" shapeId="0" xr:uid="{00000000-0006-0000-0700-000019000000}">
      <text>
        <r>
          <rPr>
            <b/>
            <u/>
            <sz val="12"/>
            <color rgb="FF000000"/>
            <rFont val="Calibri"/>
            <family val="2"/>
          </rPr>
          <t>Comentário:</t>
        </r>
        <r>
          <rPr>
            <sz val="11"/>
            <color rgb="FF000000"/>
            <rFont val="Calibri"/>
            <family val="2"/>
          </rPr>
          <t xml:space="preserve"> Informar o valor médio mensal dos serviços a serem considerados terceirizados na unidade de tratamento de resíduos. Ex.: Portaria/Segurança patrimonial, limpeza industrial, alimentação, telefonia, utilidades etc.</t>
        </r>
      </text>
    </comment>
    <comment ref="D72" authorId="0" shapeId="0" xr:uid="{00000000-0006-0000-0700-00001A000000}">
      <text>
        <r>
          <rPr>
            <b/>
            <u/>
            <sz val="12"/>
            <color rgb="FF000000"/>
            <rFont val="Calibri"/>
            <family val="2"/>
          </rPr>
          <t>Comentário:</t>
        </r>
        <r>
          <rPr>
            <b/>
            <sz val="11"/>
            <color rgb="FF000000"/>
            <rFont val="Calibri"/>
            <family val="2"/>
          </rPr>
          <t xml:space="preserve"> </t>
        </r>
        <r>
          <rPr>
            <sz val="11"/>
            <color rgb="FF000000"/>
            <rFont val="Calibri"/>
            <family val="2"/>
          </rPr>
          <t>Custo médio do aluguel de uma pá carregadeira a ser utilizada em todas as tecnologias para movimentação interna de resíduos/substratos e para alimentação dos resíduos brutos nas tecnologias onde aplicável.</t>
        </r>
      </text>
    </comment>
    <comment ref="G72" authorId="0" shapeId="0" xr:uid="{00000000-0006-0000-0700-00001B000000}">
      <text>
        <r>
          <rPr>
            <b/>
            <u/>
            <sz val="12"/>
            <color rgb="FF000000"/>
            <rFont val="Calibri"/>
            <family val="2"/>
          </rPr>
          <t>Comentário:</t>
        </r>
        <r>
          <rPr>
            <sz val="11"/>
            <color rgb="FF000000"/>
            <rFont val="Calibri"/>
            <family val="2"/>
          </rPr>
          <t xml:space="preserve"> Pela criticidade operacional da instalação e por ser uma tecnologia ainda sem aplicação no Brasil, não se recomenda um percentual de nacionalização acima de 15% para a tecnologia europeia. Para o caso da tecnologia chinesa, adota-se uma premissa de adicionais 20% sobre o valor informado.</t>
        </r>
      </text>
    </comment>
    <comment ref="D73" authorId="0" shapeId="0" xr:uid="{00000000-0006-0000-0700-00001C000000}">
      <text>
        <r>
          <rPr>
            <b/>
            <u/>
            <sz val="12"/>
            <color rgb="FF000000"/>
            <rFont val="Calibri"/>
            <family val="2"/>
          </rPr>
          <t>Comentário:</t>
        </r>
        <r>
          <rPr>
            <sz val="11"/>
            <color rgb="FF000000"/>
            <rFont val="Calibri"/>
            <family val="2"/>
          </rPr>
          <t xml:space="preserve"> Custo médio do serviço terceirizado para movimentação e operações internas no aterro sanitário baseados em contrato variável (R$/t entrada RSU). Estimar o valor tomando-se em conta os equipamentos usuais na operação de um aterro sanitário: pá carregadeira, escavadeira, trator, rolo compactador etc. Estimar qual seria esse serviço terceirizado sem operador e sem diesel.</t>
        </r>
      </text>
    </comment>
    <comment ref="D74" authorId="0" shapeId="0" xr:uid="{00000000-0006-0000-0700-00001D000000}">
      <text>
        <r>
          <rPr>
            <b/>
            <u/>
            <sz val="12"/>
            <color rgb="FF000000"/>
            <rFont val="Calibri"/>
            <family val="2"/>
          </rPr>
          <t>Comentário:</t>
        </r>
        <r>
          <rPr>
            <sz val="11"/>
            <color rgb="FF000000"/>
            <rFont val="Calibri"/>
            <family val="2"/>
          </rPr>
          <t xml:space="preserve"> Informar o custo de destinação do efluente líquido gerado na biodigestão em R$/m3: Frete + Tratamento/Disposição.</t>
        </r>
      </text>
    </comment>
    <comment ref="D75" authorId="0" shapeId="0" xr:uid="{00000000-0006-0000-0700-00001E000000}">
      <text>
        <r>
          <rPr>
            <b/>
            <u/>
            <sz val="12"/>
            <color rgb="FF000000"/>
            <rFont val="Calibri"/>
            <family val="2"/>
          </rPr>
          <t>Comentário:</t>
        </r>
        <r>
          <rPr>
            <sz val="11"/>
            <color rgb="FF000000"/>
            <rFont val="Calibri"/>
            <family val="2"/>
          </rPr>
          <t xml:space="preserve"> Informar o preço médio do óleo diesel a ser utilizado como combustível para os equipamentos móveis dentro de todas as necessidades de movimentação interna de resíduos e substratos da unidade de tratamento de resíduos.</t>
        </r>
      </text>
    </comment>
    <comment ref="D76" authorId="0" shapeId="0" xr:uid="{00000000-0006-0000-0700-00001F000000}">
      <text>
        <r>
          <rPr>
            <b/>
            <u/>
            <sz val="12"/>
            <color rgb="FF000000"/>
            <rFont val="Calibri"/>
            <family val="2"/>
          </rPr>
          <t>Comentário:</t>
        </r>
        <r>
          <rPr>
            <sz val="11"/>
            <color rgb="FF000000"/>
            <rFont val="Calibri"/>
            <family val="2"/>
          </rPr>
          <t xml:space="preserve"> Informar o valor do preço médio do produto químico UREIA a ser utilizado para abatimento das emissões no caso da simulação de uma rota tecnológica que contenha a tecnologia de INCINERAÇÃO.</t>
        </r>
      </text>
    </comment>
    <comment ref="D77" authorId="0" shapeId="0" xr:uid="{00000000-0006-0000-0700-000020000000}">
      <text>
        <r>
          <rPr>
            <b/>
            <u/>
            <sz val="12"/>
            <color rgb="FF000000"/>
            <rFont val="Calibri"/>
            <family val="2"/>
          </rPr>
          <t>Comentário:</t>
        </r>
        <r>
          <rPr>
            <sz val="11"/>
            <color rgb="FF000000"/>
            <rFont val="Calibri"/>
            <family val="2"/>
          </rPr>
          <t xml:space="preserve"> Informar o valor do preço médio do produto químico CAL HIDRATADA a ser utilizado para abatimento das emissões no caso da simulação de uma rota tecnológica que contenha a tecnologia de INCINERAÇÃO.</t>
        </r>
      </text>
    </comment>
    <comment ref="D78" authorId="0" shapeId="0" xr:uid="{00000000-0006-0000-0700-000021000000}">
      <text>
        <r>
          <rPr>
            <b/>
            <u/>
            <sz val="12"/>
            <color rgb="FF000000"/>
            <rFont val="Calibri"/>
            <family val="2"/>
          </rPr>
          <t>Comentário:</t>
        </r>
        <r>
          <rPr>
            <sz val="11"/>
            <color rgb="FF000000"/>
            <rFont val="Calibri"/>
            <family val="2"/>
          </rPr>
          <t xml:space="preserve"> Informar o valor do preço médio do produto químico CARVÃO ATIVADO a ser utilizado para abatimento das emissões no caso da simulação de uma rota tecnológica que contenha a tecnologia de INCINERAÇÃO.</t>
        </r>
      </text>
    </comment>
    <comment ref="D79" authorId="0" shapeId="0" xr:uid="{00000000-0006-0000-0700-000022000000}">
      <text>
        <r>
          <rPr>
            <b/>
            <u/>
            <sz val="12"/>
            <color rgb="FF000000"/>
            <rFont val="Calibri"/>
            <family val="2"/>
          </rPr>
          <t>Comentário:</t>
        </r>
        <r>
          <rPr>
            <sz val="11"/>
            <color rgb="FF000000"/>
            <rFont val="Calibri"/>
            <family val="2"/>
          </rPr>
          <t xml:space="preserve"> Informar o valor do preço/tarifa média da água industrial a ser consumida na planta de INCINERAÇÃO, no caso da simulação de uma rota tecnológica que contenha a tecnologia de INCINERAÇÃO.</t>
        </r>
      </text>
    </comment>
    <comment ref="D82" authorId="0" shapeId="0" xr:uid="{00000000-0006-0000-0700-000023000000}">
      <text>
        <r>
          <rPr>
            <b/>
            <u/>
            <sz val="12"/>
            <color rgb="FF000000"/>
            <rFont val="Calibri"/>
            <family val="2"/>
          </rPr>
          <t>Comentário:</t>
        </r>
        <r>
          <rPr>
            <sz val="11"/>
            <color rgb="FF000000"/>
            <rFont val="Calibri"/>
            <family val="2"/>
          </rPr>
          <t xml:space="preserve"> Informar o custo unitário (R$/t) da coleta de resíduos seletivos secos a ser utilizado para compor o custo total de toda a Rota Tecnológica em simulação.</t>
        </r>
      </text>
    </comment>
    <comment ref="D83" authorId="0" shapeId="0" xr:uid="{00000000-0006-0000-0700-000024000000}">
      <text>
        <r>
          <rPr>
            <b/>
            <u/>
            <sz val="12"/>
            <color rgb="FF000000"/>
            <rFont val="Calibri"/>
            <family val="2"/>
          </rPr>
          <t>Comentário:</t>
        </r>
        <r>
          <rPr>
            <sz val="11"/>
            <color rgb="FF000000"/>
            <rFont val="Calibri"/>
            <family val="2"/>
          </rPr>
          <t xml:space="preserve"> Informar o custo unitário (R$/t) da coleta de resíduos seletivos orgânicos a ser utilizado para compor o custo total de toda a Rota Tecnológica em simulação.</t>
        </r>
      </text>
    </comment>
    <comment ref="D84" authorId="0" shapeId="0" xr:uid="{00000000-0006-0000-0700-000025000000}">
      <text>
        <r>
          <rPr>
            <b/>
            <u/>
            <sz val="12"/>
            <color rgb="FF000000"/>
            <rFont val="Calibri"/>
            <family val="2"/>
          </rPr>
          <t>Comentário:</t>
        </r>
        <r>
          <rPr>
            <sz val="11"/>
            <color rgb="FF000000"/>
            <rFont val="Calibri"/>
            <family val="2"/>
          </rPr>
          <t xml:space="preserve"> Informar o custo unitário (R$/t) da coleta de resíduos mistos/rejeitos a ser utilizado para compor o custo total de toda a Rota Tecnológica em simulação.</t>
        </r>
      </text>
    </comment>
    <comment ref="D85" authorId="0" shapeId="0" xr:uid="{00000000-0006-0000-0700-000026000000}">
      <text>
        <r>
          <rPr>
            <b/>
            <u/>
            <sz val="12"/>
            <color rgb="FF000000"/>
            <rFont val="Calibri"/>
            <family val="2"/>
          </rPr>
          <t>Comentário:</t>
        </r>
        <r>
          <rPr>
            <sz val="11"/>
            <color rgb="FF000000"/>
            <rFont val="Calibri"/>
            <family val="2"/>
          </rPr>
          <t xml:space="preserve"> Caso tenha selecionado a inclusão de uma ESTAÇÃO DE TRANSBORDO na Rota Tecnológica, informar aqui o custo operacional da mesma em R$/t de RSU.</t>
        </r>
      </text>
    </comment>
    <comment ref="D88" authorId="0" shapeId="0" xr:uid="{00000000-0006-0000-0700-000027000000}">
      <text>
        <r>
          <rPr>
            <b/>
            <u/>
            <sz val="12"/>
            <color rgb="FF000000"/>
            <rFont val="Calibri"/>
            <family val="2"/>
          </rPr>
          <t>Comentário:</t>
        </r>
        <r>
          <rPr>
            <sz val="11"/>
            <color rgb="FF000000"/>
            <rFont val="Calibri"/>
            <family val="2"/>
          </rPr>
          <t xml:space="preserve"> Informar o custo do serviço de transporte (R$/t) dos rejeitos da unidade de tratamento de resíduos para o aterro sanitário existente considerado ou para o aterro novo definido.</t>
        </r>
      </text>
    </comment>
    <comment ref="D89" authorId="0" shapeId="0" xr:uid="{00000000-0006-0000-0700-000028000000}">
      <text>
        <r>
          <rPr>
            <b/>
            <u/>
            <sz val="12"/>
            <color rgb="FF000000"/>
            <rFont val="Calibri"/>
            <family val="2"/>
          </rPr>
          <t>Comentário:</t>
        </r>
        <r>
          <rPr>
            <sz val="11"/>
            <color rgb="FF000000"/>
            <rFont val="Calibri"/>
            <family val="2"/>
          </rPr>
          <t xml:space="preserve"> caso a rota tecnológica em definição utilize um aterro existente, nformar aqui o custo de disposição dos rejeitos (R$/t) da unidade de tratamento de resíduos no aterro existente considerado.</t>
        </r>
      </text>
    </comment>
    <comment ref="D90" authorId="0" shapeId="0" xr:uid="{00000000-0006-0000-0700-000029000000}">
      <text>
        <r>
          <rPr>
            <b/>
            <u/>
            <sz val="12"/>
            <color rgb="FF000000"/>
            <rFont val="Calibri"/>
            <family val="2"/>
          </rPr>
          <t>Comentário:</t>
        </r>
        <r>
          <rPr>
            <sz val="11"/>
            <color rgb="FF000000"/>
            <rFont val="Calibri"/>
            <family val="2"/>
          </rPr>
          <t xml:space="preserve"> Informar o custo médio (R$/t) de rejeito do serviço de transporte e disposição dos rejeitos perigosos, 25% das cinzas da tecnologia de INCINERAçÃO para um aterro sanitário de resíduos perigosos.</t>
        </r>
      </text>
    </comment>
    <comment ref="D99" authorId="0" shapeId="0" xr:uid="{00000000-0006-0000-0700-00002A000000}">
      <text>
        <r>
          <rPr>
            <b/>
            <u/>
            <sz val="12"/>
            <color rgb="FF000000"/>
            <rFont val="Calibri"/>
            <family val="2"/>
          </rPr>
          <t>Comentário:</t>
        </r>
        <r>
          <rPr>
            <sz val="11"/>
            <color rgb="FF000000"/>
            <rFont val="Calibri"/>
            <family val="2"/>
          </rPr>
          <t xml:space="preserve"> Informar o preço líquido de impostos médio FOB de venda de papel e papelão recicláveis, prevendo a retirada dos mesmos na porta da unidade de tratamento de resíduos.</t>
        </r>
      </text>
    </comment>
    <comment ref="D100" authorId="0" shapeId="0" xr:uid="{00000000-0006-0000-0700-00002B000000}">
      <text>
        <r>
          <rPr>
            <b/>
            <u/>
            <sz val="12"/>
            <color rgb="FF000000"/>
            <rFont val="Calibri"/>
            <family val="2"/>
          </rPr>
          <t>Comentário:</t>
        </r>
        <r>
          <rPr>
            <sz val="11"/>
            <color rgb="FF000000"/>
            <rFont val="Calibri"/>
            <family val="2"/>
          </rPr>
          <t xml:space="preserve"> Informar o preço líquido de impostos médio FOB de venda de plástico filme, prevendo sua retirada na porta da unidade de tratamento de resíduos.</t>
        </r>
      </text>
    </comment>
    <comment ref="D101" authorId="0" shapeId="0" xr:uid="{00000000-0006-0000-0700-00002C000000}">
      <text>
        <r>
          <rPr>
            <b/>
            <u/>
            <sz val="12"/>
            <color rgb="FF000000"/>
            <rFont val="Calibri"/>
            <family val="2"/>
          </rPr>
          <t>Comentário:</t>
        </r>
        <r>
          <rPr>
            <sz val="11"/>
            <color rgb="FF000000"/>
            <rFont val="Calibri"/>
            <family val="2"/>
          </rPr>
          <t xml:space="preserve"> Informar o preço líquido de impostos médio FOB de venda de plástico rígido reciclável, prevendo sua retirada na porta da unidade de tratamento de resíduos.</t>
        </r>
      </text>
    </comment>
    <comment ref="D102" authorId="0" shapeId="0" xr:uid="{00000000-0006-0000-0700-00002D000000}">
      <text>
        <r>
          <rPr>
            <b/>
            <u/>
            <sz val="12"/>
            <color rgb="FF000000"/>
            <rFont val="Calibri"/>
            <family val="2"/>
          </rPr>
          <t>Comentário:</t>
        </r>
        <r>
          <rPr>
            <sz val="11"/>
            <color rgb="FF000000"/>
            <rFont val="Calibri"/>
            <family val="2"/>
          </rPr>
          <t xml:space="preserve"> Informar o preço líquido de impostos médio FOB de venda de vidros recicláveis, prevendo sua retirada na porta da unidade de tratamento de resíduos.</t>
        </r>
      </text>
    </comment>
    <comment ref="D103" authorId="0" shapeId="0" xr:uid="{00000000-0006-0000-0700-00002E000000}">
      <text>
        <r>
          <rPr>
            <b/>
            <u/>
            <sz val="12"/>
            <color rgb="FF000000"/>
            <rFont val="Calibri"/>
            <family val="2"/>
          </rPr>
          <t>Comentário:</t>
        </r>
        <r>
          <rPr>
            <sz val="11"/>
            <color rgb="FF000000"/>
            <rFont val="Calibri"/>
            <family val="2"/>
          </rPr>
          <t xml:space="preserve"> Informar o preço líquido de impostos médio FOB de venda de materiais ferrosos recicláveis, prevendo sua retirada na porta da unidade de tratamento de resíduos.</t>
        </r>
      </text>
    </comment>
    <comment ref="D104" authorId="0" shapeId="0" xr:uid="{00000000-0006-0000-0700-00002F000000}">
      <text>
        <r>
          <rPr>
            <b/>
            <u/>
            <sz val="12"/>
            <color rgb="FF000000"/>
            <rFont val="Calibri"/>
            <family val="2"/>
          </rPr>
          <t>Comentário:</t>
        </r>
        <r>
          <rPr>
            <sz val="11"/>
            <color rgb="FF000000"/>
            <rFont val="Calibri"/>
            <family val="2"/>
          </rPr>
          <t xml:space="preserve"> Informar o preço líquido de impostos médio FOB de venda de Materiais Não Ferrosos recicláveis, prevendo-se a retirada dos mesmos na porta da unidade de tratamento de resíduos.</t>
        </r>
      </text>
    </comment>
    <comment ref="D106" authorId="0" shapeId="0" xr:uid="{00000000-0006-0000-0700-000030000000}">
      <text>
        <r>
          <rPr>
            <b/>
            <u/>
            <sz val="12"/>
            <color rgb="FF000000"/>
            <rFont val="Calibri"/>
            <family val="2"/>
          </rPr>
          <t>Comentário:</t>
        </r>
        <r>
          <rPr>
            <sz val="11"/>
            <color rgb="FF000000"/>
            <rFont val="Calibri"/>
            <family val="2"/>
          </rPr>
          <t xml:space="preserve"> Informar o preço FOB de venda do substrato composto nobre em R$/t de composto, ou seja, o preço prevendo a retirada do composto na porta da unidade de tratamento de resíduos. Para o caso de doação, considerar preço igual a "zero" (0).</t>
        </r>
      </text>
    </comment>
    <comment ref="D107" authorId="0" shapeId="0" xr:uid="{00000000-0006-0000-0700-000031000000}">
      <text>
        <r>
          <rPr>
            <b/>
            <u/>
            <sz val="12"/>
            <color rgb="FF000000"/>
            <rFont val="Calibri"/>
            <family val="2"/>
          </rPr>
          <t>Comentário:</t>
        </r>
        <r>
          <rPr>
            <sz val="11"/>
            <color rgb="FF000000"/>
            <rFont val="Calibri"/>
            <family val="2"/>
          </rPr>
          <t xml:space="preserve"> Informar o preço FOB de venda do substrato composto não nobre em R$/t de composto, ou seja, o preço prevendo a retirada do composto na porta da unidade de tratamento de resíduos. Para o caso de doação, considerar preço igual a "zero" (0).</t>
        </r>
      </text>
    </comment>
    <comment ref="D109" authorId="0" shapeId="0" xr:uid="{00000000-0006-0000-0700-000032000000}">
      <text>
        <r>
          <rPr>
            <b/>
            <u/>
            <sz val="12"/>
            <color rgb="FF000000"/>
            <rFont val="Calibri"/>
            <family val="2"/>
          </rPr>
          <t>Comentário:</t>
        </r>
        <r>
          <rPr>
            <sz val="11"/>
            <color rgb="FF000000"/>
            <rFont val="Calibri"/>
            <family val="2"/>
          </rPr>
          <t xml:space="preserve"> Informar o preço líquido de impostos FOB de venda do substrato CDR Fino em R$/t de CDR, ou seja, o preço prevendo a retirada do CDR na porta da unidade de tratamento de resíduos.</t>
        </r>
      </text>
    </comment>
    <comment ref="D110" authorId="0" shapeId="0" xr:uid="{00000000-0006-0000-0700-000033000000}">
      <text>
        <r>
          <rPr>
            <b/>
            <u/>
            <sz val="12"/>
            <color rgb="FF000000"/>
            <rFont val="Calibri"/>
            <family val="2"/>
          </rPr>
          <t>Comentário:</t>
        </r>
        <r>
          <rPr>
            <sz val="11"/>
            <color rgb="FF000000"/>
            <rFont val="Calibri"/>
            <family val="2"/>
          </rPr>
          <t xml:space="preserve"> Informar o preço líquido de impostos FOB de venda do substrato CDR Grosso em R$/t de CDR, ou seja, o preço prevendo a retirada do CDR na porta da unidade de tratamento de resíduos.</t>
        </r>
      </text>
    </comment>
    <comment ref="D112" authorId="0" shapeId="0" xr:uid="{00000000-0006-0000-0700-000034000000}">
      <text>
        <r>
          <rPr>
            <b/>
            <u/>
            <sz val="12"/>
            <color rgb="FF000000"/>
            <rFont val="Calibri"/>
            <family val="2"/>
          </rPr>
          <t>Comentário:</t>
        </r>
        <r>
          <rPr>
            <sz val="11"/>
            <color rgb="FF000000"/>
            <rFont val="Calibri"/>
            <family val="2"/>
          </rPr>
          <t xml:space="preserve"> Preço médio líquido de impostos da venda de energia elétrica em R$/MWh a ser gerada em quaisquer das tecnologias de biodigestão, incineração ou via reaproveitamento de biogás de aterro.</t>
        </r>
      </text>
    </comment>
    <comment ref="D113" authorId="1" shapeId="0" xr:uid="{00000000-0006-0000-0700-000035000000}">
      <text>
        <t>[Comentário encadeado]
Sua versão do Excel permite que você leia este comentário encadeado, no entanto, as edições serão removidas se o arquivo for aberto em uma versão mais recente do Excel. Saiba mais: https://go.microsoft.com/fwlink/?linkid=870924
Comentário:
    Comentário: Preço médio líquido de impostos da venda de energia elétrica em R$/MWh a ser gerada em quaisquer das tecnologias de biodigestão, incineração ou via reaproveitamento de biogás de aterro.</t>
      </text>
    </comment>
    <comment ref="D115" authorId="0" shapeId="0" xr:uid="{00000000-0006-0000-0700-000036000000}">
      <text>
        <r>
          <rPr>
            <b/>
            <u/>
            <sz val="12"/>
            <color rgb="FF000000"/>
            <rFont val="Calibri"/>
            <family val="2"/>
          </rPr>
          <t>Comentário:</t>
        </r>
        <r>
          <rPr>
            <sz val="11"/>
            <color rgb="FF000000"/>
            <rFont val="Calibri"/>
            <family val="2"/>
          </rPr>
          <t xml:space="preserve"> Preço médio líquido de impostos da venda de biometano em R$/Nm3 a ser produzido na tecnologia de biodigestão.</t>
        </r>
      </text>
    </comment>
    <comment ref="D116" authorId="0" shapeId="0" xr:uid="{00000000-0006-0000-0700-000037000000}">
      <text>
        <r>
          <rPr>
            <b/>
            <u/>
            <sz val="12"/>
            <color rgb="FF000000"/>
            <rFont val="Calibri"/>
            <family val="2"/>
          </rPr>
          <t>Comentário:</t>
        </r>
        <r>
          <rPr>
            <sz val="11"/>
            <color rgb="FF000000"/>
            <rFont val="Calibri"/>
            <family val="2"/>
          </rPr>
          <t xml:space="preserve">
    Preço médio líquido de impostos da venda de biometano em R$/Nm3 a ser produzido na tecnologia de biodigestão.</t>
        </r>
      </text>
    </comment>
  </commentList>
</comments>
</file>

<file path=xl/sharedStrings.xml><?xml version="1.0" encoding="utf-8"?>
<sst xmlns="http://schemas.openxmlformats.org/spreadsheetml/2006/main" count="2550" uniqueCount="1063">
  <si>
    <t xml:space="preserve">Município: </t>
  </si>
  <si>
    <t>São Judas Tadeu</t>
  </si>
  <si>
    <t>ATENÇÃO: Preencher/alterar somente as células em verde.</t>
  </si>
  <si>
    <t>Sim</t>
  </si>
  <si>
    <t>Rota Futura 1</t>
  </si>
  <si>
    <t>Não</t>
  </si>
  <si>
    <t>Dados gerais de geração de RSU</t>
  </si>
  <si>
    <t xml:space="preserve">população atendida (hab.) </t>
  </si>
  <si>
    <t>per capita</t>
  </si>
  <si>
    <t>massa total</t>
  </si>
  <si>
    <t>massa total manejada por dia (t/d)</t>
  </si>
  <si>
    <t>(Utilizar dados primários, ou seja, a composição gravimétrica real do município ou consórcio em análise)</t>
  </si>
  <si>
    <t xml:space="preserve">Utilizar dados gravimétricos fornecidos pelo usuário </t>
  </si>
  <si>
    <t xml:space="preserve"> Usar "padrão Brasil" </t>
  </si>
  <si>
    <t>Componentes</t>
  </si>
  <si>
    <t>Agrupamentos</t>
  </si>
  <si>
    <t>Dados do usuário</t>
  </si>
  <si>
    <t>Utilizados nos cálculos</t>
  </si>
  <si>
    <t>Padrão Brasil</t>
  </si>
  <si>
    <t>t/d</t>
  </si>
  <si>
    <t>(%)</t>
  </si>
  <si>
    <t>Tipo</t>
  </si>
  <si>
    <t>resíduos de alimentos</t>
  </si>
  <si>
    <t>Orgânicos</t>
  </si>
  <si>
    <t>resíduos verdes (jardins e parques)</t>
  </si>
  <si>
    <t>papel, papelão</t>
  </si>
  <si>
    <t>Recicláveis</t>
  </si>
  <si>
    <t>plástico filme</t>
  </si>
  <si>
    <t>plásticos rígidos</t>
  </si>
  <si>
    <t>vidros</t>
  </si>
  <si>
    <t>metais ferrosos</t>
  </si>
  <si>
    <t>metais não ferrrosos</t>
  </si>
  <si>
    <t>têxteis</t>
  </si>
  <si>
    <t>Outros combustíveis</t>
  </si>
  <si>
    <t>borracha, couro</t>
  </si>
  <si>
    <t>fraldas descartáveis e similares</t>
  </si>
  <si>
    <t>madeira</t>
  </si>
  <si>
    <t>resíduos minerais</t>
  </si>
  <si>
    <t>Outros não combustiveis</t>
  </si>
  <si>
    <t>outros</t>
  </si>
  <si>
    <t>Total (deve ser 100%)</t>
  </si>
  <si>
    <t>Tipos de coleta</t>
  </si>
  <si>
    <t xml:space="preserve">% </t>
  </si>
  <si>
    <t xml:space="preserve">coleta seletiva de recicláveis </t>
  </si>
  <si>
    <t xml:space="preserve">coleta seletiva de orgânicos </t>
  </si>
  <si>
    <t xml:space="preserve">coleta de mistos/rejeitos </t>
  </si>
  <si>
    <t>Tipo de coleta</t>
  </si>
  <si>
    <t>Papel e papelão</t>
  </si>
  <si>
    <t>Plásticos</t>
  </si>
  <si>
    <t>Vidros</t>
  </si>
  <si>
    <t>Metais</t>
  </si>
  <si>
    <t>Total</t>
  </si>
  <si>
    <t>Alimentos</t>
  </si>
  <si>
    <t>Verdes</t>
  </si>
  <si>
    <t>Filme</t>
  </si>
  <si>
    <t>Rígido</t>
  </si>
  <si>
    <t>Ferrosos</t>
  </si>
  <si>
    <t>Seletiva de orgânicos</t>
  </si>
  <si>
    <t>Trat. Biológico</t>
  </si>
  <si>
    <t>Tratam. biológico</t>
  </si>
  <si>
    <t>CDR</t>
  </si>
  <si>
    <t>Biosecagem CDR</t>
  </si>
  <si>
    <t>Incineração</t>
  </si>
  <si>
    <t>Aterro sanitário</t>
  </si>
  <si>
    <t>Aterro Sanitário</t>
  </si>
  <si>
    <t xml:space="preserve">Resíduos recicláveis ainda presentes na coleta de mistos (%) </t>
  </si>
  <si>
    <t>Resíduos orgânicos ainda presentes na coleta de mistos (%)</t>
  </si>
  <si>
    <t>Subprodutos e rejeitos separados da triagem (t/d)</t>
  </si>
  <si>
    <t>Triagem dos seletivos</t>
  </si>
  <si>
    <t>Triagem dos resíduos da coleta de mistos</t>
  </si>
  <si>
    <t>massa disponível (t/d)</t>
  </si>
  <si>
    <t>Mecanizada de mistos</t>
  </si>
  <si>
    <t>papel e papelão</t>
  </si>
  <si>
    <t>triagem manual (%)</t>
  </si>
  <si>
    <t>triagem mecanizada (%)</t>
  </si>
  <si>
    <t>porcentagem a ser triada (%)</t>
  </si>
  <si>
    <t>plástico rígido</t>
  </si>
  <si>
    <t xml:space="preserve">massa a ser triada (t/d) </t>
  </si>
  <si>
    <t>Manual de seletivos</t>
  </si>
  <si>
    <t>destino dos rejeitos</t>
  </si>
  <si>
    <t xml:space="preserve">massa (t/d) </t>
  </si>
  <si>
    <t>destino dos orgânicos</t>
  </si>
  <si>
    <t>metais não ferrosos</t>
  </si>
  <si>
    <t>Eficiência nas triagens</t>
  </si>
  <si>
    <t>Rejeitos seletivos</t>
  </si>
  <si>
    <t>Mecanizada de seletivos</t>
  </si>
  <si>
    <t>mecanizada de mistos</t>
  </si>
  <si>
    <t>Baixa</t>
  </si>
  <si>
    <t>Adotado: 90% comb. e 10% ñ comb.</t>
  </si>
  <si>
    <t>massa (t/d)</t>
  </si>
  <si>
    <t>manual de seletivos</t>
  </si>
  <si>
    <t>mecanizada de seletivos</t>
  </si>
  <si>
    <t>Rejeito para trat. Témico</t>
  </si>
  <si>
    <t>Man sel</t>
  </si>
  <si>
    <t xml:space="preserve"> mistos triados</t>
  </si>
  <si>
    <t>Mecaniz. Sel</t>
  </si>
  <si>
    <t>mistos não triados</t>
  </si>
  <si>
    <t>Mistos</t>
  </si>
  <si>
    <t>Produção de CDR</t>
  </si>
  <si>
    <t xml:space="preserve">Resíduos disponíveis para CDR </t>
  </si>
  <si>
    <t>CDR produzido (t/d)</t>
  </si>
  <si>
    <t>% CDR fino produzido</t>
  </si>
  <si>
    <t>CDR fino</t>
  </si>
  <si>
    <t>% CDR grosso produzido</t>
  </si>
  <si>
    <t>CDR grosso</t>
  </si>
  <si>
    <t>rejeito para aterro</t>
  </si>
  <si>
    <t>orgânicos seletivos (t/d)</t>
  </si>
  <si>
    <t>Destinação do material disponível para tratamento biológico (%)</t>
  </si>
  <si>
    <t>biodigestão anaeróbia (%)</t>
  </si>
  <si>
    <t>total de orgânicos (t/d)</t>
  </si>
  <si>
    <t>compostagem (uso nobre) (%)</t>
  </si>
  <si>
    <t>Capacidade (t/d)</t>
  </si>
  <si>
    <t>Biodigestão anaeróbia</t>
  </si>
  <si>
    <t>biodigestão anaeróbia (t/d)</t>
  </si>
  <si>
    <t>perda de massa</t>
  </si>
  <si>
    <t>Média</t>
  </si>
  <si>
    <t xml:space="preserve">potencial de geração do biodigestor </t>
  </si>
  <si>
    <t>Médio</t>
  </si>
  <si>
    <t>produção de biometano</t>
  </si>
  <si>
    <t>geração potencial de biogás (Nm³/t)</t>
  </si>
  <si>
    <t>geração de energia elétrica</t>
  </si>
  <si>
    <t>Aplicação no solo (florestamento)</t>
  </si>
  <si>
    <t>geração potencial de energia (kWh/t)</t>
  </si>
  <si>
    <t>Subprodutos (t/d)</t>
  </si>
  <si>
    <t>Cobertura de aterro sanitário</t>
  </si>
  <si>
    <t>destino do digestado</t>
  </si>
  <si>
    <t>Compostagem</t>
  </si>
  <si>
    <t>digestado a compostar (t/d)</t>
  </si>
  <si>
    <t>energia elétrica (kWh/d)</t>
  </si>
  <si>
    <t>biometano (Nm³/d)</t>
  </si>
  <si>
    <t>rejeito na peneira final</t>
  </si>
  <si>
    <t>Baixo</t>
  </si>
  <si>
    <t>Perdas e rejeitos (t/d)</t>
  </si>
  <si>
    <t>perda por evaporação ou biodigestão (t/d)</t>
  </si>
  <si>
    <t>rejeitos triagem  de mistos</t>
  </si>
  <si>
    <t>rejeitos triagem mec. sel.</t>
  </si>
  <si>
    <t>rejeitos triagem man. sel.</t>
  </si>
  <si>
    <t>vai para incineração</t>
  </si>
  <si>
    <t>vai para aterro sanitário</t>
  </si>
  <si>
    <t>orgânicos triagem  de mistos</t>
  </si>
  <si>
    <t>rejeito compostagem e CDR</t>
  </si>
  <si>
    <t>cinzas da incineração</t>
  </si>
  <si>
    <t>Tratamento térmico</t>
  </si>
  <si>
    <t>Incineração dos resíduos da coleta de mistos sem triagem?</t>
  </si>
  <si>
    <t>Subprodutos</t>
  </si>
  <si>
    <t>mistos sem triagem (t/d)</t>
  </si>
  <si>
    <t>metais não ferrosos (t/d)</t>
  </si>
  <si>
    <t>eficiência na geração de energia elétrica (%)</t>
  </si>
  <si>
    <t>cinzas de fundo para reaproveitamento (t/d)</t>
  </si>
  <si>
    <t>cinzas de fundo para aterro (t/d)</t>
  </si>
  <si>
    <t>geração de cinzas (%)</t>
  </si>
  <si>
    <t>massa disponível total (t/d)</t>
  </si>
  <si>
    <t>recuperação de metais das cinzas</t>
  </si>
  <si>
    <t>reaproveitamento das cinzas de fundo (%)</t>
  </si>
  <si>
    <t>perda de massa por combustão (t/d)</t>
  </si>
  <si>
    <t>PCI ponderado estimado (kWh/t)</t>
  </si>
  <si>
    <t>Disposição final</t>
  </si>
  <si>
    <t>total para aterro sanitário (t/d)</t>
  </si>
  <si>
    <t>sem queima (%)</t>
  </si>
  <si>
    <t>Estação de transbordo</t>
  </si>
  <si>
    <t>somente queima (%)</t>
  </si>
  <si>
    <t>há necessidade de estação de transbordo (ET)?</t>
  </si>
  <si>
    <t>Novo</t>
  </si>
  <si>
    <t>Rota atual</t>
  </si>
  <si>
    <t>Disp. inadequada</t>
  </si>
  <si>
    <t>aproveitamento do biogás (%)</t>
  </si>
  <si>
    <t>distância da ET ao aterro (km)</t>
  </si>
  <si>
    <t>Existente</t>
  </si>
  <si>
    <t>Rota futura</t>
  </si>
  <si>
    <t>porcentagem do resíduo que passa pela ET (%)</t>
  </si>
  <si>
    <t>Alta</t>
  </si>
  <si>
    <t>capacidade da ET (t/d)</t>
  </si>
  <si>
    <t>biogás gerado (Nm³/d)</t>
  </si>
  <si>
    <t>volume ocupado no aterro por ano (m³/d)</t>
  </si>
  <si>
    <t>Sem captação</t>
  </si>
  <si>
    <t>eficiência de captação do biogás</t>
  </si>
  <si>
    <t>produção de biometano (Nm³/d)</t>
  </si>
  <si>
    <t>biogás captado e disponível (Nm³/d)</t>
  </si>
  <si>
    <t>Triagem</t>
  </si>
  <si>
    <t>Perda de massa por secagem (%)</t>
  </si>
  <si>
    <t xml:space="preserve">Valor a usar </t>
  </si>
  <si>
    <t>Tratamento biológico</t>
  </si>
  <si>
    <t>Biodigestão</t>
  </si>
  <si>
    <t>Biodigestão e compostagem</t>
  </si>
  <si>
    <t>Geração potencial</t>
  </si>
  <si>
    <t>Biogás</t>
  </si>
  <si>
    <t>Perda de massa (%)</t>
  </si>
  <si>
    <t>Nm³/t</t>
  </si>
  <si>
    <t>kWh/t</t>
  </si>
  <si>
    <t>Alto</t>
  </si>
  <si>
    <t>%</t>
  </si>
  <si>
    <t>geração de cinzas</t>
  </si>
  <si>
    <t>Características das frações dos resíduos (para incineração e aterro sanitário)</t>
  </si>
  <si>
    <t>Características das frações dos resíduos</t>
  </si>
  <si>
    <t>Rota:</t>
  </si>
  <si>
    <t>Total de RSU gerado</t>
  </si>
  <si>
    <t>Seletiva de recicláveis</t>
  </si>
  <si>
    <t>Mistos ou rejeitos</t>
  </si>
  <si>
    <t>Materiais recuperados</t>
  </si>
  <si>
    <t>Evaporação</t>
  </si>
  <si>
    <t>Inicineração</t>
  </si>
  <si>
    <t>Volume no aterro:</t>
  </si>
  <si>
    <t>m³/d</t>
  </si>
  <si>
    <t>Total por destinação final (t/d)</t>
  </si>
  <si>
    <t>Estação de transbordo:</t>
  </si>
  <si>
    <t>Capacidade de projeto da unidade</t>
  </si>
  <si>
    <t>Etapa ou tecnologia</t>
  </si>
  <si>
    <t>Entrada</t>
  </si>
  <si>
    <t>Saída</t>
  </si>
  <si>
    <t>Materias recicláveis</t>
  </si>
  <si>
    <t>Rejeito</t>
  </si>
  <si>
    <t>Perda por evaporação</t>
  </si>
  <si>
    <t>Coletas</t>
  </si>
  <si>
    <t>Subtotal</t>
  </si>
  <si>
    <t>CDR TM</t>
  </si>
  <si>
    <t>CDR TMB</t>
  </si>
  <si>
    <t>Biodigestão + compostagem</t>
  </si>
  <si>
    <t>Mistos sem triagem</t>
  </si>
  <si>
    <t>Resíduos mistos não triados</t>
  </si>
  <si>
    <t>Resultado final do balanço de massa</t>
  </si>
  <si>
    <t>Massa (t/d)</t>
  </si>
  <si>
    <t>Aterro</t>
  </si>
  <si>
    <t>Evaporação*</t>
  </si>
  <si>
    <t xml:space="preserve">  * Por evaporação, combustão ou biodegradação</t>
  </si>
  <si>
    <t>Subprodutos por etapa da Rota</t>
  </si>
  <si>
    <t>Metais ferrosos</t>
  </si>
  <si>
    <t>Recicláveis orgânicos</t>
  </si>
  <si>
    <t>fino</t>
  </si>
  <si>
    <t>grosso</t>
  </si>
  <si>
    <t>Energia elétrica</t>
  </si>
  <si>
    <t>kWh/d</t>
  </si>
  <si>
    <t>Biometano</t>
  </si>
  <si>
    <t>Cinzas recicladas</t>
  </si>
  <si>
    <t>E9</t>
  </si>
  <si>
    <t>t/ano</t>
  </si>
  <si>
    <t>Materiais secos</t>
  </si>
  <si>
    <t>E13</t>
  </si>
  <si>
    <t>Composição (% massa úmida)</t>
  </si>
  <si>
    <t>E14</t>
  </si>
  <si>
    <t>E37</t>
  </si>
  <si>
    <t>Resíduos de alimentos</t>
  </si>
  <si>
    <t>E15</t>
  </si>
  <si>
    <t>E38</t>
  </si>
  <si>
    <t>Resíduos de jardins e parques</t>
  </si>
  <si>
    <t>E16</t>
  </si>
  <si>
    <t>E39</t>
  </si>
  <si>
    <t>E17</t>
  </si>
  <si>
    <t>E40</t>
  </si>
  <si>
    <t>E41</t>
  </si>
  <si>
    <t>E42</t>
  </si>
  <si>
    <t>E43</t>
  </si>
  <si>
    <t>Alumínio</t>
  </si>
  <si>
    <t>E24</t>
  </si>
  <si>
    <t>E44</t>
  </si>
  <si>
    <t>Têxteis</t>
  </si>
  <si>
    <t>E25</t>
  </si>
  <si>
    <t>E45</t>
  </si>
  <si>
    <t>Borracha, couro</t>
  </si>
  <si>
    <t>E46</t>
  </si>
  <si>
    <t>Fraldas (fraldas descartáveis)</t>
  </si>
  <si>
    <t>E47</t>
  </si>
  <si>
    <t>Madeira</t>
  </si>
  <si>
    <t>E30</t>
  </si>
  <si>
    <t>E48</t>
  </si>
  <si>
    <t>Resíduos minerais</t>
  </si>
  <si>
    <t>E31</t>
  </si>
  <si>
    <t>E49</t>
  </si>
  <si>
    <t>Outros</t>
  </si>
  <si>
    <t>Utilização do biogás</t>
  </si>
  <si>
    <t>E8</t>
  </si>
  <si>
    <t>E11</t>
  </si>
  <si>
    <t>E12</t>
  </si>
  <si>
    <t xml:space="preserve">Obs.: Saída de ROTAS sempre zero para 'Aterro controlado' </t>
  </si>
  <si>
    <t>E19</t>
  </si>
  <si>
    <t>E28</t>
  </si>
  <si>
    <t>E33</t>
  </si>
  <si>
    <t>Sem queima</t>
  </si>
  <si>
    <t>E34</t>
  </si>
  <si>
    <t>Queima</t>
  </si>
  <si>
    <t>E35</t>
  </si>
  <si>
    <t>Energia térmica</t>
  </si>
  <si>
    <t>Unid.</t>
  </si>
  <si>
    <t>Valor</t>
  </si>
  <si>
    <t>População Atendida</t>
  </si>
  <si>
    <t>hab.</t>
  </si>
  <si>
    <t>MR$/a</t>
  </si>
  <si>
    <t>Legenda</t>
  </si>
  <si>
    <t>Geração Diária de RSU</t>
  </si>
  <si>
    <t>R$/t RSU</t>
  </si>
  <si>
    <t>Capex (R$/t "Total Anual RSU")</t>
  </si>
  <si>
    <t>Geração Anual de RSU</t>
  </si>
  <si>
    <t>t/a</t>
  </si>
  <si>
    <t>R$.hab.-1.mês-1</t>
  </si>
  <si>
    <t>Capex (R$/t "Entr. Anual Tecnol.")</t>
  </si>
  <si>
    <t>Opex (R$/t "Total Anual RSU")</t>
  </si>
  <si>
    <t>Opex (R$/t "Entr. Anual Tecnol.")</t>
  </si>
  <si>
    <t>Qt (t/d "Entr. Tecnol")</t>
  </si>
  <si>
    <t>MR$</t>
  </si>
  <si>
    <t>R$/t anual RSU</t>
  </si>
  <si>
    <t>MWh/a</t>
  </si>
  <si>
    <t xml:space="preserve">Nm³/a </t>
  </si>
  <si>
    <t>Sim / Não</t>
  </si>
  <si>
    <t>a</t>
  </si>
  <si>
    <t>CEF/BNDES</t>
  </si>
  <si>
    <t>CEF</t>
  </si>
  <si>
    <t>000 MR$</t>
  </si>
  <si>
    <t>Geração Mensal de RSU</t>
  </si>
  <si>
    <t>t/mês</t>
  </si>
  <si>
    <t>Uso (Sim/Não)</t>
  </si>
  <si>
    <t>Capac. (t/a)</t>
  </si>
  <si>
    <t>Capex (MR$)</t>
  </si>
  <si>
    <t>Capex (R$/t entr)</t>
  </si>
  <si>
    <t>Opex (MR$)</t>
  </si>
  <si>
    <t>Opex (R$/t entr)</t>
  </si>
  <si>
    <t>R$/€</t>
  </si>
  <si>
    <t>R$/US $</t>
  </si>
  <si>
    <t>Capex /t RSU</t>
  </si>
  <si>
    <t>Receita Acess./ t RSU | Opex / t RSU</t>
  </si>
  <si>
    <t>Reinvestimento a cada 5 anos</t>
  </si>
  <si>
    <t>Custo Fixo | Custo Variável</t>
  </si>
  <si>
    <t>Triagem Mecanizada</t>
  </si>
  <si>
    <t>R$/m³</t>
  </si>
  <si>
    <t>R$/mês</t>
  </si>
  <si>
    <t>Biodigestão Anaeróbia</t>
  </si>
  <si>
    <t>Regime Cooperativa</t>
  </si>
  <si>
    <t>R$/MWh</t>
  </si>
  <si>
    <t>R$/Mês</t>
  </si>
  <si>
    <t>R$/h</t>
  </si>
  <si>
    <t>R$/L</t>
  </si>
  <si>
    <t>Área Total Aterrro Sanitário</t>
  </si>
  <si>
    <t>% de Nacionaliz. TOTAL dos Invest.</t>
  </si>
  <si>
    <t>Reinvestimento Total Rota (cada 5 anos)</t>
  </si>
  <si>
    <t>-</t>
  </si>
  <si>
    <t>Total CAPEX do Trat. / Disp. do RSU</t>
  </si>
  <si>
    <t>Dados de Custos Econômicos</t>
  </si>
  <si>
    <t>Receitas Acessórias</t>
  </si>
  <si>
    <t>R$/t</t>
  </si>
  <si>
    <t>R$/t CDR</t>
  </si>
  <si>
    <t>R$/t composto</t>
  </si>
  <si>
    <t>R$/t Mat. recicl.</t>
  </si>
  <si>
    <t>R$/Nm³</t>
  </si>
  <si>
    <t>Pot. Receita Acessória Total por t RSU</t>
  </si>
  <si>
    <t>Unidade</t>
  </si>
  <si>
    <t>Qt (Unit.)</t>
  </si>
  <si>
    <t>Qt (%)</t>
  </si>
  <si>
    <t>Qt. Imov. RESID. TOTAL</t>
  </si>
  <si>
    <t>% Imov.
 RESID. SOCIAL</t>
  </si>
  <si>
    <t>Definido</t>
  </si>
  <si>
    <t>m³/a</t>
  </si>
  <si>
    <t>Estimativa</t>
  </si>
  <si>
    <t>Estimado</t>
  </si>
  <si>
    <t>m³/t</t>
  </si>
  <si>
    <t>R$/a por Imóvel</t>
  </si>
  <si>
    <t>R$/m por Imóvel</t>
  </si>
  <si>
    <t>Valor Básico de Cálculo (VBC)</t>
  </si>
  <si>
    <t>Anual</t>
  </si>
  <si>
    <t>Mensal</t>
  </si>
  <si>
    <t>Receita Anual Estimada (MR$)</t>
  </si>
  <si>
    <t>t/a Total</t>
  </si>
  <si>
    <t>Qt m³/a Total</t>
  </si>
  <si>
    <t>Categoria Pública e Filantrópica</t>
  </si>
  <si>
    <t>t/mês Total</t>
  </si>
  <si>
    <t>Qt m³/mês total</t>
  </si>
  <si>
    <t>Fatores de cálculo cumulativos</t>
  </si>
  <si>
    <t>Categoria de uso (a)</t>
  </si>
  <si>
    <t>Frequência da Coleta</t>
  </si>
  <si>
    <t>Consumo médio mensal de água (c)</t>
  </si>
  <si>
    <t>t/mês Categoria</t>
  </si>
  <si>
    <t>Qt m³/mês da Categoria</t>
  </si>
  <si>
    <t>Tolerância</t>
  </si>
  <si>
    <t>Alternada (b1)</t>
  </si>
  <si>
    <t>Diária (b2)</t>
  </si>
  <si>
    <t>Coleta dias alternados</t>
  </si>
  <si>
    <t>Coleta Diária</t>
  </si>
  <si>
    <t>% Coleta Diária</t>
  </si>
  <si>
    <t>Fator Ponderador</t>
  </si>
  <si>
    <t>Kg/d por Unid. da Categoria</t>
  </si>
  <si>
    <t>Qt m³/m por faixa da Categoria</t>
  </si>
  <si>
    <t>Qt m³/m por Unid. da Categoria</t>
  </si>
  <si>
    <t>Categoria Residencial - NORMAL</t>
  </si>
  <si>
    <t>Categoria Residencial - SOCIAL</t>
  </si>
  <si>
    <t>Categoria Industrial</t>
  </si>
  <si>
    <t>∆ Valor</t>
  </si>
  <si>
    <t>∆ %</t>
  </si>
  <si>
    <t>R$/t RSU:</t>
  </si>
  <si>
    <t>R$.hab.-1.m-1:</t>
  </si>
  <si>
    <t>Ganho Invest. X 100 %</t>
  </si>
  <si>
    <t>R$.hab.-1.m-1</t>
  </si>
  <si>
    <t>(a)</t>
  </si>
  <si>
    <t>anos</t>
  </si>
  <si>
    <t>KPIs FINANCEIROS</t>
  </si>
  <si>
    <t>PROJETO</t>
  </si>
  <si>
    <t>ACIONISTA</t>
  </si>
  <si>
    <t>Projeção Anual da Inflação de Preços e Custos</t>
  </si>
  <si>
    <t>VPL (R$ MM)</t>
  </si>
  <si>
    <t>TIR (%)</t>
  </si>
  <si>
    <t>Spread (pp)</t>
  </si>
  <si>
    <t>VPI (R$ MM)</t>
  </si>
  <si>
    <t>VPL/VPI</t>
  </si>
  <si>
    <t>Payback (anos)</t>
  </si>
  <si>
    <t>% aa</t>
  </si>
  <si>
    <t>BNDES</t>
  </si>
  <si>
    <t>ACIONISTA: Ganho &amp; Prêmio Risco Invest.</t>
  </si>
  <si>
    <t>Término do Contrato</t>
  </si>
  <si>
    <t>Ano do Contrato</t>
  </si>
  <si>
    <t>Dados Quantitativos RSU</t>
  </si>
  <si>
    <t>Tecnologias</t>
  </si>
  <si>
    <t>Sim/Não</t>
  </si>
  <si>
    <t>Dados de Capex</t>
  </si>
  <si>
    <t>Capex da Tecnologia</t>
  </si>
  <si>
    <t>Custo Operacional MR$/a</t>
  </si>
  <si>
    <t>Dados de Receita Acessória</t>
  </si>
  <si>
    <t>Receita Acessória MR$/a</t>
  </si>
  <si>
    <t>Dados de Receitas Diretas</t>
  </si>
  <si>
    <t>Depreciação</t>
  </si>
  <si>
    <t>Lucro Operacional Bruto</t>
  </si>
  <si>
    <t>Lucro Operacional Líquido</t>
  </si>
  <si>
    <t>VPL (R$)</t>
  </si>
  <si>
    <t>VPL Acc. (R$)</t>
  </si>
  <si>
    <t>VPI (R$)</t>
  </si>
  <si>
    <t>Payback</t>
  </si>
  <si>
    <t>TIR</t>
  </si>
  <si>
    <t>(+) Liberações de Empréstimos</t>
  </si>
  <si>
    <t>Ano</t>
  </si>
  <si>
    <t>(-) Amortização de Empréstimos</t>
  </si>
  <si>
    <t>(-) Juros de Empréstimos</t>
  </si>
  <si>
    <t>Prazo (anos)</t>
  </si>
  <si>
    <t>Equipamentos &amp; Montagem</t>
  </si>
  <si>
    <t>Capex Total (Milh R$)</t>
  </si>
  <si>
    <t>Capex/t Dimens anual</t>
  </si>
  <si>
    <t>OPEX Anual</t>
  </si>
  <si>
    <t>Massa (t) Segregada Mat. Recicl. (kg p/ Catador p/ Turno)</t>
  </si>
  <si>
    <t>Pessoal (RS/t "Entr anual")</t>
  </si>
  <si>
    <t>Energia Elétrica (R$/t "Entr anual")</t>
  </si>
  <si>
    <t>Manutenção (R$/t "Entr anual")</t>
  </si>
  <si>
    <t>Complexidade e Tamanho da Operação c/ Terceiros</t>
  </si>
  <si>
    <t>Serviços Terceiros Fixos (R$/t "Entr anual")</t>
  </si>
  <si>
    <t>"Opex Total"/t "Entr anual"</t>
  </si>
  <si>
    <t>"Opex Total" (Milh R$/ano)</t>
  </si>
  <si>
    <t>"Opex Custo Fixo" (Milh R$/ano)</t>
  </si>
  <si>
    <t>"Opex Custo Variável" (R$/t Entr anual)</t>
  </si>
  <si>
    <t>Itens Consumíveis na Op. Produção (R$/t "Entr anual")</t>
  </si>
  <si>
    <t>ton/dia</t>
  </si>
  <si>
    <t>ton/ano</t>
  </si>
  <si>
    <t>Tempo Retenção FORSU nos Túneis (Semanas)</t>
  </si>
  <si>
    <t>Área Individual dos Túneis (m2)</t>
  </si>
  <si>
    <t>Deságio Custo Básico Constr. Civil Usinada: Brásil vs Europa</t>
  </si>
  <si>
    <t>4250t/tunel</t>
  </si>
  <si>
    <t>6000t/tunel</t>
  </si>
  <si>
    <t>Tecnologia Chinesa</t>
  </si>
  <si>
    <t>INCINERAÇÃO com Tecnologia Mass Burning</t>
  </si>
  <si>
    <t>Capacidade Tratamento por Linha</t>
  </si>
  <si>
    <t>Porcentual Cinzas a ser enviado p/ Aterro Res. Perigosos (%)</t>
  </si>
  <si>
    <t>ATERRO SANITÁRIO</t>
  </si>
  <si>
    <t>Custo de Pré-Implantação</t>
  </si>
  <si>
    <t>Custo de Implantação</t>
  </si>
  <si>
    <t xml:space="preserve">Drenagem de percolado e gás na massa de resíduos </t>
  </si>
  <si>
    <t xml:space="preserve">Cobertura operacional dos resíduos </t>
  </si>
  <si>
    <t>Drenagem de águas pluviais sobre o aterro</t>
  </si>
  <si>
    <t>Tratamento de percolado</t>
  </si>
  <si>
    <t xml:space="preserve">Instrumentação </t>
  </si>
  <si>
    <t>Monitoramento</t>
  </si>
  <si>
    <t xml:space="preserve">Vigilância </t>
  </si>
  <si>
    <t xml:space="preserve">Outras despesas operacionais </t>
  </si>
  <si>
    <t xml:space="preserve">Sistema de captação e queima de biogás </t>
  </si>
  <si>
    <t>Tolerância
(&lt; 20%)</t>
  </si>
  <si>
    <t>FCL Projeto (MR$)</t>
  </si>
  <si>
    <t>FCL Projeto Acc (MR$)</t>
  </si>
  <si>
    <t>VPL Projeto (MR$)</t>
  </si>
  <si>
    <t>VPL Projeto Acc. (MR$)</t>
  </si>
  <si>
    <t>VPL Acionista (MR$)</t>
  </si>
  <si>
    <t>VPL Acionista Acc. (MR$)</t>
  </si>
  <si>
    <t>FCL Acionista (MR$)</t>
  </si>
  <si>
    <t>FCL Acionista Acc (MR$)</t>
  </si>
  <si>
    <t>Ferramenta de Rotas e Custos</t>
  </si>
  <si>
    <t>Mistos/rejeitos</t>
  </si>
  <si>
    <t>Plástico</t>
  </si>
  <si>
    <t>Vidro</t>
  </si>
  <si>
    <t>Rejeitos/mistos</t>
  </si>
  <si>
    <t>Combustíveis</t>
  </si>
  <si>
    <t>Parques/jardins</t>
  </si>
  <si>
    <t>PCI — incineração (GJ/t)</t>
  </si>
  <si>
    <t>Obs.: 1 GJ = 277,78 kWh</t>
  </si>
  <si>
    <t>Custo Médio — Produção Biometano — Aterro</t>
  </si>
  <si>
    <t>Prod. CDR TMB — Trat. Mec./Biológ.</t>
  </si>
  <si>
    <t>Delta</t>
  </si>
  <si>
    <t>Payback — Acionista (anos)</t>
  </si>
  <si>
    <t>TIR — Acionista (%)</t>
  </si>
  <si>
    <t>VPL — Acionista (R$ MM)</t>
  </si>
  <si>
    <t>Payback — Projeto (anos)</t>
  </si>
  <si>
    <t>TIR — Projeto (%)</t>
  </si>
  <si>
    <t>VPL — Projeto (R$ MM)</t>
  </si>
  <si>
    <t>Reinvestimento — Capex Sustaining a cada 5 anos</t>
  </si>
  <si>
    <t xml:space="preserve">Município  </t>
  </si>
  <si>
    <t xml:space="preserve">Rota  </t>
  </si>
  <si>
    <t>Serviços: Eng., Cons. Licenc. etc.</t>
  </si>
  <si>
    <t>Opex Anual</t>
  </si>
  <si>
    <t>Capex</t>
  </si>
  <si>
    <t>Custo Fixo — Manutenção Mensal (R$/mês)</t>
  </si>
  <si>
    <t>Capex (Milh R$)</t>
  </si>
  <si>
    <t xml:space="preserve">Capex </t>
  </si>
  <si>
    <t xml:space="preserve">Manutenção das obras/fornecimentos diversos </t>
  </si>
  <si>
    <t>Fluidos (eletricidade, águas etc.)</t>
  </si>
  <si>
    <t xml:space="preserve">qual Rota está sendo simulada? </t>
  </si>
  <si>
    <t>ACIONISTA: Estr. Capital &amp; Prêmio Risco Invest.</t>
  </si>
  <si>
    <t>Simular rotas tecnológicas para o gerenciamento de RSU, por meio da realização estruturada do balanço de massa e da estimativa dos custos associados.</t>
  </si>
  <si>
    <t>Apenas as tecnologias consideradas consolidadas podem ser utilizadas na montagem de Rotas (triagens manual e mecanizada; produção de CDR; compostagem e biodigestão anaeróbia; incineração e aterro sanitário). Não é possível especificar quais sistemas de coleta seletiva serão usados, e apenas de maneira genérica é possível inserir as seletivas de recicláveis e de orgânicos. As eficiências de triagem são globais e não há como especificar eficiências diferentes por tipo de material. Na Ferramenta, sempre se assume que será uma única planta para determinada tecnologia.</t>
  </si>
  <si>
    <t>Legenda de cores das células:</t>
  </si>
  <si>
    <t xml:space="preserve">massa diária de RSU considerada na rota (t/d) </t>
  </si>
  <si>
    <t>(Dados "padrão Brasil", utilizar somente para simulações acadêmicas ou de treinamento, quando da ausência de dados primários)</t>
  </si>
  <si>
    <t xml:space="preserve">total de RSU a ser gerido pelo município </t>
  </si>
  <si>
    <t>Resumo de materiais por tipo de coleta</t>
  </si>
  <si>
    <t>Materiais ou resíduos disponíveis para tratamento em função do tipo de coleta (t/d)</t>
  </si>
  <si>
    <t>Não combustíveis</t>
  </si>
  <si>
    <t>Não ferrosos</t>
  </si>
  <si>
    <t>Definição das tecnologias na ROTA — Balanço de massa</t>
  </si>
  <si>
    <t>Triagem e definição do destino dos materiais e rejeitos</t>
  </si>
  <si>
    <t>Total de recicláveis</t>
  </si>
  <si>
    <t>Rejeitos e mistos disponíveis após as etapas de triagem (t/d) — no fluxo de rejeitos mistos</t>
  </si>
  <si>
    <t>rejeitos combustíveis seletivos (man.) (t/d)</t>
  </si>
  <si>
    <t>rejeitos combustíveis seletivos (mecan.) (t/d)</t>
  </si>
  <si>
    <t>rejeitos combustíveis triag. mecan. mistos (t/d)</t>
  </si>
  <si>
    <t>biossecagem — orgânicos de mistos (t/d)</t>
  </si>
  <si>
    <t>Rejeito para aterro (t/d)</t>
  </si>
  <si>
    <t>produção de CDR TM (t/d)</t>
  </si>
  <si>
    <t>produção de CDR TMB (t/d)</t>
  </si>
  <si>
    <t>orgânicos da triagem mecanizada (t/d)</t>
  </si>
  <si>
    <t>compostagem (uso não nobre) (%)</t>
  </si>
  <si>
    <t>Qual é a utilização do composto</t>
  </si>
  <si>
    <t>rejeito na peneira — composto para aterro (t/d)</t>
  </si>
  <si>
    <t>rejeito — seletivos (man.) (t/d)</t>
  </si>
  <si>
    <t>rejeito — seletivos (mecan.) (t/d)</t>
  </si>
  <si>
    <t>rejeito — triagem mec. mistos (t/d)</t>
  </si>
  <si>
    <t>metais ferrosos (t/d)</t>
  </si>
  <si>
    <t>aterro novo ou já existente?</t>
  </si>
  <si>
    <t>Composição do fluxo de rejeitos após triagem, produção de CDR e tratamento biológico (t/d) — (sem os recicláveis secos e os orgânicos separados na triagem)</t>
  </si>
  <si>
    <t>Ajuste de variáveis avançadas para realização do balanço de massa da Rota Tecnológica</t>
  </si>
  <si>
    <t>Rejeito na produção de CDR (%)</t>
  </si>
  <si>
    <t>CDR TM — seletivos</t>
  </si>
  <si>
    <t>CDR TMB — mistos</t>
  </si>
  <si>
    <t>eficiência na utilização do biogás (%)</t>
  </si>
  <si>
    <t>Eficiência na captação do biogás (%)</t>
  </si>
  <si>
    <t>potencial energético do biogás (MJ/Nm³)</t>
  </si>
  <si>
    <t>eficiência na geração elétrica (%)</t>
  </si>
  <si>
    <t>Total em porcentagem da Rota (%)</t>
  </si>
  <si>
    <t>Resumo da Rota — Capacidade das unidades e subprodutos gerados</t>
  </si>
  <si>
    <t>Resumo do fluxo de massa por etapa ou tecnologia na Rota (t/d)</t>
  </si>
  <si>
    <t>Rejeitos — triagem mistos</t>
  </si>
  <si>
    <t>Biossecagem — orgânicos</t>
  </si>
  <si>
    <t>Rejeitos — triagem de seletivos</t>
  </si>
  <si>
    <t>Rejeitos — triagem de mistos</t>
  </si>
  <si>
    <t>Rejeitos — produção de CDR</t>
  </si>
  <si>
    <t>Rejeitos — tratamento biológico</t>
  </si>
  <si>
    <t>Cinzas — incineração</t>
  </si>
  <si>
    <t>Material reciclável</t>
  </si>
  <si>
    <t>Total de orgânicos</t>
  </si>
  <si>
    <t>Total de CDR</t>
  </si>
  <si>
    <t>resíduo disponível pós-CDR</t>
  </si>
  <si>
    <t>Manual seletivos</t>
  </si>
  <si>
    <t>Quantidade de Rejeito Disposto em Aterro</t>
  </si>
  <si>
    <t>Qt. Mistos não triados | Direto para aterro</t>
  </si>
  <si>
    <t>Índice de reciclagem relativo ao total de RSU</t>
  </si>
  <si>
    <t>Custo Total da Coleta de RSU</t>
  </si>
  <si>
    <t>Custo Total das Tecnologias de Tratamento</t>
  </si>
  <si>
    <t>RESUMO — GESTÃO DE QUANTITATIVOS</t>
  </si>
  <si>
    <t>Total de Material Reciclável Recuperado</t>
  </si>
  <si>
    <t>Investimento Total — Tecnol. de Trat. de RSU</t>
  </si>
  <si>
    <t>Qt. Material Reciclável Recuperado — Triagem MAN</t>
  </si>
  <si>
    <t>% Nacionalização do Total dos Investimentos</t>
  </si>
  <si>
    <t>Investimento Total — Capex/t RSU</t>
  </si>
  <si>
    <t>Total de CDR Produzido</t>
  </si>
  <si>
    <t>Total de Energia Elétrica Produzida</t>
  </si>
  <si>
    <t>Provisão Capex — Fechamento do aterro após 20 anos</t>
  </si>
  <si>
    <t>Total de Biometano Produzido</t>
  </si>
  <si>
    <t>Invest. Total — Infraestrutura de Coleta de RSU</t>
  </si>
  <si>
    <t>PREMISSAS PARA DEFINIÇÃO DO CONTRATO</t>
  </si>
  <si>
    <t>Simulação de Contrato Incluindo Coleta</t>
  </si>
  <si>
    <t>Simulação de Contrato Incluindo Receitas Acessórias</t>
  </si>
  <si>
    <t>Estimativa de Crescimento Populacional Anual</t>
  </si>
  <si>
    <t>Referência — Produto de Financiamento</t>
  </si>
  <si>
    <t>Estimativa Preliminar de Tarifa — Contrato</t>
  </si>
  <si>
    <r>
      <t>R$/Imov.</t>
    </r>
    <r>
      <rPr>
        <b/>
        <vertAlign val="superscript"/>
        <sz val="12"/>
        <rFont val="Calibri"/>
        <family val="2"/>
      </rPr>
      <t>-1</t>
    </r>
    <r>
      <rPr>
        <b/>
        <sz val="12"/>
        <rFont val="Calibri"/>
        <family val="2"/>
      </rPr>
      <t>.m</t>
    </r>
    <r>
      <rPr>
        <b/>
        <vertAlign val="superscript"/>
        <sz val="12"/>
        <rFont val="Calibri"/>
        <family val="2"/>
      </rPr>
      <t>-1</t>
    </r>
  </si>
  <si>
    <t>Coleta Seletiva — Secos Recicláveis</t>
  </si>
  <si>
    <t>Coleta Seletiva — Orgânicos</t>
  </si>
  <si>
    <t>Coleta Convencional — Mistos/rejeitos</t>
  </si>
  <si>
    <t>Custo de Câmbio: Real/Euro</t>
  </si>
  <si>
    <t>Custo de Câmbio: Real/Dólar Americano</t>
  </si>
  <si>
    <t>Preço Médio do Terreno para Construção</t>
  </si>
  <si>
    <t>Preço Médio do Terreno para Construção de Aterro Sanitário</t>
  </si>
  <si>
    <t>Preço Médio de Paisagismo + Pavimentação em Concreto</t>
  </si>
  <si>
    <t>Preço Médio do Concreto Usinado Ind. Aplicado</t>
  </si>
  <si>
    <t>Preço Médio da Construção de Galpão Industrial com Piso</t>
  </si>
  <si>
    <t>Reajuste de Preços Nacionais vs. Março/2020</t>
  </si>
  <si>
    <t>Triagem Manual — Seletivos</t>
  </si>
  <si>
    <t>% de Nacionaliz. Equipamentos | % Sobredimens. Projetos</t>
  </si>
  <si>
    <t>Área da Unidade de Tratamento Industrial</t>
  </si>
  <si>
    <t>Produção de CDR TM — Trat. Mec.</t>
  </si>
  <si>
    <t>Área Total da Unidade de Tratamento de Resíduos</t>
  </si>
  <si>
    <t>Tecnologias de Tratamento &amp; Disposição</t>
  </si>
  <si>
    <t>Produção de CDR TMB — Trat. Mec./Biológ.</t>
  </si>
  <si>
    <t>Capex Encerramento Aterro Sanitário: após 20 anos</t>
  </si>
  <si>
    <t>Total OPEX do Tratamento/Disposição do RSU</t>
  </si>
  <si>
    <t>Informações sobre Capex &amp; Opex | Capex</t>
  </si>
  <si>
    <t>Informações sobre Capex &amp; Opex | Opex</t>
  </si>
  <si>
    <t>Salário Médio — Nível Gerencial</t>
  </si>
  <si>
    <t>Salário Médio — Nível Supervisão</t>
  </si>
  <si>
    <t>Salário Médio — Nível Operacional</t>
  </si>
  <si>
    <t>Salário Médio — Triador/Operador Triagem Manual</t>
  </si>
  <si>
    <t>Custo Médio de Consumo de Energia Elétrica</t>
  </si>
  <si>
    <t>Custo Fixo — Demanda de Energia Elétrica Contratada Ind.</t>
  </si>
  <si>
    <t>Custo Médio de Serviço — Terceiros Auxiliares Fixos</t>
  </si>
  <si>
    <t>Custo Médio de Aluguel de Pá Carregadeira com Oper.</t>
  </si>
  <si>
    <t>Custo Médio de Aluguel de Equipamentos Móveis para Aterro</t>
  </si>
  <si>
    <t>Custo Médio de Destinação de Efluente Líquido</t>
  </si>
  <si>
    <t>Custo Médio de Óleo Diesel para Movimentação Interna de Resíduos</t>
  </si>
  <si>
    <t>Custo Médio de Ureia — Abatimento das Emissões — Inciner.</t>
  </si>
  <si>
    <t>Custo Médio de Cal Hidratada — Abatimento das Emissões — Inciner.</t>
  </si>
  <si>
    <t>Custo Médio de Carvão Ativado — Abatimento das Emissões — Inciner.</t>
  </si>
  <si>
    <t>Custo Tarifa Média de Água Industrial para Inciner.</t>
  </si>
  <si>
    <t>Total de RSU Manejado no Tratamento/Disposição</t>
  </si>
  <si>
    <t>Custo de Coleta e Transporte — Seletiva Secos</t>
  </si>
  <si>
    <t>Custo de Coleta e Transporte — Seletiva Orgânicos</t>
  </si>
  <si>
    <t>Custo Coleta e Transporte — Mistos/Rejeitos</t>
  </si>
  <si>
    <t>Dados — Receitas Acessórias Unitárias</t>
  </si>
  <si>
    <t>Preço Médio Líquido — Venda(FOB): Vidros</t>
  </si>
  <si>
    <t>Pot. Receita Acessória — CDR</t>
  </si>
  <si>
    <t>Pot. Receita Acessória Energia Elétrica — Incineração</t>
  </si>
  <si>
    <t>Pot. Receita Acessória Energia Elétrica — Biodigestão</t>
  </si>
  <si>
    <t>Pot. Receita Acessória Energia Elétrica — Aterro</t>
  </si>
  <si>
    <t>Custo de Tratamento/Disposição do RSU sem Coleta</t>
  </si>
  <si>
    <t>Custo da Coleta Seletiva — Secos</t>
  </si>
  <si>
    <t>Custo da Coleta Seletiva — Orgânicos</t>
  </si>
  <si>
    <t>Custo da Coleta Convencional Mistos/rejeitos</t>
  </si>
  <si>
    <t>Custo da Operação — Estação Transbordo Col.Mistos/rejeitos</t>
  </si>
  <si>
    <t>Custo Total Unitário da Coleta de RSU</t>
  </si>
  <si>
    <t>Custos de Coleta e Transbordo</t>
  </si>
  <si>
    <t>Custo da Rota Tecnológica com Coleta</t>
  </si>
  <si>
    <t>Custo Total da Rota Tecnológica com Coleta</t>
  </si>
  <si>
    <t>Custo Total Unitário da Rota Tecnológica com Coleta</t>
  </si>
  <si>
    <t>Custo de Tratamento + Disposição sem Coleta</t>
  </si>
  <si>
    <t>Custo Médio — Produção de CDR</t>
  </si>
  <si>
    <t>Custo Médio — Produçãode Energia Elétrica — Biodigestão</t>
  </si>
  <si>
    <t>Custo Médio — Produção de Energia Elétrica — Incineração</t>
  </si>
  <si>
    <t>Custo Médio — Produção de Energia Elétrica — Aterro</t>
  </si>
  <si>
    <t>Custo Médio — Produção Biometano — Biodigestão</t>
  </si>
  <si>
    <t>Dados de Geração e Coleta de RSU</t>
  </si>
  <si>
    <t>RESUMO — GESTÃO ECONÔMICA</t>
  </si>
  <si>
    <t>TABELAS DE RECONCILIAÇÃO PARA VERIFICAÇÃO DOS AJUSTES DOS FATORES PONDERADORES vs HISTÓRICOS DE CONSUMO DE ÁGUA vs GERAÇÃO DE RSU</t>
  </si>
  <si>
    <t>Rec. Anual para Remuner. Contrato</t>
  </si>
  <si>
    <t>Preço Básico — Tarifa do Serviço</t>
  </si>
  <si>
    <t>Qt Anual de RSU para Tratamento</t>
  </si>
  <si>
    <t>Ref. Histórica Consumo de Água/hab/dia</t>
  </si>
  <si>
    <t>Parcela do custo do serviço de manejo do RSU a ser cobrado dos usuários</t>
  </si>
  <si>
    <t>Economias / Imóveis na Faixa</t>
  </si>
  <si>
    <t>RSU Tarifada (t/a)</t>
  </si>
  <si>
    <t>Água Consumida (m³/a)</t>
  </si>
  <si>
    <t>Preço da Tarifa de Destinação do RSU</t>
  </si>
  <si>
    <t>Índice de Retorno do Inv.: VPL</t>
  </si>
  <si>
    <t>Taxa de Lucratividade do Investimento</t>
  </si>
  <si>
    <t>Prazo do Contrato</t>
  </si>
  <si>
    <t>Índice de Retorno do Inv.: TIR</t>
  </si>
  <si>
    <t>Preço da Tarifa de Destinação de RSU</t>
  </si>
  <si>
    <t>Índice de Retorno do Inv.: Pay Back</t>
  </si>
  <si>
    <t>Premissas da Modelagem Econômica</t>
  </si>
  <si>
    <t>Crescimento Anual — Quantitativos de RSU</t>
  </si>
  <si>
    <t>% de Participação de Capital Próprio no Investimento</t>
  </si>
  <si>
    <t>Taxa de Lucratividade</t>
  </si>
  <si>
    <t>% de Capital de Financiamento do Investimento</t>
  </si>
  <si>
    <t>% Taxa Real de juros — Produto de Financimento</t>
  </si>
  <si>
    <t>Periodo de Amortização do Empréstimo</t>
  </si>
  <si>
    <t>Período de Carência para Início do Pagamento do Empréstimo</t>
  </si>
  <si>
    <t>Taxa de Juros durante o Período de Carência</t>
  </si>
  <si>
    <t>CMPC — Custo Médio Ponderado Capital (WACC)</t>
  </si>
  <si>
    <t>Ano de Implementação</t>
  </si>
  <si>
    <t>Curva de Aprendizado da Tecnologia (t/a)</t>
  </si>
  <si>
    <t>Qt Mistos Enviados Direto para ATERRO EXISTENTE</t>
  </si>
  <si>
    <t>Dados de Opex (Custo Op. + Coleta + Disp. Aterro)</t>
  </si>
  <si>
    <t>Dados de Opex + Gestão do Contrato</t>
  </si>
  <si>
    <t>Cálculos das Métricas Financeiras do Projeto</t>
  </si>
  <si>
    <t>Margem Operacional do Negócio</t>
  </si>
  <si>
    <t>Empréstimo Capex Acc (Dívida Antes da Amortização)</t>
  </si>
  <si>
    <t>Definição do Período de Amortização do Empréstimo</t>
  </si>
  <si>
    <t>Empréstimo Capex Acc (Dívida Pós-Amortização)</t>
  </si>
  <si>
    <t>Prazo do contrato</t>
  </si>
  <si>
    <t xml:space="preserve">Município </t>
  </si>
  <si>
    <t xml:space="preserve">Rota </t>
  </si>
  <si>
    <t>Ganho do Investidor</t>
  </si>
  <si>
    <t>Número de Turnos</t>
  </si>
  <si>
    <t>Número de Triadores/Operadores por Turno</t>
  </si>
  <si>
    <t>Despesas com Salários de Pessoal (R$/mês)</t>
  </si>
  <si>
    <t>Consumo de Energia Elétrica (kWh/t Res Entr anual)</t>
  </si>
  <si>
    <t>Demanda de Energia Elétrica em função da Pot. Instalada (kW)</t>
  </si>
  <si>
    <t>Índice de Custo Variável — Manutenção de Equipamentos do Capex (%)</t>
  </si>
  <si>
    <t>Custos de Serviços de Terceiros: Portaria, Segurança etc. (R$/mês)</t>
  </si>
  <si>
    <t>Complexidade e Tamanho da Operação com Terceiros</t>
  </si>
  <si>
    <t>Serviços de Terceiros Fixos (R$/t "Entr anual")</t>
  </si>
  <si>
    <t>Índice de Nacionalização de Equipamentos do Capex (%)</t>
  </si>
  <si>
    <t>Dimensionamento da Capacidade</t>
  </si>
  <si>
    <t>Infraestrutura Civil &amp; Utilidades</t>
  </si>
  <si>
    <t>Número de Operadores por Turno</t>
  </si>
  <si>
    <t>Índice de Custo Variável — Manutenção Equipamentos do Capex (%)</t>
  </si>
  <si>
    <t>CENTRAL DE TRIAGEM MECANIZADA</t>
  </si>
  <si>
    <t>CENTRAL DE TRIAGEM MANUAL</t>
  </si>
  <si>
    <t>PRODUÇÃO DE CDR — TRATAMENTO MECÂNICO</t>
  </si>
  <si>
    <t>PRODUÇÃO DE CDR — TRATAMENTO MECÂNICO BIOLÓGICO COM BIO-SECAGEM</t>
  </si>
  <si>
    <t>COMPOSTAGEM com Variação de Degrau Tecnológico ao longo das Faixas de Dimensionamento dos Quantitativos</t>
  </si>
  <si>
    <t>Dimens. Número de Leiras</t>
  </si>
  <si>
    <t>Índice de Custo Variável — Manutenção de Equipamentos do Capex  (%)</t>
  </si>
  <si>
    <t>BIODIGESTÃO ANAERÓBIA - Processo Extrasseco com Reatores em Túneis</t>
  </si>
  <si>
    <t>Número de "Túneis-Garagem" — Tecnologia Extrasseca</t>
  </si>
  <si>
    <t>Deságio — Custo Básico Constr. Civil Usinada: Brasil vs Europa</t>
  </si>
  <si>
    <t>Número de Linhas (Receb., Forno, Trat. Gases e Turb. Ger. E.Elétr.)</t>
  </si>
  <si>
    <t>Número de Operadores por Linha por Turno</t>
  </si>
  <si>
    <t>Número de Staff/Admin., Eng., Manut., MA, CQ, SST Planta Inciner.</t>
  </si>
  <si>
    <t>Consumo de Energia Elétrica (kWh/t RSU) e % Pot Energ. RSU Entr.</t>
  </si>
  <si>
    <t>Serviços de Meio Ambiente e Apólice de Seguros</t>
  </si>
  <si>
    <t>Área de Implant. de Aterro Sanit. (ha) | Custo de Aquis. de Terreno</t>
  </si>
  <si>
    <t>Capex a cada 5 anos para fechamento (após 20 anos de operação)</t>
  </si>
  <si>
    <t>Mão de obra direta</t>
  </si>
  <si>
    <t>Mão de obra indireta</t>
  </si>
  <si>
    <t>% Desvio do aterro sanitário</t>
  </si>
  <si>
    <t>% Desvio do Aterro Sanitário</t>
  </si>
  <si>
    <t>Pot. Receita Acessória — Venda Materiais Recicláveis</t>
  </si>
  <si>
    <t>Pot. Receita Acessória — Composto Orgânico</t>
  </si>
  <si>
    <t>Custo Médio — Segregação Reciclagem Manual</t>
  </si>
  <si>
    <t>Custo Médio — Segregação Reciclagem Mecânica</t>
  </si>
  <si>
    <t>Relação Básica Consumo de Água / Quantidade RSU</t>
  </si>
  <si>
    <t xml:space="preserve"> Verde - Informação a ser fornecida pelo usuário</t>
  </si>
  <si>
    <t xml:space="preserve"> Vermelho - Erro de cálculo nesta célula</t>
  </si>
  <si>
    <t xml:space="preserve"> Amarelo - Resultados de cálculos</t>
  </si>
  <si>
    <t xml:space="preserve"> Branco - Outros resultados de cálculos</t>
  </si>
  <si>
    <t xml:space="preserve"> Telha - Subprodutos das etapas ou tecnologias</t>
  </si>
  <si>
    <t xml:space="preserve"> Azul - Massa perdida para a atmosfera</t>
  </si>
  <si>
    <t xml:space="preserve"> Amarelo - Resultado de cálculo</t>
  </si>
  <si>
    <t xml:space="preserve"> Branco - Outros resultados de cálculo</t>
  </si>
  <si>
    <t>Mecanizada mistos</t>
  </si>
  <si>
    <t>Mecanizada seletivos</t>
  </si>
  <si>
    <t>Rejeitos seletiva — triagem manual</t>
  </si>
  <si>
    <t>Rejeitos seletiva — triagem mecanizada</t>
  </si>
  <si>
    <t>Rejeito — seletivos (mecanizada)</t>
  </si>
  <si>
    <t>Saída de dados para entrada na Ferramenta GEE — Emissão de gases de efeito estufa</t>
  </si>
  <si>
    <t>Composição — base úmida (%)</t>
  </si>
  <si>
    <t>ATENÇÃO: Preencher/alterar somente 
as células em verde.</t>
  </si>
  <si>
    <t>Mistos 
mecanizada</t>
  </si>
  <si>
    <t>Seletiva 
mecanizada</t>
  </si>
  <si>
    <t>Seletiva 
manual</t>
  </si>
  <si>
    <t>Resumo da Rota — Capacidades das unidades e subprodutos gerados</t>
  </si>
  <si>
    <t>Ver figura-resumo na Aba 'Fluxo ROTA'</t>
  </si>
  <si>
    <t>Ver tabela-resumo na Aba 'Resumo bal. massa'</t>
  </si>
  <si>
    <t>Rejeito na peneira 
pós-compostagem (%)</t>
  </si>
  <si>
    <r>
      <t>CH</t>
    </r>
    <r>
      <rPr>
        <b/>
        <vertAlign val="subscript"/>
        <sz val="10.5"/>
        <color rgb="FF005A6E"/>
        <rFont val="Arial"/>
        <family val="2"/>
      </rPr>
      <t>4</t>
    </r>
    <r>
      <rPr>
        <b/>
        <sz val="10.5"/>
        <color rgb="FF005A6E"/>
        <rFont val="Arial"/>
        <family val="2"/>
      </rPr>
      <t>/biogás (%)</t>
    </r>
  </si>
  <si>
    <r>
      <t xml:space="preserve">eficiência </t>
    </r>
    <r>
      <rPr>
        <b/>
        <sz val="10.5"/>
        <color rgb="FF005A6E"/>
        <rFont val="Arial"/>
        <family val="2"/>
      </rPr>
      <t>na geração de energia elétrica</t>
    </r>
  </si>
  <si>
    <r>
      <t>CH</t>
    </r>
    <r>
      <rPr>
        <b/>
        <vertAlign val="subscript"/>
        <sz val="10.5"/>
        <color rgb="FF005A6E"/>
        <rFont val="Calibri"/>
        <family val="2"/>
      </rPr>
      <t>4</t>
    </r>
    <r>
      <rPr>
        <b/>
        <sz val="10.5"/>
        <color rgb="FF005A6E"/>
        <rFont val="Calibri"/>
        <family val="2"/>
      </rPr>
      <t>/biogás (%)</t>
    </r>
  </si>
  <si>
    <t>geração de biogás no aterro (Nm³/t)</t>
  </si>
  <si>
    <t>Manual — seletivos</t>
  </si>
  <si>
    <t>Mecanizada — seletivos</t>
  </si>
  <si>
    <t>Mecanizada — mistos</t>
  </si>
  <si>
    <t>Rejeito — seletivos (manual)</t>
  </si>
  <si>
    <r>
      <t>Nm</t>
    </r>
    <r>
      <rPr>
        <b/>
        <vertAlign val="superscript"/>
        <sz val="10.5"/>
        <color rgb="FF005A6E"/>
        <rFont val="Calibri"/>
        <family val="2"/>
      </rPr>
      <t>3</t>
    </r>
    <r>
      <rPr>
        <b/>
        <sz val="10.5"/>
        <color rgb="FF005A6E"/>
        <rFont val="Calibri"/>
        <family val="2"/>
      </rPr>
      <t>/d</t>
    </r>
  </si>
  <si>
    <t>Papel, papelão</t>
  </si>
  <si>
    <t>Obs.: Saída de ROTAS sempre zero para 'Não coletado'</t>
  </si>
  <si>
    <t xml:space="preserve">Obs.: Saída de ROTAS sempre zero para 'Queimado a céu aberto' </t>
  </si>
  <si>
    <t>Receita Acessória (R$/t "Entr. Anual Tecnol")</t>
  </si>
  <si>
    <r>
      <rPr>
        <b/>
        <sz val="10.5"/>
        <rFont val="Calibri"/>
        <family val="2"/>
      </rPr>
      <t>CMPC</t>
    </r>
    <r>
      <rPr>
        <sz val="10.5"/>
        <rFont val="Calibri"/>
        <family val="2"/>
      </rPr>
      <t xml:space="preserve"> — Custo Médio Pond. Capital </t>
    </r>
    <r>
      <rPr>
        <b/>
        <sz val="10.5"/>
        <rFont val="Calibri"/>
        <family val="2"/>
      </rPr>
      <t>(WACC)</t>
    </r>
  </si>
  <si>
    <r>
      <t xml:space="preserve">Custos de Investimento | </t>
    </r>
    <r>
      <rPr>
        <b/>
        <sz val="10.5"/>
        <rFont val="Calibri"/>
        <family val="2"/>
      </rPr>
      <t>Programas Socioambientais</t>
    </r>
  </si>
  <si>
    <r>
      <t>Custos de Investimento |</t>
    </r>
    <r>
      <rPr>
        <b/>
        <sz val="10.5"/>
        <rFont val="Calibri"/>
        <family val="2"/>
      </rPr>
      <t xml:space="preserve"> Itens Específicos do Contrato</t>
    </r>
  </si>
  <si>
    <r>
      <t xml:space="preserve">Geração </t>
    </r>
    <r>
      <rPr>
        <i/>
        <sz val="10.5"/>
        <rFont val="Calibri"/>
        <family val="2"/>
      </rPr>
      <t>per capita</t>
    </r>
    <r>
      <rPr>
        <sz val="10.5"/>
        <rFont val="Calibri"/>
        <family val="2"/>
      </rPr>
      <t xml:space="preserve"> de RSU</t>
    </r>
  </si>
  <si>
    <r>
      <t>kg.hab.</t>
    </r>
    <r>
      <rPr>
        <vertAlign val="superscript"/>
        <sz val="10.5"/>
        <rFont val="Calibri"/>
        <family val="2"/>
      </rPr>
      <t>-1</t>
    </r>
    <r>
      <rPr>
        <sz val="10.5"/>
        <rFont val="Calibri"/>
        <family val="2"/>
      </rPr>
      <t>.d</t>
    </r>
    <r>
      <rPr>
        <vertAlign val="superscript"/>
        <sz val="10.5"/>
        <rFont val="Calibri"/>
        <family val="2"/>
      </rPr>
      <t>-1</t>
    </r>
  </si>
  <si>
    <r>
      <t>R$/m</t>
    </r>
    <r>
      <rPr>
        <vertAlign val="superscript"/>
        <sz val="10.5"/>
        <rFont val="Calibri"/>
        <family val="2"/>
      </rPr>
      <t>2</t>
    </r>
  </si>
  <si>
    <r>
      <rPr>
        <b/>
        <sz val="10.5"/>
        <rFont val="Calibri"/>
        <family val="2"/>
      </rPr>
      <t>Incineração</t>
    </r>
    <r>
      <rPr>
        <sz val="10.5"/>
        <rFont val="Calibri"/>
        <family val="2"/>
      </rPr>
      <t>: Origem Base Tecnológica</t>
    </r>
  </si>
  <si>
    <r>
      <rPr>
        <b/>
        <sz val="10.5"/>
        <rFont val="Calibri"/>
        <family val="2"/>
      </rPr>
      <t>Regime de Contratação</t>
    </r>
    <r>
      <rPr>
        <sz val="10.5"/>
        <rFont val="Calibri"/>
        <family val="2"/>
      </rPr>
      <t xml:space="preserve"> Oper.Triagem Manual</t>
    </r>
  </si>
  <si>
    <t>Categoria Comercial (inclusive prestadores de serviços)</t>
  </si>
  <si>
    <r>
      <rPr>
        <b/>
        <u/>
        <sz val="14"/>
        <color rgb="FF95D6D3"/>
        <rFont val="Calibri"/>
        <family val="2"/>
      </rPr>
      <t xml:space="preserve">ESTIMATIVAS &amp; RECONCILIAÇÕES ANUAIS </t>
    </r>
    <r>
      <rPr>
        <b/>
        <sz val="14"/>
        <color rgb="FF95D6D3"/>
        <rFont val="Calibri"/>
        <family val="2"/>
      </rPr>
      <t>| Receitas de Faturamento | Quantitativo RSU Total | Quantitativo de Consumo Total de Água</t>
    </r>
  </si>
  <si>
    <t>O MPAF (Modelo de Precificação de Ativos Financeiros) ou CAPM (Capital Asset Pricing Model) representa o Custo do Capital Próprio</t>
  </si>
  <si>
    <t>Referência do Produto de Financiamento: CEF ou BNDES</t>
  </si>
  <si>
    <t>Contribuição Social sobre Lucro Líquido (CSLL)</t>
  </si>
  <si>
    <t>Imposto de Renda da Pessoa Jurídica (IRPJ)</t>
  </si>
  <si>
    <t>Taxa de Lucratividade — Projeto</t>
  </si>
  <si>
    <t>Taxa de Lucratividade — Acionista</t>
  </si>
  <si>
    <t>Qt Total de RSU Acc</t>
  </si>
  <si>
    <t>Qt Total de RSU</t>
  </si>
  <si>
    <t>Preço da Tarifa</t>
  </si>
  <si>
    <t>Número de anos</t>
  </si>
  <si>
    <r>
      <t>Dimensionamento da Área da Planta (m</t>
    </r>
    <r>
      <rPr>
        <b/>
        <vertAlign val="superscript"/>
        <sz val="10.5"/>
        <color rgb="FF005A6E"/>
        <rFont val="Calibri"/>
        <family val="2"/>
      </rPr>
      <t>2</t>
    </r>
    <r>
      <rPr>
        <b/>
        <sz val="10.5"/>
        <color rgb="FF005A6E"/>
        <rFont val="Calibri"/>
        <family val="2"/>
      </rPr>
      <t>/10 Operad.)</t>
    </r>
  </si>
  <si>
    <t>Tecnologia Europeia</t>
  </si>
  <si>
    <t xml:space="preserve">Objetivo   </t>
  </si>
  <si>
    <t xml:space="preserve">Escopo   </t>
  </si>
  <si>
    <t xml:space="preserve">Funcionalidades   </t>
  </si>
  <si>
    <t xml:space="preserve">Limitações   </t>
  </si>
  <si>
    <t>Aba 'Início' da Ferramenta GEE</t>
  </si>
  <si>
    <t>E7</t>
  </si>
  <si>
    <t>E10</t>
  </si>
  <si>
    <t>orgânicos triados</t>
  </si>
  <si>
    <t>orgânicos seletivos</t>
  </si>
  <si>
    <t>Tratamento biológ. + cobertura do aterro</t>
  </si>
  <si>
    <t>E32</t>
  </si>
  <si>
    <t>E58</t>
  </si>
  <si>
    <t>E59</t>
  </si>
  <si>
    <t>CDR seco + cimenteira + rejeito para aterro</t>
  </si>
  <si>
    <t>CDR seco + biosecagem CDR org. + cimenteira</t>
  </si>
  <si>
    <t>CDR seco + cimenteira + trat. biol. + cobertura aterro</t>
  </si>
  <si>
    <t>Resíduos orgânicos (para reciclagem) - uso na agricultura ou florestamento</t>
  </si>
  <si>
    <t>Tipo de tratamento de orgânicos - uso na agricultura ou florestamento</t>
  </si>
  <si>
    <t>Eficiência na coleta do biogás de aterro</t>
  </si>
  <si>
    <t>Aterro sanitário com coleta de biogás</t>
  </si>
  <si>
    <t>Aterro controlado sem coleta de biogás</t>
  </si>
  <si>
    <t>Disposição inadequada/lixão</t>
  </si>
  <si>
    <t>Queimado a céu aberto</t>
  </si>
  <si>
    <t>Não coletado e não queimado</t>
  </si>
  <si>
    <t>Digestão anaeróbia</t>
  </si>
  <si>
    <t>Resíduos de jardins e poda</t>
  </si>
  <si>
    <t>massa total resíduos sólidos (t/a)</t>
  </si>
  <si>
    <t>Cobertura AS</t>
  </si>
  <si>
    <t>Cálculo auxiliar de orgânicos - t/d</t>
  </si>
  <si>
    <t>Vai CDR</t>
  </si>
  <si>
    <t>AS pós triagem</t>
  </si>
  <si>
    <t>Org. triados</t>
  </si>
  <si>
    <t>Informações sobre a planta de incineração</t>
  </si>
  <si>
    <t>Informações sobre o aterro sanitário - coleta e uso do biogás</t>
  </si>
  <si>
    <t>Tipos de tratamento e descarte de resíduos - disposição no solo</t>
  </si>
  <si>
    <t>Outras opções de recuperação e destinação final</t>
  </si>
  <si>
    <t>Outras formas de tratamento e destinação final - utilização do biogás gerado</t>
  </si>
  <si>
    <t>Tratamento biollógico + cobertura de aterro</t>
  </si>
  <si>
    <t>CDR seco + cimenteira + trat. biol. + cobertura de aterro</t>
  </si>
  <si>
    <t>E51</t>
  </si>
  <si>
    <t>E52</t>
  </si>
  <si>
    <r>
      <t xml:space="preserve">geração </t>
    </r>
    <r>
      <rPr>
        <b/>
        <i/>
        <sz val="10.5"/>
        <color rgb="FF005A6E"/>
        <rFont val="Calibri"/>
        <family val="2"/>
      </rPr>
      <t>per capita</t>
    </r>
    <r>
      <rPr>
        <b/>
        <sz val="10.5"/>
        <color rgb="FF005A6E"/>
        <rFont val="Calibri"/>
        <family val="2"/>
      </rPr>
      <t xml:space="preserve"> de RSU (kg/hab.d) </t>
    </r>
  </si>
  <si>
    <r>
      <t xml:space="preserve">utilizar geração </t>
    </r>
    <r>
      <rPr>
        <b/>
        <i/>
        <sz val="10.5"/>
        <color rgb="FF005A6E"/>
        <rFont val="Calibri"/>
        <family val="2"/>
      </rPr>
      <t>per capita</t>
    </r>
    <r>
      <rPr>
        <b/>
        <sz val="10.5"/>
        <color rgb="FF005A6E"/>
        <rFont val="Calibri"/>
        <family val="2"/>
      </rPr>
      <t xml:space="preserve"> ou massa total? </t>
    </r>
  </si>
  <si>
    <t>mistos entrada p/ triagem</t>
  </si>
  <si>
    <t>rejeitos — triagem de mistos</t>
  </si>
  <si>
    <t>rejeitos combustíveis</t>
  </si>
  <si>
    <t>Rejeito — triagem mecananizada mistos</t>
  </si>
  <si>
    <r>
      <t xml:space="preserve">Pot. Receita Acessória Biometano </t>
    </r>
    <r>
      <rPr>
        <sz val="10.5"/>
        <color theme="4"/>
        <rFont val="Calibri"/>
        <family val="2"/>
      </rPr>
      <t>—</t>
    </r>
    <r>
      <rPr>
        <sz val="10.5"/>
        <rFont val="Calibri"/>
        <family val="2"/>
      </rPr>
      <t xml:space="preserve"> Biodigestão</t>
    </r>
  </si>
  <si>
    <r>
      <t xml:space="preserve">Pot. Receita Acessória Biometano </t>
    </r>
    <r>
      <rPr>
        <sz val="10.5"/>
        <color theme="4"/>
        <rFont val="Calibri"/>
        <family val="2"/>
      </rPr>
      <t>—</t>
    </r>
    <r>
      <rPr>
        <sz val="10.5"/>
        <rFont val="Calibri"/>
        <family val="2"/>
      </rPr>
      <t xml:space="preserve"> Aterro</t>
    </r>
  </si>
  <si>
    <r>
      <t xml:space="preserve">Pot. Receita Acessória Total </t>
    </r>
    <r>
      <rPr>
        <i/>
        <sz val="10.5"/>
        <rFont val="Calibri"/>
        <family val="2"/>
      </rPr>
      <t>per capita</t>
    </r>
  </si>
  <si>
    <r>
      <t xml:space="preserve">Custo Total da Coleta de RSU </t>
    </r>
    <r>
      <rPr>
        <i/>
        <sz val="10.5"/>
        <rFont val="Calibri"/>
        <family val="2"/>
      </rPr>
      <t>per capita</t>
    </r>
  </si>
  <si>
    <r>
      <t xml:space="preserve">Custo de Tratamento/Disposição do RSU sem Coleta </t>
    </r>
    <r>
      <rPr>
        <i/>
        <sz val="10.5"/>
        <rFont val="Calibri"/>
        <family val="2"/>
      </rPr>
      <t>per capita</t>
    </r>
  </si>
  <si>
    <r>
      <t xml:space="preserve">Custo Total da Rota Tecnológica com Coleta </t>
    </r>
    <r>
      <rPr>
        <i/>
        <sz val="10.5"/>
        <rFont val="Calibri"/>
        <family val="2"/>
      </rPr>
      <t>per capita</t>
    </r>
  </si>
  <si>
    <r>
      <t xml:space="preserve">Pot. </t>
    </r>
    <r>
      <rPr>
        <b/>
        <sz val="10.5"/>
        <color rgb="FF04272E"/>
        <rFont val="Calibri"/>
        <family val="2"/>
      </rPr>
      <t xml:space="preserve">Receita </t>
    </r>
    <r>
      <rPr>
        <b/>
        <sz val="10.5"/>
        <color rgb="FF000000"/>
        <rFont val="Calibri"/>
        <family val="2"/>
      </rPr>
      <t>Acessória Total — Tratamento RSU</t>
    </r>
  </si>
  <si>
    <r>
      <rPr>
        <u/>
        <sz val="12"/>
        <color rgb="FF04272E"/>
        <rFont val="Calibri"/>
        <family val="2"/>
        <scheme val="minor"/>
      </rPr>
      <t>Variáveis Tarifárias</t>
    </r>
    <r>
      <rPr>
        <b/>
        <sz val="12"/>
        <color rgb="FF04272E"/>
        <rFont val="Calibri"/>
        <family val="2"/>
        <scheme val="minor"/>
      </rPr>
      <t xml:space="preserve"> | SUBSÍDIOS</t>
    </r>
  </si>
  <si>
    <t>G A R</t>
  </si>
  <si>
    <t>rejeitos não combust.</t>
  </si>
  <si>
    <t>Material</t>
  </si>
  <si>
    <t>Energia líquida</t>
  </si>
  <si>
    <t>volume ocupado no aterro (m³/t)</t>
  </si>
  <si>
    <r>
      <t xml:space="preserve">Triagem manual </t>
    </r>
    <r>
      <rPr>
        <sz val="10.5"/>
        <color rgb="FFFFFFFF"/>
        <rFont val="Calibri"/>
        <family val="2"/>
      </rPr>
      <t>seletivos</t>
    </r>
  </si>
  <si>
    <t>Triagem mecanizada selet.</t>
  </si>
  <si>
    <t>FLUXO DE MASSA DA ROTA</t>
  </si>
  <si>
    <t>Total manejado</t>
  </si>
  <si>
    <t>Triagem mecan. mistos</t>
  </si>
  <si>
    <t>retirado pelo CDR</t>
  </si>
  <si>
    <t>resíduo pós-triagem</t>
  </si>
  <si>
    <t>Org. seletivos</t>
  </si>
  <si>
    <t>Disponível</t>
  </si>
  <si>
    <t>perda por evaporação / secagem (t/d)</t>
  </si>
  <si>
    <t>RESUMO — INVESTIMENTO &amp; CONTRATO</t>
  </si>
  <si>
    <r>
      <rPr>
        <u/>
        <sz val="14"/>
        <color rgb="FF04272E"/>
        <rFont val="Calibri"/>
        <family val="2"/>
        <scheme val="minor"/>
      </rPr>
      <t>Variáveis Tarifárias</t>
    </r>
    <r>
      <rPr>
        <b/>
        <sz val="14"/>
        <color rgb="FF04272E"/>
        <rFont val="Calibri"/>
        <family val="2"/>
        <scheme val="minor"/>
      </rPr>
      <t xml:space="preserve"> | SUBSÍDIOS</t>
    </r>
  </si>
  <si>
    <r>
      <t>Custo de Aquisição do Terreno (m</t>
    </r>
    <r>
      <rPr>
        <b/>
        <vertAlign val="superscript"/>
        <sz val="12"/>
        <color rgb="FF005A6E"/>
        <rFont val="Calibri"/>
        <family val="2"/>
      </rPr>
      <t>2</t>
    </r>
    <r>
      <rPr>
        <b/>
        <sz val="12"/>
        <color rgb="FF005A6E"/>
        <rFont val="Calibri"/>
        <family val="2"/>
      </rPr>
      <t>): Área Ind. + Planta</t>
    </r>
  </si>
  <si>
    <t>Indexador</t>
  </si>
  <si>
    <r>
      <rPr>
        <b/>
        <i/>
        <u/>
        <sz val="12"/>
        <color rgb="FF005A6E"/>
        <rFont val="Calibri"/>
        <family val="2"/>
      </rPr>
      <t>Câmbio Real/Euro BASE</t>
    </r>
    <r>
      <rPr>
        <b/>
        <i/>
        <sz val="12"/>
        <color rgb="FF005A6E"/>
        <rFont val="Calibri"/>
        <family val="2"/>
      </rPr>
      <t xml:space="preserve"> do Dimensionamento Capex</t>
    </r>
  </si>
  <si>
    <r>
      <t xml:space="preserve">Massa para Dimensionamento — </t>
    </r>
    <r>
      <rPr>
        <b/>
        <i/>
        <sz val="18"/>
        <color theme="0"/>
        <rFont val="Calibri"/>
        <family val="2"/>
      </rPr>
      <t>Triagem Manual</t>
    </r>
  </si>
  <si>
    <t xml:space="preserve">Aluguel de Equipamentos com Operador e Combustível </t>
  </si>
  <si>
    <t>Energia Elétrica e Água (Milh R$/a)</t>
  </si>
  <si>
    <t>Pessoal (Milh R$/a)</t>
  </si>
  <si>
    <t>Manutenção (Milh R$/a)</t>
  </si>
  <si>
    <t>Serviços Terceiros Fixos (Milh R$/a)</t>
  </si>
  <si>
    <t>Itens Consumíveis na Op. Produção (Milh R$/a)</t>
  </si>
  <si>
    <t>Opex (R$/t a)</t>
  </si>
  <si>
    <r>
      <rPr>
        <b/>
        <i/>
        <u/>
        <sz val="12"/>
        <color rgb="FF005A6E"/>
        <rFont val="Calibri"/>
        <family val="2"/>
      </rPr>
      <t>Câmbio Real/Dólar BASE</t>
    </r>
    <r>
      <rPr>
        <b/>
        <i/>
        <sz val="12"/>
        <color rgb="FF005A6E"/>
        <rFont val="Calibri"/>
        <family val="2"/>
      </rPr>
      <t xml:space="preserve"> do Dimensionamento Capex</t>
    </r>
  </si>
  <si>
    <r>
      <t xml:space="preserve">Massa para Dimensionamento — 
</t>
    </r>
    <r>
      <rPr>
        <b/>
        <i/>
        <sz val="18"/>
        <color theme="0"/>
        <rFont val="Calibri"/>
        <family val="2"/>
      </rPr>
      <t>Triagem Mecanizada</t>
    </r>
  </si>
  <si>
    <r>
      <t xml:space="preserve">R$ / </t>
    </r>
    <r>
      <rPr>
        <b/>
        <sz val="12"/>
        <color theme="1" tint="0.14999847407452621"/>
        <rFont val="Calibri"/>
        <family val="2"/>
      </rPr>
      <t>€</t>
    </r>
  </si>
  <si>
    <r>
      <t xml:space="preserve">Massa para Dimensionamento - 
</t>
    </r>
    <r>
      <rPr>
        <b/>
        <sz val="18"/>
        <color theme="0"/>
        <rFont val="Calibri"/>
        <family val="2"/>
      </rPr>
      <t>Produção de CDR-TM (Trat. Mecânico)</t>
    </r>
  </si>
  <si>
    <r>
      <t xml:space="preserve">Massa para Dimensionamento -
</t>
    </r>
    <r>
      <rPr>
        <b/>
        <sz val="18"/>
        <color theme="0"/>
        <rFont val="Calibri"/>
        <family val="2"/>
      </rPr>
      <t>Prod. de CDR-TMB (Trat. Mec. Biológico)</t>
    </r>
  </si>
  <si>
    <r>
      <t xml:space="preserve">Massa para Dimensionamento - 
</t>
    </r>
    <r>
      <rPr>
        <b/>
        <sz val="18"/>
        <color theme="0"/>
        <rFont val="Calibri"/>
        <family val="2"/>
      </rPr>
      <t>Produção de Composto Orgânico</t>
    </r>
  </si>
  <si>
    <r>
      <t xml:space="preserve">Massa para Dimensionamento - </t>
    </r>
    <r>
      <rPr>
        <b/>
        <sz val="18"/>
        <color theme="0"/>
        <rFont val="Calibri"/>
        <family val="2"/>
      </rPr>
      <t>Biodigestão Anaeróbia</t>
    </r>
  </si>
  <si>
    <r>
      <t xml:space="preserve">Massa para Dimensionamento - </t>
    </r>
    <r>
      <rPr>
        <b/>
        <sz val="18"/>
        <color theme="0"/>
        <rFont val="Calibri"/>
        <family val="2"/>
      </rPr>
      <t>Incineração</t>
    </r>
  </si>
  <si>
    <t>Tec. Eur</t>
  </si>
  <si>
    <t>Tec. Chi</t>
  </si>
  <si>
    <t>Opex (Milh R$/a)</t>
  </si>
  <si>
    <r>
      <t xml:space="preserve">Massa para Dimensionamento - 
</t>
    </r>
    <r>
      <rPr>
        <b/>
        <i/>
        <sz val="20"/>
        <color theme="0"/>
        <rFont val="Calibri"/>
        <family val="2"/>
      </rPr>
      <t>Aterro Sanitário</t>
    </r>
  </si>
  <si>
    <t>R$ / US$</t>
  </si>
  <si>
    <r>
      <rPr>
        <b/>
        <sz val="22"/>
        <color theme="0"/>
        <rFont val="Calibri"/>
        <family val="2"/>
      </rPr>
      <t>Premissas</t>
    </r>
    <r>
      <rPr>
        <b/>
        <sz val="22"/>
        <color rgb="FF95D6D3"/>
        <rFont val="Calibri"/>
        <family val="1"/>
      </rPr>
      <t xml:space="preserve"> da Modelagem Econômico-Financeira</t>
    </r>
  </si>
  <si>
    <t>PREMISSAS Econômicas &amp; Financeiras</t>
  </si>
  <si>
    <t>AVALIAÇÃO COMPORTAMENTO / CORRELAÇÃO Preço Tarifa Serviços Manejo vs Tempo Pay Back Investimento</t>
  </si>
  <si>
    <r>
      <t>SIMULAÇÃO:</t>
    </r>
    <r>
      <rPr>
        <sz val="13"/>
        <color theme="0"/>
        <rFont val="Calibri"/>
        <family val="2"/>
        <scheme val="minor"/>
      </rPr>
      <t xml:space="preserve"> </t>
    </r>
    <r>
      <rPr>
        <b/>
        <u/>
        <sz val="13"/>
        <color theme="0"/>
        <rFont val="Calibri"/>
        <family val="2"/>
        <scheme val="minor"/>
      </rPr>
      <t>Preço Tarifa Serviço</t>
    </r>
    <r>
      <rPr>
        <sz val="12"/>
        <color theme="0"/>
        <rFont val="Calibri"/>
        <family val="2"/>
        <scheme val="minor"/>
      </rPr>
      <t xml:space="preserve"> com Prazo Contrato Constante</t>
    </r>
  </si>
  <si>
    <r>
      <t>SIMULAÇÃO:</t>
    </r>
    <r>
      <rPr>
        <sz val="13"/>
        <color theme="0"/>
        <rFont val="Calibri"/>
        <family val="2"/>
        <scheme val="minor"/>
      </rPr>
      <t xml:space="preserve"> </t>
    </r>
    <r>
      <rPr>
        <b/>
        <u/>
        <sz val="13"/>
        <color theme="0"/>
        <rFont val="Calibri"/>
        <family val="2"/>
        <scheme val="minor"/>
      </rPr>
      <t>Prazo de Contrato</t>
    </r>
    <r>
      <rPr>
        <sz val="13"/>
        <color theme="0"/>
        <rFont val="Calibri"/>
        <family val="2"/>
        <scheme val="minor"/>
      </rPr>
      <t xml:space="preserve"> </t>
    </r>
    <r>
      <rPr>
        <sz val="12"/>
        <color theme="0"/>
        <rFont val="Calibri"/>
        <family val="2"/>
        <scheme val="minor"/>
      </rPr>
      <t>com Preço Tarifa Serviço Constante</t>
    </r>
  </si>
  <si>
    <t>Premissas do Acionista: Estrutura do Capital</t>
  </si>
  <si>
    <t>Definição das PREMISSAS DOS PRODUTOS de Financiamento</t>
  </si>
  <si>
    <t>SANEAMENTO PARA TODOS</t>
  </si>
  <si>
    <t>ACIONISTA: Estrut. Produto de Financiamento</t>
  </si>
  <si>
    <t>PRINCIPAIS INDICADORES DE RENTABILIDADE DOS INVESTIMENTOS</t>
  </si>
  <si>
    <t>&lt;-- Meta</t>
  </si>
  <si>
    <t>DIVERGÊNCIA %
Qt. Economias / Imóveis</t>
  </si>
  <si>
    <t>DIVERGÊNCIA %
Receitas Anuais Faturamento</t>
  </si>
  <si>
    <t>DIVERGÊNCIA %
Qt Anual RSU</t>
  </si>
  <si>
    <t>DIVERGÊNCIA %
Qt Anual Consumo Água
(de acordo c/ Fatura Água)</t>
  </si>
  <si>
    <t>DIVERGÊNCIA %
Qt Anual Consumo Água
(Estimado p/ Geração RSU)</t>
  </si>
  <si>
    <t>Triag. Man</t>
  </si>
  <si>
    <t>Triag. Mec</t>
  </si>
  <si>
    <t>Prod. CDR - Trat. Mec</t>
  </si>
  <si>
    <t>ESTIM. TARIFA &amp; RENTAB. INVESTIMENTO</t>
  </si>
  <si>
    <t>RECEITAS ACESSÓRIAS e CUSTOS OPERACIONAIS</t>
  </si>
  <si>
    <t>DIVERGÊNCIA %
Qt Economias Classificadas OK nas Faixas</t>
  </si>
  <si>
    <t>&lt;--</t>
  </si>
  <si>
    <t>Prod. CDR - Trat. Mec./Biol.</t>
  </si>
  <si>
    <t>Material Reciclável</t>
  </si>
  <si>
    <t>CDR Grosso Produzido</t>
  </si>
  <si>
    <t>CDR Fino Produzido</t>
  </si>
  <si>
    <t>Energia Elétrica Produzida</t>
  </si>
  <si>
    <t>Biometano Produzido</t>
  </si>
  <si>
    <t>Mat. Recicl.: Papel/Papelão — Triagem Mecanizada</t>
  </si>
  <si>
    <t>Mat. Recicl.: Plástico Filme — Triagem Mecanizada</t>
  </si>
  <si>
    <t>Mat. Recicl.: Plástico Rígido — Triagem Mecanizada</t>
  </si>
  <si>
    <t>Mat. Recicl.: Vidros — Triagem Mecânica</t>
  </si>
  <si>
    <t>Mat. Recicl.: Metais Não Ferrosos — Triagem Mecanizada</t>
  </si>
  <si>
    <t>Mat. Recicl.: Metais Ferrosos — Triagem Mecanizada</t>
  </si>
  <si>
    <t>Mat. Recicl.: Metais Não Ferrosos — Incineração</t>
  </si>
  <si>
    <t>Mat. Recicl.: Metais Ferrosos — Incineração</t>
  </si>
  <si>
    <t>CDR Grosso Produzido — Trat. Mec.</t>
  </si>
  <si>
    <t>CDR Grosso Produzido — Trat. Mec. Biolológico</t>
  </si>
  <si>
    <t>CDR Fino Produzido — Trat. Mec</t>
  </si>
  <si>
    <t>CDR Fino Produzido — Trat. Mec. Biológico</t>
  </si>
  <si>
    <t>Mat. Recicl.: Papel/Papelão — Triagem Manual</t>
  </si>
  <si>
    <t>Mat. Recicl.: Plástico Filme — Triagem Manual</t>
  </si>
  <si>
    <t>Mat. Recicl.: Plástico Rígido — Triagem Manual</t>
  </si>
  <si>
    <t>Mat. Recicl.: Vidros — Triagem Manual</t>
  </si>
  <si>
    <t>Mat. Recicl.: Metais Não Ferrosos — Triagem Manual</t>
  </si>
  <si>
    <t>Mat. Recicl.: Metais Ferrosos — Triagem Manual</t>
  </si>
  <si>
    <t>Biometano — Aterro Sanitário</t>
  </si>
  <si>
    <t>Biometano — Biodigestão</t>
  </si>
  <si>
    <t>Energia Elétrica — Biogás de Aterro</t>
  </si>
  <si>
    <t>Energia Elétrica — Incineração</t>
  </si>
  <si>
    <t>Energia Elétrica — Biodigestão</t>
  </si>
  <si>
    <t>R$/kg</t>
  </si>
  <si>
    <r>
      <rPr>
        <b/>
        <sz val="10.5"/>
        <rFont val="Calibri"/>
        <family val="2"/>
      </rPr>
      <t>Faixa Min</t>
    </r>
    <r>
      <rPr>
        <sz val="10.5"/>
        <rFont val="Calibri"/>
        <family val="2"/>
      </rPr>
      <t xml:space="preserve"> - Fator Fixo (m</t>
    </r>
    <r>
      <rPr>
        <vertAlign val="superscript"/>
        <sz val="10.5"/>
        <rFont val="Calibri"/>
        <family val="2"/>
      </rPr>
      <t>3</t>
    </r>
    <r>
      <rPr>
        <sz val="10.5"/>
        <rFont val="Calibri"/>
        <family val="2"/>
      </rPr>
      <t>/m)</t>
    </r>
  </si>
  <si>
    <r>
      <rPr>
        <b/>
        <sz val="10.5"/>
        <rFont val="Calibri"/>
        <family val="2"/>
      </rPr>
      <t>Faixa Min</t>
    </r>
    <r>
      <rPr>
        <sz val="10.5"/>
        <rFont val="Calibri"/>
        <family val="2"/>
      </rPr>
      <t xml:space="preserve"> - Fator Variav (m</t>
    </r>
    <r>
      <rPr>
        <vertAlign val="superscript"/>
        <sz val="10.5"/>
        <rFont val="Calibri"/>
        <family val="2"/>
      </rPr>
      <t>3</t>
    </r>
    <r>
      <rPr>
        <sz val="10.5"/>
        <rFont val="Calibri"/>
        <family val="2"/>
      </rPr>
      <t>/m)</t>
    </r>
  </si>
  <si>
    <r>
      <rPr>
        <b/>
        <sz val="10.5"/>
        <rFont val="Calibri"/>
        <family val="2"/>
      </rPr>
      <t>Faixa Max</t>
    </r>
    <r>
      <rPr>
        <sz val="10.5"/>
        <rFont val="Calibri"/>
        <family val="2"/>
      </rPr>
      <t xml:space="preserve"> - Fator Fixo (m</t>
    </r>
    <r>
      <rPr>
        <vertAlign val="superscript"/>
        <sz val="10.5"/>
        <rFont val="Calibri"/>
        <family val="2"/>
      </rPr>
      <t>3</t>
    </r>
    <r>
      <rPr>
        <sz val="10.5"/>
        <rFont val="Calibri"/>
        <family val="2"/>
      </rPr>
      <t>/m)</t>
    </r>
  </si>
  <si>
    <r>
      <rPr>
        <b/>
        <sz val="10.5"/>
        <rFont val="Calibri"/>
        <family val="2"/>
      </rPr>
      <t>Faixa Max</t>
    </r>
    <r>
      <rPr>
        <sz val="10.5"/>
        <rFont val="Calibri"/>
        <family val="2"/>
      </rPr>
      <t xml:space="preserve"> - Fator Variav (m</t>
    </r>
    <r>
      <rPr>
        <vertAlign val="superscript"/>
        <sz val="10.5"/>
        <rFont val="Calibri"/>
        <family val="2"/>
      </rPr>
      <t>3</t>
    </r>
    <r>
      <rPr>
        <sz val="10.5"/>
        <rFont val="Calibri"/>
        <family val="2"/>
      </rPr>
      <t>/m)</t>
    </r>
  </si>
  <si>
    <t>Total Imóveis</t>
  </si>
  <si>
    <r>
      <t>R$.hab.</t>
    </r>
    <r>
      <rPr>
        <vertAlign val="superscript"/>
        <sz val="10.5"/>
        <rFont val="Calibri"/>
        <family val="2"/>
      </rPr>
      <t>-1</t>
    </r>
    <r>
      <rPr>
        <sz val="10.5"/>
        <rFont val="Calibri"/>
        <family val="2"/>
      </rPr>
      <t>.mês</t>
    </r>
    <r>
      <rPr>
        <vertAlign val="superscript"/>
        <sz val="10.5"/>
        <rFont val="Calibri"/>
        <family val="2"/>
      </rPr>
      <t>-1</t>
    </r>
  </si>
  <si>
    <r>
      <t>R$.MW</t>
    </r>
    <r>
      <rPr>
        <vertAlign val="superscript"/>
        <sz val="10.5"/>
        <rFont val="Calibri"/>
        <family val="2"/>
      </rPr>
      <t>-1</t>
    </r>
    <r>
      <rPr>
        <sz val="10.5"/>
        <rFont val="Calibri"/>
        <family val="2"/>
      </rPr>
      <t>.mês</t>
    </r>
    <r>
      <rPr>
        <vertAlign val="superscript"/>
        <sz val="10.5"/>
        <rFont val="Calibri"/>
        <family val="2"/>
      </rPr>
      <t>-1</t>
    </r>
  </si>
  <si>
    <t>Preço Médio Líquido — Venda (FOB): Papel/Papelão</t>
  </si>
  <si>
    <t>Preço Médio Líquido — Venda (FOB): Plástico Filme</t>
  </si>
  <si>
    <t>Preço Médio Líquido — Venda (FOB): Plástico Rígido</t>
  </si>
  <si>
    <t>Preço Médio Líquido — Venda (FOB): Metais Ferrosos</t>
  </si>
  <si>
    <t>Preço Médio Líquido — Venda (FOB): Metais Não Ferrosos</t>
  </si>
  <si>
    <t>Preço Médio Líquido — Venda (FOB): CDR Fino</t>
  </si>
  <si>
    <t>Preço Médio Líquido — Venda (FOB): CDR Grosso</t>
  </si>
  <si>
    <t>Preço Médio Líquido —Venda (FOB): Energia Elétrica — UTR</t>
  </si>
  <si>
    <t>Preço Médio Líquido — Venda (FOB): Energia Elétrica — Aterro</t>
  </si>
  <si>
    <t>Preço Médio Líquido —Venda (FOB): Biometano — Aterro</t>
  </si>
  <si>
    <r>
      <t xml:space="preserve">Composição gravimétrica dos resíduos que entram na rota </t>
    </r>
    <r>
      <rPr>
        <b/>
        <sz val="12"/>
        <color rgb="FF95D6D3"/>
        <rFont val="Calibri"/>
        <family val="2"/>
      </rPr>
      <t xml:space="preserve">(deve representar a massa total que consta em </t>
    </r>
    <r>
      <rPr>
        <b/>
        <i/>
        <sz val="12"/>
        <color rgb="FF95D6D3"/>
        <rFont val="Calibri"/>
        <family val="2"/>
      </rPr>
      <t>E14</t>
    </r>
    <r>
      <rPr>
        <b/>
        <sz val="14"/>
        <color rgb="FF95D6D3"/>
        <rFont val="Calibri"/>
        <family val="2"/>
      </rPr>
      <t>)</t>
    </r>
  </si>
  <si>
    <t>Aba 'Reciclagem' da Ferramenta GEE</t>
  </si>
  <si>
    <t>Aba 'Disposição' da Ferramenta GEE</t>
  </si>
  <si>
    <t>Regime CLT</t>
  </si>
  <si>
    <t>Fator R1 | Eficiência Recuperação Energética da EU: deve ser &gt; 65%</t>
  </si>
  <si>
    <t>PRAZO FIXO: 25 ANOS</t>
  </si>
  <si>
    <t>Receita Acessória — Tratamento de RSU para Concessionária</t>
  </si>
  <si>
    <t>Custo Serviço Transporte + Disposição Aterro Sanitário</t>
  </si>
  <si>
    <t>Eficiência Reciclagem Secos sobre Potencial Total RSU</t>
  </si>
  <si>
    <t>VBC — Valor Bás. Cálculo: Rec. Diretas/Nr Economias</t>
  </si>
  <si>
    <t>Pot. Receita Acessória — Venda Mat. Recicl. — Triag MAN</t>
  </si>
  <si>
    <t>Custo Médio CIF para Disposição Aterro Resíduos Perigosos</t>
  </si>
  <si>
    <t>Preço Médio Líquido — Venda (FOB): Biometano — UTR</t>
  </si>
  <si>
    <t>Custo Transporte Unidade Tratamento Resíduos até Aterro</t>
  </si>
  <si>
    <t>Valor Básico de Cálculo (VBC): Receita Tot./Nr Economias Consumidor</t>
  </si>
  <si>
    <t>Ref. Histórica Consumo Total Anual de Água</t>
  </si>
  <si>
    <t>% Referente ao Custo Serviço Órgão Regulador</t>
  </si>
  <si>
    <t>% Referente à Inadimplência | Sistema Cobrança de Água</t>
  </si>
  <si>
    <t>% Referente ao Custo pela Prestação do Serviço de Cobrança</t>
  </si>
  <si>
    <t>Tarifa Serviço Manejo e Tratamento RSU/Consumo de Água</t>
  </si>
  <si>
    <t>Tarifa Serv. Manejo/Trat. RSU/Consumo Água — (Pós-subsídio + Inadimpl.)</t>
  </si>
  <si>
    <t>Faturamento Anual Serv. Manejo/Trat. RSU — (Pós-subsídio + Inadimplência)</t>
  </si>
  <si>
    <t>Expectativa Evolução % Relação Consumo Água(t)/Geração RSU(t)</t>
  </si>
  <si>
    <r>
      <rPr>
        <u/>
        <sz val="14"/>
        <color rgb="FF04272E"/>
        <rFont val="Calibri"/>
        <family val="2"/>
        <scheme val="minor"/>
      </rPr>
      <t xml:space="preserve">Var. Tarif. </t>
    </r>
    <r>
      <rPr>
        <sz val="14"/>
        <color rgb="FF04272E"/>
        <rFont val="Calibri"/>
        <family val="2"/>
        <scheme val="minor"/>
      </rPr>
      <t>|</t>
    </r>
    <r>
      <rPr>
        <b/>
        <sz val="14"/>
        <color rgb="FF04272E"/>
        <rFont val="Calibri"/>
        <family val="2"/>
        <scheme val="minor"/>
      </rPr>
      <t xml:space="preserve"> AJUSTES Rel. Consumo Água/Geração RSU</t>
    </r>
  </si>
  <si>
    <r>
      <rPr>
        <u/>
        <sz val="14"/>
        <color rgb="FF04272E"/>
        <rFont val="Calibri"/>
        <family val="2"/>
      </rPr>
      <t>Variáveis Tarifárias</t>
    </r>
    <r>
      <rPr>
        <sz val="14"/>
        <color rgb="FF04272E"/>
        <rFont val="Calibri"/>
        <family val="2"/>
      </rPr>
      <t xml:space="preserve"> </t>
    </r>
    <r>
      <rPr>
        <b/>
        <sz val="14"/>
        <color rgb="FF04272E"/>
        <rFont val="Calibri"/>
        <family val="2"/>
      </rPr>
      <t>| BÁSICAS</t>
    </r>
  </si>
  <si>
    <t>Tipos/Categ. | Economias</t>
  </si>
  <si>
    <t>Compartilhamento Receitas Acessórias com Concedente</t>
  </si>
  <si>
    <r>
      <t xml:space="preserve">Despesa Anual </t>
    </r>
    <r>
      <rPr>
        <b/>
        <sz val="10.5"/>
        <rFont val="Calibri"/>
        <family val="2"/>
      </rPr>
      <t>Gestão/Administração do Contrato</t>
    </r>
  </si>
  <si>
    <t>VPI | Total Investimento no Prazo do Contrato</t>
  </si>
  <si>
    <t>Valor Total de Pagamentos no Prazo do Contrato</t>
  </si>
  <si>
    <t>Custo Médio Total Coleta RSU</t>
  </si>
  <si>
    <t>Dados de Opex + Coleta</t>
  </si>
  <si>
    <t>Eficiência da triagem de resíduos (%)</t>
  </si>
  <si>
    <t>Recicláveis secos</t>
  </si>
  <si>
    <t>mecanizada de mistos secos</t>
  </si>
  <si>
    <t>mecanizada de mistos orgânicos</t>
  </si>
  <si>
    <t>Taxas + Impostos sobre Importação de Equipamentos</t>
  </si>
  <si>
    <r>
      <t>Fórmula de cálculo da TMRS =  VBC</t>
    </r>
    <r>
      <rPr>
        <b/>
        <vertAlign val="subscript"/>
        <sz val="18"/>
        <color rgb="FF04272E"/>
        <rFont val="Calibri"/>
        <family val="2"/>
      </rPr>
      <t>TMRS</t>
    </r>
    <r>
      <rPr>
        <b/>
        <sz val="18"/>
        <color rgb="FF04272E"/>
        <rFont val="Calibri"/>
        <family val="2"/>
      </rPr>
      <t xml:space="preserve"> x (Fator a x Fator b</t>
    </r>
    <r>
      <rPr>
        <b/>
        <vertAlign val="subscript"/>
        <sz val="18"/>
        <color rgb="FF04272E"/>
        <rFont val="Calibri"/>
        <family val="2"/>
      </rPr>
      <t xml:space="preserve">1,2 </t>
    </r>
    <r>
      <rPr>
        <b/>
        <sz val="18"/>
        <color rgb="FF04272E"/>
        <rFont val="Calibri"/>
        <family val="2"/>
      </rPr>
      <t>x Fator c)</t>
    </r>
  </si>
  <si>
    <r>
      <rPr>
        <b/>
        <u/>
        <sz val="22"/>
        <color theme="0"/>
        <rFont val="Calibri"/>
        <family val="2"/>
      </rPr>
      <t>Estrutura Referencial do Cálculo da TMRS</t>
    </r>
    <r>
      <rPr>
        <b/>
        <sz val="22"/>
        <color theme="0"/>
        <rFont val="Calibri"/>
        <family val="2"/>
      </rPr>
      <t xml:space="preserve"> </t>
    </r>
    <r>
      <rPr>
        <b/>
        <sz val="22"/>
        <color rgb="FF95D6D3"/>
        <rFont val="Calibri"/>
        <family val="2"/>
      </rPr>
      <t>— com base: Categoria Imóveis, Frequência de Coleta e Consumo de Água</t>
    </r>
  </si>
  <si>
    <r>
      <rPr>
        <b/>
        <sz val="12"/>
        <rFont val="Calibri"/>
        <family val="2"/>
      </rPr>
      <t>Faixa Min</t>
    </r>
    <r>
      <rPr>
        <sz val="12"/>
        <rFont val="Calibri"/>
        <family val="2"/>
      </rPr>
      <t xml:space="preserve"> - Fator Fixo (m</t>
    </r>
    <r>
      <rPr>
        <vertAlign val="superscript"/>
        <sz val="12"/>
        <rFont val="Calibri"/>
        <family val="2"/>
      </rPr>
      <t>3</t>
    </r>
    <r>
      <rPr>
        <sz val="12"/>
        <rFont val="Calibri"/>
        <family val="2"/>
      </rPr>
      <t>/m)</t>
    </r>
  </si>
  <si>
    <r>
      <rPr>
        <b/>
        <sz val="12"/>
        <rFont val="Calibri"/>
        <family val="2"/>
      </rPr>
      <t>Faixa Max</t>
    </r>
    <r>
      <rPr>
        <sz val="12"/>
        <rFont val="Calibri"/>
        <family val="2"/>
      </rPr>
      <t xml:space="preserve"> - Fator Fixo (m</t>
    </r>
    <r>
      <rPr>
        <vertAlign val="superscript"/>
        <sz val="12"/>
        <rFont val="Calibri"/>
        <family val="2"/>
      </rPr>
      <t>3</t>
    </r>
    <r>
      <rPr>
        <sz val="12"/>
        <rFont val="Calibri"/>
        <family val="2"/>
      </rPr>
      <t>/m)</t>
    </r>
  </si>
  <si>
    <r>
      <rPr>
        <b/>
        <sz val="12"/>
        <rFont val="Calibri"/>
        <family val="2"/>
      </rPr>
      <t>Faixa Min</t>
    </r>
    <r>
      <rPr>
        <sz val="12"/>
        <rFont val="Calibri"/>
        <family val="2"/>
      </rPr>
      <t xml:space="preserve"> - Fator Variav (m</t>
    </r>
    <r>
      <rPr>
        <vertAlign val="superscript"/>
        <sz val="12"/>
        <rFont val="Calibri"/>
        <family val="2"/>
      </rPr>
      <t>3</t>
    </r>
    <r>
      <rPr>
        <sz val="12"/>
        <rFont val="Calibri"/>
        <family val="2"/>
      </rPr>
      <t>/m)</t>
    </r>
  </si>
  <si>
    <r>
      <rPr>
        <b/>
        <sz val="12"/>
        <rFont val="Calibri"/>
        <family val="2"/>
      </rPr>
      <t>Faixa Max</t>
    </r>
    <r>
      <rPr>
        <sz val="12"/>
        <rFont val="Calibri"/>
        <family val="2"/>
      </rPr>
      <t xml:space="preserve"> - Fator Variav (m</t>
    </r>
    <r>
      <rPr>
        <vertAlign val="superscript"/>
        <sz val="12"/>
        <rFont val="Calibri"/>
        <family val="2"/>
      </rPr>
      <t>3</t>
    </r>
    <r>
      <rPr>
        <sz val="12"/>
        <rFont val="Calibri"/>
        <family val="2"/>
      </rPr>
      <t>/m)</t>
    </r>
  </si>
  <si>
    <t>Cálculo Tarifa | Economia Limite Superior Faixa</t>
  </si>
  <si>
    <r>
      <rPr>
        <b/>
        <sz val="20"/>
        <color theme="0"/>
        <rFont val="Calibri"/>
        <family val="2"/>
      </rPr>
      <t>PREMISSAS DA METODOLOGIA DE CÁLCULO</t>
    </r>
    <r>
      <rPr>
        <b/>
        <sz val="20"/>
        <color rgb="FF95D6D3"/>
        <rFont val="Calibri"/>
        <family val="2"/>
      </rPr>
      <t xml:space="preserve"> DA TARIFA/TAXA MÉDIA DE MANEJO DE RESÍDUOS SÓLIDOS URBANOS</t>
    </r>
  </si>
  <si>
    <r>
      <t>L . hab</t>
    </r>
    <r>
      <rPr>
        <b/>
        <vertAlign val="superscript"/>
        <sz val="12"/>
        <rFont val="Calibri"/>
        <family val="2"/>
      </rPr>
      <t xml:space="preserve">-1 </t>
    </r>
    <r>
      <rPr>
        <b/>
        <sz val="12"/>
        <rFont val="Calibri"/>
        <family val="2"/>
      </rPr>
      <t>. d</t>
    </r>
    <r>
      <rPr>
        <b/>
        <vertAlign val="superscript"/>
        <sz val="12"/>
        <rFont val="Calibri"/>
        <family val="2"/>
      </rPr>
      <t>-1</t>
    </r>
  </si>
  <si>
    <r>
      <t xml:space="preserve">Imóveis </t>
    </r>
    <r>
      <rPr>
        <b/>
        <sz val="12"/>
        <rFont val="Calibri"/>
        <family val="2"/>
      </rPr>
      <t>Resid. — NORMAL</t>
    </r>
  </si>
  <si>
    <r>
      <t xml:space="preserve">Imóveis </t>
    </r>
    <r>
      <rPr>
        <b/>
        <sz val="12"/>
        <rFont val="Calibri"/>
        <family val="2"/>
      </rPr>
      <t>Resid. — SOCIAL</t>
    </r>
  </si>
  <si>
    <r>
      <t xml:space="preserve">Imóveis — </t>
    </r>
    <r>
      <rPr>
        <b/>
        <sz val="12"/>
        <rFont val="Calibri"/>
        <family val="2"/>
      </rPr>
      <t>Comerciais</t>
    </r>
  </si>
  <si>
    <r>
      <t>Imóveis —</t>
    </r>
    <r>
      <rPr>
        <b/>
        <sz val="12"/>
        <rFont val="Calibri"/>
        <family val="2"/>
      </rPr>
      <t xml:space="preserve"> Públicos/Filantrôpicos</t>
    </r>
  </si>
  <si>
    <r>
      <t>Imóveis —</t>
    </r>
    <r>
      <rPr>
        <b/>
        <sz val="12"/>
        <rFont val="Calibri"/>
        <family val="2"/>
      </rPr>
      <t xml:space="preserve"> Industriais</t>
    </r>
  </si>
  <si>
    <r>
      <rPr>
        <b/>
        <u/>
        <sz val="12"/>
        <rFont val="Calibri"/>
        <family val="2"/>
      </rPr>
      <t>% Subvenção SOCIAL:</t>
    </r>
    <r>
      <rPr>
        <b/>
        <sz val="12"/>
        <rFont val="Calibri"/>
        <family val="2"/>
      </rPr>
      <t xml:space="preserve">
</t>
    </r>
    <r>
      <rPr>
        <sz val="12"/>
        <rFont val="Calibri"/>
        <family val="2"/>
      </rPr>
      <t>Tar. Resid. SOC / Tar. Resid. NORM</t>
    </r>
  </si>
  <si>
    <r>
      <t xml:space="preserve">VBC Anual - </t>
    </r>
    <r>
      <rPr>
        <b/>
        <sz val="12"/>
        <rFont val="Calibri"/>
        <family val="2"/>
      </rPr>
      <t>Valor Anual/ Imóvel</t>
    </r>
  </si>
  <si>
    <r>
      <t xml:space="preserve">VBC Mensal - </t>
    </r>
    <r>
      <rPr>
        <b/>
        <sz val="12"/>
        <rFont val="Calibri"/>
        <family val="2"/>
      </rPr>
      <t>Valor Mensal/Imóvel</t>
    </r>
  </si>
  <si>
    <r>
      <t xml:space="preserve">Valor Anual | </t>
    </r>
    <r>
      <rPr>
        <b/>
        <sz val="12"/>
        <rFont val="Calibri"/>
        <family val="2"/>
        <scheme val="minor"/>
      </rPr>
      <t>Subsídio Público ao Serviço</t>
    </r>
    <r>
      <rPr>
        <sz val="12"/>
        <rFont val="Calibri"/>
        <family val="2"/>
        <scheme val="minor"/>
      </rPr>
      <t xml:space="preserve"> de Manejo do RSU</t>
    </r>
  </si>
  <si>
    <r>
      <t xml:space="preserve">Faturamento Anual Serviço Manejo e Tratamento RSU — </t>
    </r>
    <r>
      <rPr>
        <b/>
        <sz val="12"/>
        <rFont val="Calibri"/>
        <family val="2"/>
        <scheme val="minor"/>
      </rPr>
      <t>AJUSTADA</t>
    </r>
  </si>
  <si>
    <r>
      <t xml:space="preserve">Preço Básico — Tarifa Serviço Manejo/Trat. RSU/Consumo Água — </t>
    </r>
    <r>
      <rPr>
        <b/>
        <sz val="12"/>
        <rFont val="Calibri"/>
        <family val="2"/>
        <scheme val="minor"/>
      </rPr>
      <t xml:space="preserve">AJUSTADO </t>
    </r>
  </si>
  <si>
    <r>
      <t>Consumo Água Industrial (m</t>
    </r>
    <r>
      <rPr>
        <vertAlign val="superscript"/>
        <sz val="10.5"/>
        <color rgb="FF000000"/>
        <rFont val="Calibri"/>
        <family val="2"/>
      </rPr>
      <t>3</t>
    </r>
    <r>
      <rPr>
        <sz val="10.5"/>
        <color rgb="FF000000"/>
        <rFont val="Calibri"/>
        <family val="1"/>
      </rPr>
      <t xml:space="preserve"> Água / t RSU)</t>
    </r>
  </si>
  <si>
    <t>Cons.Prod. Quím. p/ Abat. Emissões: Uréia (Kg Uréia/ t RSU)</t>
  </si>
  <si>
    <t>Cons.Prod. Quím. p/ Abat. Emissões: Cal Hidr (Kg Cal Hidr./ t RSU)</t>
  </si>
  <si>
    <t>Cons.Prod. Quím. p/ Abat. Emissões: Carvão Ativ. (Kg Carvão/ t RSU)</t>
  </si>
  <si>
    <t>Capex a cada 5 anos para pós-fech. (ao longo de 20 anos pós fech.)</t>
  </si>
  <si>
    <r>
      <rPr>
        <b/>
        <sz val="14"/>
        <color theme="1"/>
        <rFont val="Calibri"/>
        <family val="2"/>
      </rPr>
      <t>Diferença</t>
    </r>
    <r>
      <rPr>
        <sz val="14"/>
        <color theme="1"/>
        <rFont val="Calibri"/>
        <family val="2"/>
      </rPr>
      <t xml:space="preserve">
 Prazo</t>
    </r>
    <r>
      <rPr>
        <b/>
        <sz val="14"/>
        <color theme="1"/>
        <rFont val="Calibri"/>
        <family val="2"/>
      </rPr>
      <t xml:space="preserve"> do Contrato</t>
    </r>
    <r>
      <rPr>
        <sz val="14"/>
        <color theme="1"/>
        <rFont val="Calibri"/>
        <family val="2"/>
      </rPr>
      <t xml:space="preserve"> = 35 a
 Prazo de </t>
    </r>
    <r>
      <rPr>
        <b/>
        <sz val="14"/>
        <color theme="1"/>
        <rFont val="Calibri"/>
        <family val="2"/>
      </rPr>
      <t>Pay Back = 35 a</t>
    </r>
  </si>
  <si>
    <r>
      <rPr>
        <b/>
        <sz val="14"/>
        <color theme="1"/>
        <rFont val="Calibri"/>
        <family val="2"/>
      </rPr>
      <t xml:space="preserve">Diferença </t>
    </r>
    <r>
      <rPr>
        <sz val="14"/>
        <color theme="1"/>
        <rFont val="Calibri"/>
        <family val="2"/>
      </rPr>
      <t xml:space="preserve">
 Prazo</t>
    </r>
    <r>
      <rPr>
        <b/>
        <sz val="14"/>
        <color theme="1"/>
        <rFont val="Calibri"/>
        <family val="2"/>
      </rPr>
      <t xml:space="preserve"> do Contrato</t>
    </r>
    <r>
      <rPr>
        <sz val="14"/>
        <color theme="1"/>
        <rFont val="Calibri"/>
        <family val="2"/>
      </rPr>
      <t xml:space="preserve"> = 35 a
 Prazo de </t>
    </r>
    <r>
      <rPr>
        <b/>
        <sz val="14"/>
        <color theme="1"/>
        <rFont val="Calibri"/>
        <family val="2"/>
      </rPr>
      <t>Pay Back = 30 a</t>
    </r>
  </si>
  <si>
    <r>
      <rPr>
        <b/>
        <sz val="14"/>
        <color theme="1"/>
        <rFont val="Calibri"/>
        <family val="2"/>
      </rPr>
      <t>Diferença</t>
    </r>
    <r>
      <rPr>
        <sz val="14"/>
        <color theme="1"/>
        <rFont val="Calibri"/>
        <family val="2"/>
      </rPr>
      <t xml:space="preserve">
 Prazo do</t>
    </r>
    <r>
      <rPr>
        <b/>
        <sz val="14"/>
        <color theme="1"/>
        <rFont val="Calibri"/>
        <family val="2"/>
      </rPr>
      <t xml:space="preserve"> Contrato</t>
    </r>
    <r>
      <rPr>
        <sz val="14"/>
        <color theme="1"/>
        <rFont val="Calibri"/>
        <family val="2"/>
      </rPr>
      <t xml:space="preserve"> = 35 a
 Prazo de </t>
    </r>
    <r>
      <rPr>
        <b/>
        <sz val="14"/>
        <color theme="1"/>
        <rFont val="Calibri"/>
        <family val="2"/>
      </rPr>
      <t>Pay Back = 20 a</t>
    </r>
  </si>
  <si>
    <r>
      <rPr>
        <b/>
        <sz val="14"/>
        <rFont val="Calibri"/>
        <family val="2"/>
      </rPr>
      <t>Diferença</t>
    </r>
    <r>
      <rPr>
        <sz val="14"/>
        <rFont val="Calibri"/>
        <family val="2"/>
      </rPr>
      <t xml:space="preserve">
 Prazo do </t>
    </r>
    <r>
      <rPr>
        <b/>
        <sz val="14"/>
        <rFont val="Calibri"/>
        <family val="2"/>
      </rPr>
      <t>Contrato</t>
    </r>
    <r>
      <rPr>
        <sz val="14"/>
        <rFont val="Calibri"/>
        <family val="2"/>
      </rPr>
      <t xml:space="preserve"> = 30 a
 Prazo de </t>
    </r>
    <r>
      <rPr>
        <b/>
        <sz val="14"/>
        <rFont val="Calibri"/>
        <family val="2"/>
      </rPr>
      <t>Pay Back</t>
    </r>
    <r>
      <rPr>
        <sz val="14"/>
        <rFont val="Calibri"/>
        <family val="2"/>
      </rPr>
      <t xml:space="preserve"> = 30 a</t>
    </r>
  </si>
  <si>
    <r>
      <rPr>
        <b/>
        <sz val="14"/>
        <rFont val="Calibri"/>
        <family val="2"/>
      </rPr>
      <t>Diferença</t>
    </r>
    <r>
      <rPr>
        <sz val="14"/>
        <rFont val="Calibri"/>
        <family val="2"/>
      </rPr>
      <t xml:space="preserve">
 Prazo do </t>
    </r>
    <r>
      <rPr>
        <b/>
        <sz val="14"/>
        <rFont val="Calibri"/>
        <family val="2"/>
      </rPr>
      <t>Contrato</t>
    </r>
    <r>
      <rPr>
        <sz val="14"/>
        <rFont val="Calibri"/>
        <family val="2"/>
      </rPr>
      <t xml:space="preserve"> = 30 a
 Prazo de </t>
    </r>
    <r>
      <rPr>
        <b/>
        <sz val="14"/>
        <rFont val="Calibri"/>
        <family val="2"/>
      </rPr>
      <t>Pay Back</t>
    </r>
    <r>
      <rPr>
        <sz val="14"/>
        <rFont val="Calibri"/>
        <family val="2"/>
      </rPr>
      <t xml:space="preserve"> = 25 a</t>
    </r>
  </si>
  <si>
    <r>
      <rPr>
        <b/>
        <sz val="14"/>
        <rFont val="Calibri"/>
        <family val="2"/>
      </rPr>
      <t>Diferença</t>
    </r>
    <r>
      <rPr>
        <sz val="14"/>
        <rFont val="Calibri"/>
        <family val="2"/>
      </rPr>
      <t xml:space="preserve">
 Prazo do </t>
    </r>
    <r>
      <rPr>
        <b/>
        <sz val="14"/>
        <rFont val="Calibri"/>
        <family val="2"/>
      </rPr>
      <t>Contrato</t>
    </r>
    <r>
      <rPr>
        <sz val="14"/>
        <rFont val="Calibri"/>
        <family val="2"/>
      </rPr>
      <t xml:space="preserve"> = 30 a
 Prazo de </t>
    </r>
    <r>
      <rPr>
        <b/>
        <sz val="14"/>
        <rFont val="Calibri"/>
        <family val="2"/>
      </rPr>
      <t>Pay Back</t>
    </r>
    <r>
      <rPr>
        <sz val="14"/>
        <rFont val="Calibri"/>
        <family val="2"/>
      </rPr>
      <t xml:space="preserve"> = 15 a</t>
    </r>
  </si>
  <si>
    <r>
      <rPr>
        <b/>
        <u/>
        <sz val="14"/>
        <color theme="1"/>
        <rFont val="Calibri"/>
        <family val="2"/>
      </rPr>
      <t>Target:</t>
    </r>
    <r>
      <rPr>
        <b/>
        <sz val="14"/>
        <color theme="1"/>
        <rFont val="Calibri"/>
        <family val="2"/>
      </rPr>
      <t xml:space="preserve"> "Zerar" o VPL para Diferentes Prazos de Contrato</t>
    </r>
  </si>
  <si>
    <t>TARIFA FIXA: 335 R$/t RSU</t>
  </si>
  <si>
    <t>RC-RSU V.1.0 - 17/10/2020</t>
  </si>
  <si>
    <t xml:space="preserve">sanearbrasil@mdr.gov.br </t>
  </si>
  <si>
    <t xml:space="preserve"> "de uso não nobre" produzido?</t>
  </si>
  <si>
    <t>composto para uso nobre (t/d)</t>
  </si>
  <si>
    <t>composto para uso não nobre (t/d)</t>
  </si>
  <si>
    <t>compostagem para uso nobre (t/d)</t>
  </si>
  <si>
    <t>compostagem para uso não nobre (t/d)</t>
  </si>
  <si>
    <t>Compost. uso nobre</t>
  </si>
  <si>
    <t>Comp. uso não nobre</t>
  </si>
  <si>
    <t>composto para uso nobre</t>
  </si>
  <si>
    <t>composto para uso não nobre florestal</t>
  </si>
  <si>
    <t>composto para uso não nobre — cobertura AS</t>
  </si>
  <si>
    <t>Total de Composto para Uso Nobre Produzido</t>
  </si>
  <si>
    <t>Composto para Uso Nobre Produzido</t>
  </si>
  <si>
    <t>Composto para Uso Não Nobre Produzido</t>
  </si>
  <si>
    <t>Composto para Uso Nobre Produzido — Compostagem</t>
  </si>
  <si>
    <t>Composto para Uso Não Nobre Prod. — Compostagem</t>
  </si>
  <si>
    <t>Custo Médio — Produção de Composto para Uso Nobre</t>
  </si>
  <si>
    <t>Preço Médio Líquido — Venda (FOB): Composto para Uso Nobre</t>
  </si>
  <si>
    <t>Preço Médio Líquido — Venda (FOB): Composto Uso Não Nobre</t>
  </si>
  <si>
    <t>Elaborado por:</t>
  </si>
  <si>
    <t>Desenvolvedores:</t>
  </si>
  <si>
    <t>Guilherme Gonçalves  (Consórcio GOPAInfra-adelphi)</t>
  </si>
  <si>
    <t xml:space="preserve">Revisada por: </t>
  </si>
  <si>
    <t>Acesse o Manual do Usuário para mais informações.</t>
  </si>
  <si>
    <t>Contato:</t>
  </si>
  <si>
    <r>
      <t xml:space="preserve">A </t>
    </r>
    <r>
      <rPr>
        <i/>
        <sz val="10.5"/>
        <color theme="1"/>
        <rFont val="Calibri"/>
        <family val="2"/>
      </rPr>
      <t>Ferramenta</t>
    </r>
    <r>
      <rPr>
        <sz val="10.5"/>
        <color theme="1"/>
        <rFont val="Calibri"/>
        <family val="2"/>
      </rPr>
      <t xml:space="preserve"> pode ser utilizada para estudos de pré-viabilidade de soluções tecnológicas futuras (Rotas Tecnológicas) de manejo de RSU em municípios, consórcios ou regiões, apoiando os gestores no processo de tomada de decisão. Pode ainda ser útil na realização de estudos acadêmicos e em atividades de capacitação profissional.</t>
    </r>
  </si>
  <si>
    <r>
      <t xml:space="preserve">A </t>
    </r>
    <r>
      <rPr>
        <i/>
        <sz val="10.5"/>
        <color theme="1"/>
        <rFont val="Calibri"/>
        <family val="2"/>
      </rPr>
      <t>Ferramenta</t>
    </r>
    <r>
      <rPr>
        <sz val="10.5"/>
        <color theme="1"/>
        <rFont val="Calibri"/>
        <family val="2"/>
      </rPr>
      <t xml:space="preserve"> é composta por 17 abas. A primeira aba é de apresentação da Ferramenta. Na sequência, há cinco abas com a parte de definição da rota e seu balanço de massa. No balanço de massa, ficam definidas as capacidades operacionais das unidades de tratamento e as quantidades de subprodutos resultantes. Há uma aba chamada de "Saída GEE" e mais 10 abas para a simulação dos custos associados à Rota.</t>
    </r>
  </si>
  <si>
    <r>
      <rPr>
        <sz val="10.5"/>
        <color theme="1"/>
        <rFont val="Calibri"/>
        <family val="2"/>
      </rPr>
      <t>Disponível para download no site:</t>
    </r>
    <r>
      <rPr>
        <sz val="10.5"/>
        <color theme="10"/>
        <rFont val="Calibri"/>
        <family val="2"/>
      </rPr>
      <t xml:space="preserve"> </t>
    </r>
    <r>
      <rPr>
        <u/>
        <sz val="10.5"/>
        <color theme="10"/>
        <rFont val="Calibri"/>
        <family val="2"/>
      </rPr>
      <t>https://www.gov.br/mdr/pt-br/assuntos/saneamento/protegeer</t>
    </r>
  </si>
  <si>
    <t xml:space="preserve">Coordenador Técnico: </t>
  </si>
  <si>
    <t>Ministério do Desenvolvimento Regional</t>
  </si>
  <si>
    <t xml:space="preserve">Por meio do: </t>
  </si>
  <si>
    <t>Alaim Silva de Paula e Geraldo Antônio Reichert (Consórcio GOPAInfra-adelphi)</t>
  </si>
  <si>
    <t>Christiane Pereira (TUBs), Dogival de Oliveira Costa Júnior (MDR), Ernani Ciríaco de Miranda (MDR), Hélinah Cardoso Moreira (GIZ), Jamaci Avelino do Nascimento Junior (MDR),</t>
  </si>
  <si>
    <t>Jan Janssen (Consórcio GOPAInfra-adelphi), Paulo Celso Gomes dos Reis (Consórcio GOPAInfra-adelphi), Sergio Luis da Silva Cotrim (MDR), Silvano Silvério da Costa (ME)</t>
  </si>
  <si>
    <t>Projeto de Cooperação para Proteção do Clima na Gestão de Resíduos Sólidos Urbanos (ProteGEEr) financiado pelo Ministério do Meio Ambiente, Proteção da Natureza e Segurança Nuclear da Alemanha (BMU)</t>
  </si>
  <si>
    <t>e implementado pela Deutsche Gesellschaft für Internationale Zusammenarbeit (GIZ) GmbH</t>
  </si>
  <si>
    <t>RESUMO — QUANTITATIVOS DE SUBPRODUTOS</t>
  </si>
  <si>
    <t>Resumo da Produção Total de Subprodutos</t>
  </si>
  <si>
    <t>Dados da Produção de Subprodutos de RSU</t>
  </si>
  <si>
    <t>Custos da Produção de Subprodutos</t>
  </si>
  <si>
    <t>Versão 1.01   -   Maio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</si>
</sst>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0.0"/>
    <numFmt numFmtId="165" formatCode="0.0"/>
    <numFmt numFmtId="166" formatCode="0.0%"/>
    <numFmt numFmtId="167" formatCode="0.000"/>
    <numFmt numFmtId="168" formatCode="#,##0.000"/>
    <numFmt numFmtId="169" formatCode="#,##0_ ;[Red]\-#,##0\ "/>
    <numFmt numFmtId="170" formatCode="#,##0.000_ ;[Red]\-#,##0.000\ "/>
    <numFmt numFmtId="171" formatCode="#,##0.00_ ;[Red]\-#,##0.00\ "/>
    <numFmt numFmtId="172" formatCode="0.00_ ;[Red]\-0.00\ "/>
    <numFmt numFmtId="173" formatCode="#,##0.0_ ;[Red]\-#,##0.0\ "/>
    <numFmt numFmtId="174" formatCode="&quot;R$&quot;#,##0"/>
    <numFmt numFmtId="175" formatCode="&quot;R$&quot;#,##0.00"/>
    <numFmt numFmtId="176" formatCode="#,##0.0_ ;\-#,##0.0\ "/>
    <numFmt numFmtId="177" formatCode="#,##0_ ;\-#,##0\ "/>
    <numFmt numFmtId="178" formatCode="#,##0.000_ ;\-#,##0.000\ "/>
    <numFmt numFmtId="179" formatCode="_-* #,##0_-;\-* #,##0_-;_-* &quot;-&quot;??_-;_-@"/>
    <numFmt numFmtId="180" formatCode="0.0000"/>
  </numFmts>
  <fonts count="266" x14ac:knownFonts="1">
    <font>
      <sz val="11"/>
      <color rgb="FF000000"/>
      <name val="Calibri"/>
    </font>
    <font>
      <b/>
      <sz val="12"/>
      <color rgb="FF000000"/>
      <name val="Calibri"/>
      <family val="2"/>
    </font>
    <font>
      <b/>
      <sz val="11"/>
      <color rgb="FF000000"/>
      <name val="Calibri"/>
      <family val="2"/>
    </font>
    <font>
      <b/>
      <i/>
      <sz val="11"/>
      <color rgb="FF000000"/>
      <name val="Calibri"/>
      <family val="2"/>
    </font>
    <font>
      <b/>
      <sz val="9"/>
      <color rgb="FF000000"/>
      <name val="Calibri"/>
      <family val="2"/>
    </font>
    <font>
      <sz val="9"/>
      <color rgb="FF000000"/>
      <name val="Calibri"/>
      <family val="2"/>
    </font>
    <font>
      <b/>
      <sz val="10"/>
      <color rgb="FF000000"/>
      <name val="Calibri"/>
      <family val="2"/>
    </font>
    <font>
      <sz val="10"/>
      <color rgb="FF000000"/>
      <name val="Calibri"/>
      <family val="2"/>
    </font>
    <font>
      <i/>
      <sz val="11"/>
      <color rgb="FF000000"/>
      <name val="Calibri"/>
      <family val="2"/>
    </font>
    <font>
      <sz val="10"/>
      <color rgb="FF000000"/>
      <name val="Arial"/>
      <family val="2"/>
    </font>
    <font>
      <b/>
      <sz val="9"/>
      <color rgb="FF000000"/>
      <name val="Arial"/>
      <family val="2"/>
    </font>
    <font>
      <sz val="9"/>
      <color rgb="FF000000"/>
      <name val="Arial"/>
      <family val="2"/>
    </font>
    <font>
      <sz val="11"/>
      <name val="Calibri"/>
      <family val="2"/>
    </font>
    <font>
      <i/>
      <sz val="10"/>
      <color rgb="FF006699"/>
      <name val="Arial"/>
      <family val="2"/>
    </font>
    <font>
      <i/>
      <sz val="9"/>
      <color rgb="FFFF0000"/>
      <name val="Arial"/>
      <family val="2"/>
    </font>
    <font>
      <b/>
      <sz val="10"/>
      <color rgb="FF000000"/>
      <name val="Arial"/>
      <family val="2"/>
    </font>
    <font>
      <sz val="9"/>
      <color rgb="FFFFFFFF"/>
      <name val="Calibri"/>
      <family val="2"/>
    </font>
    <font>
      <sz val="9"/>
      <name val="Calibri"/>
      <family val="2"/>
    </font>
    <font>
      <sz val="8"/>
      <color rgb="FF000000"/>
      <name val="Calibri"/>
      <family val="2"/>
    </font>
    <font>
      <i/>
      <sz val="9"/>
      <color rgb="FFFF0000"/>
      <name val="Calibri"/>
      <family val="2"/>
    </font>
    <font>
      <sz val="9"/>
      <color rgb="FFFF0000"/>
      <name val="Calibri"/>
      <family val="2"/>
    </font>
    <font>
      <sz val="11"/>
      <color rgb="FFFF0000"/>
      <name val="Calibri"/>
      <family val="2"/>
    </font>
    <font>
      <b/>
      <sz val="12"/>
      <name val="Calibri"/>
      <family val="2"/>
    </font>
    <font>
      <sz val="12"/>
      <color rgb="FF000000"/>
      <name val="Calibri"/>
      <family val="2"/>
    </font>
    <font>
      <b/>
      <sz val="10"/>
      <name val="Calibri"/>
      <family val="2"/>
    </font>
    <font>
      <b/>
      <sz val="11"/>
      <name val="Calibri"/>
      <family val="2"/>
    </font>
    <font>
      <sz val="11"/>
      <color rgb="FF000000"/>
      <name val="Calibri"/>
      <family val="2"/>
    </font>
    <font>
      <sz val="11"/>
      <color rgb="FF000000"/>
      <name val="Calibri"/>
      <family val="2"/>
    </font>
    <font>
      <sz val="11"/>
      <color theme="0"/>
      <name val="Calibri"/>
      <family val="2"/>
    </font>
    <font>
      <sz val="16"/>
      <name val="Calibri"/>
      <family val="2"/>
    </font>
    <font>
      <sz val="10"/>
      <name val="Arial"/>
      <family val="2"/>
    </font>
    <font>
      <b/>
      <vertAlign val="superscript"/>
      <sz val="12"/>
      <name val="Calibri"/>
      <family val="2"/>
    </font>
    <font>
      <sz val="12"/>
      <name val="Calibri"/>
      <family val="2"/>
    </font>
    <font>
      <b/>
      <sz val="11"/>
      <color theme="0"/>
      <name val="Calibri"/>
      <family val="2"/>
    </font>
    <font>
      <sz val="10.5"/>
      <color rgb="FF000000"/>
      <name val="Calibri"/>
      <family val="1"/>
    </font>
    <font>
      <b/>
      <sz val="10.5"/>
      <color rgb="FF000000"/>
      <name val="Calibri"/>
      <family val="1"/>
    </font>
    <font>
      <sz val="10.5"/>
      <name val="Calibri"/>
      <family val="1"/>
    </font>
    <font>
      <b/>
      <sz val="10.5"/>
      <color rgb="FF000000"/>
      <name val="Calibri"/>
      <family val="2"/>
    </font>
    <font>
      <i/>
      <sz val="10.5"/>
      <name val="Calibri"/>
      <family val="2"/>
    </font>
    <font>
      <sz val="10.5"/>
      <name val="Calibri"/>
      <family val="2"/>
    </font>
    <font>
      <i/>
      <sz val="10.5"/>
      <color rgb="FF000000"/>
      <name val="Calibri"/>
      <family val="1"/>
    </font>
    <font>
      <b/>
      <sz val="10.5"/>
      <color rgb="FF002060"/>
      <name val="Calibri"/>
      <family val="1"/>
    </font>
    <font>
      <sz val="10.5"/>
      <color rgb="FF002060"/>
      <name val="Calibri"/>
      <family val="1"/>
    </font>
    <font>
      <sz val="10.5"/>
      <color rgb="FF000000"/>
      <name val="Calibri"/>
      <family val="2"/>
    </font>
    <font>
      <b/>
      <sz val="10.5"/>
      <color rgb="FF04272E"/>
      <name val="Calibri"/>
      <family val="2"/>
    </font>
    <font>
      <sz val="10.5"/>
      <color theme="1" tint="0.14999847407452621"/>
      <name val="Calibri"/>
      <family val="2"/>
    </font>
    <font>
      <b/>
      <sz val="10.5"/>
      <color theme="1" tint="0.14999847407452621"/>
      <name val="Calibri"/>
      <family val="2"/>
    </font>
    <font>
      <i/>
      <sz val="10.5"/>
      <color theme="1" tint="0.14999847407452621"/>
      <name val="Calibri"/>
      <family val="2"/>
    </font>
    <font>
      <sz val="14"/>
      <color theme="1" tint="0.14999847407452621"/>
      <name val="Calibri"/>
      <family val="2"/>
    </font>
    <font>
      <b/>
      <i/>
      <sz val="10.5"/>
      <color theme="1" tint="0.14999847407452621"/>
      <name val="Calibri"/>
      <family val="2"/>
    </font>
    <font>
      <i/>
      <sz val="14"/>
      <color rgb="FFF49426"/>
      <name val="Calibri"/>
      <family val="2"/>
    </font>
    <font>
      <sz val="14"/>
      <color rgb="FFF49426"/>
      <name val="Calibri"/>
      <family val="2"/>
    </font>
    <font>
      <sz val="10.5"/>
      <color theme="0" tint="-4.9989318521683403E-2"/>
      <name val="Calibri"/>
      <family val="2"/>
    </font>
    <font>
      <sz val="10.5"/>
      <color rgb="FFCCDCCF"/>
      <name val="Calibri"/>
      <family val="2"/>
    </font>
    <font>
      <b/>
      <sz val="14"/>
      <color rgb="FF95D6D3"/>
      <name val="Calibri"/>
      <family val="2"/>
    </font>
    <font>
      <b/>
      <sz val="10.5"/>
      <color rgb="FF005A6E"/>
      <name val="Calibri"/>
      <family val="2"/>
    </font>
    <font>
      <sz val="14"/>
      <color rgb="FF95D6D3"/>
      <name val="Calibri"/>
      <family val="2"/>
    </font>
    <font>
      <b/>
      <sz val="12"/>
      <color rgb="FF04272E"/>
      <name val="Calibri"/>
      <family val="2"/>
    </font>
    <font>
      <sz val="12"/>
      <color rgb="FF04272E"/>
      <name val="Calibri"/>
      <family val="2"/>
    </font>
    <font>
      <b/>
      <sz val="10.5"/>
      <name val="Calibri"/>
      <family val="2"/>
    </font>
    <font>
      <b/>
      <i/>
      <sz val="10.5"/>
      <color rgb="FF000000"/>
      <name val="Calibri"/>
      <family val="2"/>
    </font>
    <font>
      <sz val="10.5"/>
      <color rgb="FFFF0000"/>
      <name val="Calibri"/>
      <family val="2"/>
    </font>
    <font>
      <i/>
      <sz val="10.5"/>
      <color rgb="FFFF0000"/>
      <name val="Calibri"/>
      <family val="2"/>
    </font>
    <font>
      <b/>
      <sz val="10.5"/>
      <color rgb="FFFF0000"/>
      <name val="Calibri"/>
      <family val="2"/>
    </font>
    <font>
      <sz val="10.5"/>
      <color rgb="FF548135"/>
      <name val="Calibri"/>
      <family val="2"/>
    </font>
    <font>
      <i/>
      <sz val="10.5"/>
      <color rgb="FF548135"/>
      <name val="Calibri"/>
      <family val="2"/>
    </font>
    <font>
      <b/>
      <sz val="10.5"/>
      <color rgb="FF4B4B4B"/>
      <name val="Calibri"/>
      <family val="2"/>
    </font>
    <font>
      <b/>
      <sz val="12"/>
      <color theme="1" tint="0.14999847407452621"/>
      <name val="Calibri"/>
      <family val="2"/>
    </font>
    <font>
      <sz val="12"/>
      <color theme="1" tint="0.14999847407452621"/>
      <name val="Calibri"/>
      <family val="2"/>
    </font>
    <font>
      <sz val="14"/>
      <color rgb="FF95D6D3"/>
      <name val="Arial"/>
      <family val="1"/>
    </font>
    <font>
      <b/>
      <sz val="14"/>
      <color rgb="FF95D6D3"/>
      <name val="Calibri"/>
      <family val="1"/>
    </font>
    <font>
      <sz val="14"/>
      <color rgb="FF95D6D3"/>
      <name val="Calibri"/>
      <family val="1"/>
    </font>
    <font>
      <b/>
      <i/>
      <sz val="14"/>
      <color rgb="FF95D6D3"/>
      <name val="Calibri"/>
      <family val="1"/>
    </font>
    <font>
      <b/>
      <i/>
      <sz val="12"/>
      <color theme="1" tint="0.14999847407452621"/>
      <name val="Calibri"/>
      <family val="2"/>
    </font>
    <font>
      <b/>
      <i/>
      <sz val="10.5"/>
      <color rgb="FF005A6E"/>
      <name val="Calibri"/>
      <family val="2"/>
    </font>
    <font>
      <sz val="10"/>
      <color rgb="FF04272E"/>
      <name val="Arial"/>
      <family val="1"/>
    </font>
    <font>
      <sz val="10.5"/>
      <color rgb="FF04272E"/>
      <name val="Calibri"/>
      <family val="1"/>
    </font>
    <font>
      <b/>
      <i/>
      <sz val="10.5"/>
      <color rgb="FF04272E"/>
      <name val="Calibri"/>
      <family val="1"/>
    </font>
    <font>
      <b/>
      <i/>
      <sz val="10.5"/>
      <color rgb="FF04272E"/>
      <name val="Calibri"/>
      <family val="2"/>
    </font>
    <font>
      <sz val="12"/>
      <color rgb="FFF49426"/>
      <name val="Calibri"/>
      <family val="2"/>
    </font>
    <font>
      <b/>
      <i/>
      <sz val="12"/>
      <color rgb="FF04272E"/>
      <name val="Calibri"/>
      <family val="2"/>
    </font>
    <font>
      <b/>
      <i/>
      <sz val="12"/>
      <color rgb="FF04272E"/>
      <name val="Calibri"/>
      <family val="1"/>
    </font>
    <font>
      <sz val="10.5"/>
      <color rgb="FFE32914"/>
      <name val="Calibri"/>
      <family val="2"/>
    </font>
    <font>
      <sz val="10.5"/>
      <color rgb="FFFFFFFF"/>
      <name val="Calibri"/>
      <family val="2"/>
    </font>
    <font>
      <b/>
      <sz val="10.5"/>
      <color rgb="FFFFFFFF"/>
      <name val="Calibri"/>
      <family val="1"/>
    </font>
    <font>
      <sz val="10.5"/>
      <color rgb="FFFFFFFF"/>
      <name val="Calibri"/>
      <family val="1"/>
    </font>
    <font>
      <sz val="10.5"/>
      <color theme="0"/>
      <name val="Calibri"/>
      <family val="1"/>
    </font>
    <font>
      <sz val="10.5"/>
      <color rgb="FFFF0000"/>
      <name val="Calibri"/>
      <family val="1"/>
    </font>
    <font>
      <sz val="10.5"/>
      <color theme="0" tint="-4.9989318521683403E-2"/>
      <name val="Calibri"/>
      <family val="1"/>
    </font>
    <font>
      <sz val="10.5"/>
      <color rgb="FF95D6D3"/>
      <name val="Calibri"/>
      <family val="1"/>
    </font>
    <font>
      <sz val="10.5"/>
      <color rgb="FF000000"/>
      <name val="Arial"/>
      <family val="1"/>
    </font>
    <font>
      <sz val="10.5"/>
      <name val="Arial"/>
      <family val="1"/>
    </font>
    <font>
      <sz val="10.5"/>
      <name val="Arial"/>
      <family val="2"/>
    </font>
    <font>
      <b/>
      <sz val="10.5"/>
      <color rgb="FF04272E"/>
      <name val="Arial"/>
      <family val="1"/>
    </font>
    <font>
      <sz val="10.5"/>
      <color rgb="FF04272E"/>
      <name val="Arial"/>
      <family val="1"/>
    </font>
    <font>
      <b/>
      <sz val="10.5"/>
      <color rgb="FF005A6E"/>
      <name val="Arial"/>
      <family val="1"/>
    </font>
    <font>
      <sz val="10.5"/>
      <color rgb="FF04272E"/>
      <name val="Calibri"/>
      <family val="2"/>
    </font>
    <font>
      <sz val="10.5"/>
      <color rgb="FFF49426"/>
      <name val="Calibri"/>
      <family val="1"/>
    </font>
    <font>
      <b/>
      <i/>
      <sz val="10.5"/>
      <color rgb="FFF49426"/>
      <name val="Arial"/>
      <family val="1"/>
    </font>
    <font>
      <b/>
      <sz val="10.5"/>
      <color rgb="FF005A6E"/>
      <name val="Arial"/>
      <family val="2"/>
    </font>
    <font>
      <sz val="12"/>
      <color rgb="FF04272E"/>
      <name val="Calibri"/>
      <family val="1"/>
    </font>
    <font>
      <b/>
      <vertAlign val="subscript"/>
      <sz val="10.5"/>
      <color rgb="FF005A6E"/>
      <name val="Arial"/>
      <family val="2"/>
    </font>
    <font>
      <b/>
      <sz val="10.5"/>
      <color rgb="FF005A6E"/>
      <name val="Calibri"/>
      <family val="1"/>
    </font>
    <font>
      <b/>
      <vertAlign val="subscript"/>
      <sz val="10.5"/>
      <color rgb="FF005A6E"/>
      <name val="Calibri"/>
      <family val="2"/>
    </font>
    <font>
      <sz val="10.5"/>
      <color rgb="FFF49426"/>
      <name val="Calibri"/>
      <family val="2"/>
    </font>
    <font>
      <sz val="10"/>
      <color theme="0" tint="-0.499984740745262"/>
      <name val="CalibrI"/>
      <family val="2"/>
    </font>
    <font>
      <i/>
      <sz val="10"/>
      <color theme="0" tint="-0.499984740745262"/>
      <name val="CalibrI"/>
      <family val="2"/>
    </font>
    <font>
      <b/>
      <vertAlign val="superscript"/>
      <sz val="10.5"/>
      <color rgb="FF005A6E"/>
      <name val="Calibri"/>
      <family val="2"/>
    </font>
    <font>
      <b/>
      <sz val="11"/>
      <color theme="1" tint="0.14999847407452621"/>
      <name val="Calibri"/>
      <family val="2"/>
    </font>
    <font>
      <b/>
      <sz val="10.5"/>
      <color rgb="FFFFFFFF"/>
      <name val="Calibri"/>
      <family val="2"/>
    </font>
    <font>
      <i/>
      <sz val="10.5"/>
      <color rgb="FF000000"/>
      <name val="Calibri"/>
      <family val="2"/>
    </font>
    <font>
      <b/>
      <sz val="10"/>
      <color theme="1" tint="0.14999847407452621"/>
      <name val="Calibri"/>
      <family val="2"/>
    </font>
    <font>
      <i/>
      <sz val="10.5"/>
      <color theme="0" tint="-0.499984740745262"/>
      <name val="Calibri"/>
      <family val="2"/>
    </font>
    <font>
      <sz val="10.5"/>
      <color theme="0" tint="-0.499984740745262"/>
      <name val="Calibri"/>
      <family val="2"/>
    </font>
    <font>
      <sz val="12"/>
      <color rgb="FF95D6D3"/>
      <name val="Calibri"/>
      <family val="2"/>
    </font>
    <font>
      <b/>
      <sz val="11"/>
      <color rgb="FF005A6E"/>
      <name val="Calibri"/>
      <family val="2"/>
    </font>
    <font>
      <vertAlign val="superscript"/>
      <sz val="10.5"/>
      <name val="Calibri"/>
      <family val="2"/>
    </font>
    <font>
      <b/>
      <i/>
      <sz val="10.5"/>
      <name val="Calibri"/>
      <family val="2"/>
    </font>
    <font>
      <b/>
      <i/>
      <u/>
      <sz val="10.5"/>
      <name val="Calibri"/>
      <family val="2"/>
    </font>
    <font>
      <i/>
      <u/>
      <sz val="10.5"/>
      <name val="Calibri"/>
      <family val="2"/>
    </font>
    <font>
      <b/>
      <sz val="10.5"/>
      <name val="Arial"/>
      <family val="2"/>
    </font>
    <font>
      <b/>
      <u/>
      <sz val="10.5"/>
      <name val="Arial"/>
      <family val="2"/>
    </font>
    <font>
      <b/>
      <sz val="10.5"/>
      <name val="Calibri"/>
      <family val="1"/>
    </font>
    <font>
      <b/>
      <sz val="10.5"/>
      <color rgb="FF95D6D3"/>
      <name val="Calibri"/>
      <family val="2"/>
    </font>
    <font>
      <b/>
      <u/>
      <sz val="14"/>
      <color rgb="FF95D6D3"/>
      <name val="Calibri"/>
      <family val="2"/>
    </font>
    <font>
      <b/>
      <sz val="12"/>
      <color rgb="FF04272E"/>
      <name val="Calibri"/>
      <family val="1"/>
    </font>
    <font>
      <b/>
      <sz val="10.5"/>
      <color theme="0" tint="-4.9989318521683403E-2"/>
      <name val="Calibri"/>
      <family val="2"/>
    </font>
    <font>
      <b/>
      <sz val="12"/>
      <color rgb="FF95D6D3"/>
      <name val="Calibri"/>
      <family val="2"/>
    </font>
    <font>
      <i/>
      <sz val="10.5"/>
      <color rgb="FFF49426"/>
      <name val="Calibri"/>
      <family val="2"/>
    </font>
    <font>
      <sz val="10.5"/>
      <color rgb="FF005A6E"/>
      <name val="Calibri"/>
      <family val="1"/>
    </font>
    <font>
      <b/>
      <i/>
      <sz val="10.5"/>
      <color rgb="FF000000"/>
      <name val="Calibri"/>
      <family val="1"/>
    </font>
    <font>
      <sz val="10.5"/>
      <color theme="1" tint="0.14999847407452621"/>
      <name val="Calibri"/>
      <family val="1"/>
    </font>
    <font>
      <b/>
      <sz val="10.5"/>
      <color theme="1" tint="0.14999847407452621"/>
      <name val="Calibri"/>
      <family val="1"/>
    </font>
    <font>
      <b/>
      <i/>
      <sz val="10.5"/>
      <color theme="1" tint="0.14999847407452621"/>
      <name val="Calibri"/>
      <family val="1"/>
    </font>
    <font>
      <i/>
      <sz val="10.5"/>
      <color theme="1" tint="0.14999847407452621"/>
      <name val="Calibri"/>
      <family val="1"/>
    </font>
    <font>
      <sz val="10.5"/>
      <color rgb="FF005A6E"/>
      <name val="Calibri"/>
      <family val="2"/>
    </font>
    <font>
      <b/>
      <sz val="10.5"/>
      <color rgb="FFFF0000"/>
      <name val="Calibri"/>
      <family val="1"/>
    </font>
    <font>
      <b/>
      <i/>
      <sz val="14"/>
      <color rgb="FFF49426"/>
      <name val="Calibri"/>
      <family val="1"/>
    </font>
    <font>
      <sz val="14"/>
      <color rgb="FFF49426"/>
      <name val="Calibri"/>
      <family val="1"/>
    </font>
    <font>
      <i/>
      <sz val="12"/>
      <color rgb="FF04272E"/>
      <name val="Calibri"/>
      <family val="1"/>
    </font>
    <font>
      <b/>
      <sz val="12"/>
      <color rgb="FFFF0000"/>
      <name val="Calibri"/>
      <family val="2"/>
    </font>
    <font>
      <b/>
      <sz val="14"/>
      <color rgb="FFF49426"/>
      <name val="Calibri"/>
      <family val="2"/>
    </font>
    <font>
      <b/>
      <i/>
      <sz val="14"/>
      <color rgb="FFF49426"/>
      <name val="Calibri"/>
      <family val="2"/>
    </font>
    <font>
      <b/>
      <i/>
      <sz val="12"/>
      <color rgb="FFF49426"/>
      <name val="Calibri"/>
      <family val="2"/>
    </font>
    <font>
      <sz val="10.5"/>
      <color theme="4"/>
      <name val="Calibri"/>
      <family val="2"/>
    </font>
    <font>
      <sz val="10.5"/>
      <color rgb="FFC00000"/>
      <name val="Calibri"/>
      <family val="2"/>
    </font>
    <font>
      <b/>
      <sz val="12"/>
      <color rgb="FF04272E"/>
      <name val="Calibri"/>
      <family val="2"/>
      <scheme val="minor"/>
    </font>
    <font>
      <u/>
      <sz val="12"/>
      <color rgb="FF04272E"/>
      <name val="Calibri"/>
      <family val="2"/>
      <scheme val="minor"/>
    </font>
    <font>
      <sz val="11"/>
      <color rgb="FF005A6E"/>
      <name val="Calibri"/>
      <family val="2"/>
    </font>
    <font>
      <b/>
      <sz val="14"/>
      <color theme="1" tint="0.14999847407452621"/>
      <name val="Calibri"/>
      <family val="2"/>
    </font>
    <font>
      <b/>
      <i/>
      <sz val="10.5"/>
      <color theme="9" tint="0.39997558519241921"/>
      <name val="Calibri"/>
      <family val="1"/>
    </font>
    <font>
      <b/>
      <i/>
      <sz val="12"/>
      <color rgb="FFF49426"/>
      <name val="Arial"/>
      <family val="1"/>
    </font>
    <font>
      <sz val="10"/>
      <color theme="0" tint="-4.9989318521683403E-2"/>
      <name val="Arial"/>
      <family val="1"/>
    </font>
    <font>
      <sz val="9"/>
      <color indexed="81"/>
      <name val="Segoe UI"/>
      <family val="2"/>
    </font>
    <font>
      <b/>
      <i/>
      <sz val="10.5"/>
      <color rgb="FFFF0000"/>
      <name val="Calibri"/>
      <family val="2"/>
    </font>
    <font>
      <b/>
      <sz val="12"/>
      <color theme="0"/>
      <name val="Calibri"/>
      <family val="2"/>
    </font>
    <font>
      <b/>
      <sz val="10"/>
      <color theme="0"/>
      <name val="Calibri"/>
      <family val="2"/>
    </font>
    <font>
      <sz val="10"/>
      <color theme="0"/>
      <name val="Calibri"/>
      <family val="2"/>
    </font>
    <font>
      <sz val="12"/>
      <color theme="0"/>
      <name val="Calibri"/>
      <family val="2"/>
    </font>
    <font>
      <sz val="10.5"/>
      <color theme="0"/>
      <name val="Calibri"/>
      <family val="2"/>
    </font>
    <font>
      <b/>
      <sz val="12"/>
      <color rgb="FF005A6E"/>
      <name val="Calibri"/>
      <family val="2"/>
    </font>
    <font>
      <b/>
      <sz val="10.5"/>
      <color theme="0"/>
      <name val="Calibri"/>
      <family val="2"/>
    </font>
    <font>
      <b/>
      <i/>
      <sz val="10.5"/>
      <color rgb="FFFFC305"/>
      <name val="Calibri"/>
      <family val="1"/>
    </font>
    <font>
      <b/>
      <sz val="14"/>
      <color rgb="FF04272E"/>
      <name val="Calibri"/>
      <family val="1"/>
    </font>
    <font>
      <sz val="14"/>
      <color rgb="FF04272E"/>
      <name val="Calibri"/>
      <family val="1"/>
    </font>
    <font>
      <b/>
      <sz val="14"/>
      <color rgb="FF04272E"/>
      <name val="Calibri"/>
      <family val="2"/>
    </font>
    <font>
      <sz val="14"/>
      <color rgb="FF04272E"/>
      <name val="Calibri"/>
      <family val="2"/>
    </font>
    <font>
      <u/>
      <sz val="14"/>
      <color rgb="FF04272E"/>
      <name val="Calibri"/>
      <family val="2"/>
    </font>
    <font>
      <b/>
      <sz val="14"/>
      <color rgb="FF04272E"/>
      <name val="Calibri"/>
      <family val="2"/>
      <scheme val="minor"/>
    </font>
    <font>
      <u/>
      <sz val="14"/>
      <color rgb="FF04272E"/>
      <name val="Calibri"/>
      <family val="2"/>
      <scheme val="minor"/>
    </font>
    <font>
      <b/>
      <u/>
      <sz val="14"/>
      <color rgb="FF04272E"/>
      <name val="Calibri"/>
      <family val="2"/>
    </font>
    <font>
      <sz val="14"/>
      <color rgb="FF04272E"/>
      <name val="Calibri"/>
      <family val="2"/>
      <scheme val="minor"/>
    </font>
    <font>
      <b/>
      <i/>
      <sz val="18"/>
      <color rgb="FF95D6D3"/>
      <name val="Calibri"/>
      <family val="2"/>
    </font>
    <font>
      <b/>
      <i/>
      <sz val="18"/>
      <color rgb="FF95D6D3"/>
      <name val="Calibri"/>
      <family val="1"/>
    </font>
    <font>
      <b/>
      <vertAlign val="superscript"/>
      <sz val="12"/>
      <color rgb="FF005A6E"/>
      <name val="Calibri"/>
      <family val="2"/>
    </font>
    <font>
      <b/>
      <sz val="14"/>
      <name val="Calibri"/>
      <family val="2"/>
    </font>
    <font>
      <b/>
      <i/>
      <sz val="12"/>
      <color rgb="FF005A6E"/>
      <name val="Calibri"/>
      <family val="2"/>
    </font>
    <font>
      <i/>
      <sz val="12"/>
      <color theme="1" tint="0.14999847407452621"/>
      <name val="Calibri"/>
      <family val="2"/>
    </font>
    <font>
      <b/>
      <i/>
      <sz val="14"/>
      <color theme="1" tint="0.14999847407452621"/>
      <name val="Calibri"/>
      <family val="2"/>
    </font>
    <font>
      <sz val="14"/>
      <color rgb="FF000000"/>
      <name val="Calibri"/>
      <family val="2"/>
    </font>
    <font>
      <b/>
      <i/>
      <u/>
      <sz val="12"/>
      <color rgb="FF005A6E"/>
      <name val="Calibri"/>
      <family val="2"/>
    </font>
    <font>
      <b/>
      <u/>
      <sz val="18"/>
      <name val="Calibri"/>
      <family val="2"/>
    </font>
    <font>
      <sz val="18"/>
      <name val="Calibri"/>
      <family val="2"/>
    </font>
    <font>
      <sz val="14"/>
      <name val="Calibri"/>
      <family val="2"/>
    </font>
    <font>
      <b/>
      <i/>
      <sz val="18"/>
      <color theme="0"/>
      <name val="Calibri"/>
      <family val="2"/>
    </font>
    <font>
      <b/>
      <sz val="14"/>
      <color rgb="FF000000"/>
      <name val="Calibri"/>
      <family val="2"/>
    </font>
    <font>
      <b/>
      <sz val="12"/>
      <color theme="1" tint="0.14999847407452621"/>
      <name val="Calibri"/>
      <family val="1"/>
    </font>
    <font>
      <b/>
      <i/>
      <sz val="12"/>
      <color theme="1" tint="0.14999847407452621"/>
      <name val="Calibri"/>
      <family val="1"/>
    </font>
    <font>
      <b/>
      <sz val="18"/>
      <color theme="0"/>
      <name val="Calibri"/>
      <family val="2"/>
    </font>
    <font>
      <sz val="12"/>
      <color rgb="FF000000"/>
      <name val="Calibri"/>
      <family val="1"/>
    </font>
    <font>
      <b/>
      <sz val="14"/>
      <color rgb="FF000000"/>
      <name val="Calibri"/>
      <family val="1"/>
    </font>
    <font>
      <b/>
      <sz val="14"/>
      <color theme="1" tint="0.14999847407452621"/>
      <name val="Calibri"/>
      <family val="1"/>
    </font>
    <font>
      <sz val="14"/>
      <color rgb="FF000000"/>
      <name val="Calibri"/>
      <family val="1"/>
    </font>
    <font>
      <b/>
      <i/>
      <sz val="20"/>
      <color theme="0"/>
      <name val="Calibri"/>
      <family val="2"/>
    </font>
    <font>
      <b/>
      <sz val="22"/>
      <color rgb="FF95D6D3"/>
      <name val="Calibri"/>
      <family val="1"/>
    </font>
    <font>
      <sz val="22"/>
      <color rgb="FF95D6D3"/>
      <name val="Calibri"/>
      <family val="1"/>
    </font>
    <font>
      <b/>
      <sz val="22"/>
      <color theme="0"/>
      <name val="Calibri"/>
      <family val="2"/>
    </font>
    <font>
      <b/>
      <sz val="22"/>
      <color rgb="FF95D6D3"/>
      <name val="Calibri"/>
      <family val="2"/>
    </font>
    <font>
      <sz val="11"/>
      <color theme="1"/>
      <name val="Calibri"/>
      <family val="2"/>
    </font>
    <font>
      <b/>
      <sz val="12"/>
      <color theme="1" tint="0.14999847407452621"/>
      <name val="Arial"/>
      <family val="1"/>
    </font>
    <font>
      <b/>
      <sz val="16"/>
      <color theme="0"/>
      <name val="Calibri"/>
      <family val="2"/>
    </font>
    <font>
      <b/>
      <sz val="11"/>
      <color theme="1"/>
      <name val="Calibri"/>
      <family val="2"/>
    </font>
    <font>
      <b/>
      <sz val="13"/>
      <color theme="0"/>
      <name val="Calibri"/>
      <family val="2"/>
      <scheme val="minor"/>
    </font>
    <font>
      <sz val="13"/>
      <color theme="0"/>
      <name val="Calibri"/>
      <family val="2"/>
      <scheme val="minor"/>
    </font>
    <font>
      <b/>
      <u/>
      <sz val="13"/>
      <color theme="0"/>
      <name val="Calibri"/>
      <family val="2"/>
      <scheme val="minor"/>
    </font>
    <font>
      <sz val="12"/>
      <color theme="0"/>
      <name val="Calibri"/>
      <family val="2"/>
      <scheme val="minor"/>
    </font>
    <font>
      <sz val="18"/>
      <name val="Calibri"/>
      <family val="1"/>
    </font>
    <font>
      <sz val="15"/>
      <name val="Calibri"/>
      <family val="2"/>
    </font>
    <font>
      <b/>
      <sz val="14"/>
      <color theme="1"/>
      <name val="Calibri"/>
      <family val="2"/>
    </font>
    <font>
      <b/>
      <sz val="18"/>
      <color rgb="FF95D6D3"/>
      <name val="Calibri"/>
      <family val="2"/>
    </font>
    <font>
      <b/>
      <sz val="16"/>
      <color rgb="FF04272E"/>
      <name val="Calibri"/>
      <family val="2"/>
    </font>
    <font>
      <b/>
      <sz val="18"/>
      <color rgb="FF04272E"/>
      <name val="Calibri"/>
      <family val="2"/>
    </font>
    <font>
      <sz val="18"/>
      <color rgb="FF04272E"/>
      <name val="Calibri"/>
      <family val="2"/>
    </font>
    <font>
      <b/>
      <u/>
      <sz val="11"/>
      <color rgb="FF000000"/>
      <name val="Calibri"/>
      <family val="2"/>
    </font>
    <font>
      <b/>
      <u/>
      <sz val="12"/>
      <color rgb="FF000000"/>
      <name val="Calibri"/>
      <family val="2"/>
    </font>
    <font>
      <b/>
      <sz val="9"/>
      <color indexed="81"/>
      <name val="Segoe UI"/>
      <family val="2"/>
    </font>
    <font>
      <b/>
      <i/>
      <sz val="12"/>
      <color rgb="FF95D6D3"/>
      <name val="Calibri"/>
      <family val="2"/>
    </font>
    <font>
      <b/>
      <i/>
      <sz val="9"/>
      <color indexed="81"/>
      <name val="Segoe UI"/>
      <family val="2"/>
    </font>
    <font>
      <b/>
      <sz val="10"/>
      <color theme="1"/>
      <name val="Calibri"/>
      <family val="2"/>
    </font>
    <font>
      <b/>
      <sz val="12"/>
      <color theme="1"/>
      <name val="Calibri"/>
      <family val="2"/>
    </font>
    <font>
      <sz val="10"/>
      <color theme="1"/>
      <name val="Calibri"/>
      <family val="2"/>
    </font>
    <font>
      <sz val="12"/>
      <color theme="1"/>
      <name val="Calibri"/>
      <family val="2"/>
    </font>
    <font>
      <b/>
      <vertAlign val="subscript"/>
      <sz val="18"/>
      <color rgb="FF04272E"/>
      <name val="Calibri"/>
      <family val="2"/>
    </font>
    <font>
      <b/>
      <sz val="20"/>
      <color rgb="FF04272E"/>
      <name val="Calibri"/>
      <family val="2"/>
    </font>
    <font>
      <sz val="20"/>
      <color rgb="FF04272E"/>
      <name val="Calibri"/>
      <family val="2"/>
    </font>
    <font>
      <b/>
      <sz val="20"/>
      <color rgb="FF95D6D3"/>
      <name val="Calibri"/>
      <family val="2"/>
    </font>
    <font>
      <b/>
      <sz val="20"/>
      <color theme="0"/>
      <name val="Calibri"/>
      <family val="2"/>
    </font>
    <font>
      <b/>
      <u/>
      <sz val="22"/>
      <color theme="0"/>
      <name val="Calibri"/>
      <family val="2"/>
    </font>
    <font>
      <sz val="22"/>
      <color rgb="FF95D6D3"/>
      <name val="Calibri"/>
      <family val="2"/>
    </font>
    <font>
      <b/>
      <sz val="16"/>
      <color rgb="FF04272E"/>
      <name val="Arial"/>
      <family val="2"/>
    </font>
    <font>
      <b/>
      <sz val="16"/>
      <name val="Calibri"/>
      <family val="2"/>
    </font>
    <font>
      <b/>
      <sz val="24"/>
      <color rgb="FF04272E"/>
      <name val="Calibri"/>
      <family val="2"/>
    </font>
    <font>
      <sz val="24"/>
      <color rgb="FF04272E"/>
      <name val="Calibri"/>
      <family val="2"/>
    </font>
    <font>
      <vertAlign val="superscript"/>
      <sz val="12"/>
      <name val="Calibri"/>
      <family val="2"/>
    </font>
    <font>
      <sz val="22"/>
      <name val="Calibri"/>
      <family val="2"/>
    </font>
    <font>
      <sz val="22"/>
      <name val="Arial"/>
      <family val="2"/>
    </font>
    <font>
      <b/>
      <sz val="22"/>
      <name val="Calibri"/>
      <family val="2"/>
    </font>
    <font>
      <b/>
      <sz val="12"/>
      <name val="Calibri"/>
      <family val="2"/>
      <scheme val="minor"/>
    </font>
    <font>
      <b/>
      <u/>
      <sz val="12"/>
      <name val="Calibri"/>
      <family val="2"/>
    </font>
    <font>
      <sz val="12"/>
      <name val="Calibri"/>
      <family val="2"/>
      <scheme val="minor"/>
    </font>
    <font>
      <vertAlign val="superscript"/>
      <sz val="10.5"/>
      <color rgb="FF000000"/>
      <name val="Calibri"/>
      <family val="2"/>
    </font>
    <font>
      <b/>
      <sz val="11"/>
      <color rgb="FF005A6E"/>
      <name val="Calibri"/>
      <family val="1"/>
    </font>
    <font>
      <sz val="11"/>
      <name val="Calibri"/>
      <family val="1"/>
    </font>
    <font>
      <sz val="14"/>
      <name val="Calibri"/>
      <family val="1"/>
    </font>
    <font>
      <sz val="14"/>
      <color theme="0" tint="-4.9989318521683403E-2"/>
      <name val="Calibri"/>
      <family val="2"/>
    </font>
    <font>
      <b/>
      <sz val="14"/>
      <color rgb="FF005A6E"/>
      <name val="Calibri"/>
      <family val="1"/>
    </font>
    <font>
      <b/>
      <sz val="14"/>
      <name val="Calibri"/>
      <family val="1"/>
    </font>
    <font>
      <sz val="14"/>
      <color theme="1"/>
      <name val="Calibri"/>
      <family val="1"/>
    </font>
    <font>
      <sz val="14"/>
      <color theme="0"/>
      <name val="Calibri"/>
      <family val="2"/>
      <scheme val="minor"/>
    </font>
    <font>
      <sz val="14"/>
      <color theme="0"/>
      <name val="Arial"/>
      <family val="1"/>
    </font>
    <font>
      <sz val="14"/>
      <color theme="1"/>
      <name val="Calibri"/>
      <family val="2"/>
    </font>
    <font>
      <sz val="14"/>
      <color theme="0"/>
      <name val="Calibri"/>
      <family val="2"/>
    </font>
    <font>
      <b/>
      <u/>
      <sz val="14"/>
      <color theme="1"/>
      <name val="Calibri"/>
      <family val="2"/>
    </font>
    <font>
      <b/>
      <sz val="18"/>
      <name val="Calibri"/>
      <family val="2"/>
    </font>
    <font>
      <sz val="10"/>
      <name val="Calibri"/>
      <family val="2"/>
    </font>
    <font>
      <b/>
      <sz val="12"/>
      <color rgb="FF005A6E"/>
      <name val="Calibri"/>
      <family val="1"/>
    </font>
    <font>
      <sz val="9"/>
      <color theme="0" tint="-0.34998626667073579"/>
      <name val="Calibri"/>
      <family val="2"/>
    </font>
    <font>
      <b/>
      <sz val="10.5"/>
      <color theme="1"/>
      <name val="Calibri"/>
      <family val="2"/>
    </font>
    <font>
      <sz val="10.5"/>
      <color theme="1"/>
      <name val="Calibri"/>
      <family val="2"/>
    </font>
    <font>
      <sz val="10"/>
      <color theme="1" tint="0.14999847407452621"/>
      <name val="Calibri"/>
      <family val="2"/>
    </font>
    <font>
      <u/>
      <sz val="11"/>
      <color theme="10"/>
      <name val="Calibri"/>
      <family val="2"/>
    </font>
    <font>
      <u/>
      <sz val="10.5"/>
      <color theme="10"/>
      <name val="Calibri"/>
      <family val="2"/>
    </font>
    <font>
      <sz val="10.5"/>
      <color theme="2" tint="-0.499984740745262"/>
      <name val="Calibri"/>
      <family val="2"/>
    </font>
    <font>
      <i/>
      <sz val="10.5"/>
      <color theme="1"/>
      <name val="Calibri"/>
      <family val="2"/>
    </font>
    <font>
      <sz val="10.5"/>
      <color theme="10"/>
      <name val="Calibri"/>
      <family val="2"/>
    </font>
    <font>
      <u/>
      <sz val="10.5"/>
      <color rgb="FF000000"/>
      <name val="Calibri"/>
      <family val="1"/>
    </font>
  </fonts>
  <fills count="63">
    <fill>
      <patternFill patternType="none"/>
    </fill>
    <fill>
      <patternFill patternType="gray125"/>
    </fill>
    <fill>
      <patternFill patternType="solid">
        <fgColor rgb="FFC5E0B3"/>
        <bgColor rgb="FFC5E0B3"/>
      </patternFill>
    </fill>
    <fill>
      <patternFill patternType="solid">
        <fgColor rgb="FFFFFFFF"/>
        <bgColor rgb="FFFFFFFF"/>
      </patternFill>
    </fill>
    <fill>
      <patternFill patternType="solid">
        <fgColor rgb="FFF7CAAC"/>
        <bgColor rgb="FFF7CAAC"/>
      </patternFill>
    </fill>
    <fill>
      <patternFill patternType="solid">
        <fgColor rgb="FFD8D8D8"/>
        <bgColor rgb="FFD8D8D8"/>
      </patternFill>
    </fill>
    <fill>
      <patternFill patternType="solid">
        <fgColor rgb="FFE2EFD9"/>
        <bgColor rgb="FFE2EFD9"/>
      </patternFill>
    </fill>
    <fill>
      <patternFill patternType="solid">
        <fgColor rgb="FF000000"/>
        <bgColor rgb="FF000000"/>
      </patternFill>
    </fill>
    <fill>
      <patternFill patternType="solid">
        <fgColor rgb="FFF2F2F2"/>
        <bgColor rgb="FFF2F2F2"/>
      </patternFill>
    </fill>
    <fill>
      <patternFill patternType="solid">
        <fgColor rgb="FF00B050"/>
        <bgColor rgb="FF00B050"/>
      </patternFill>
    </fill>
    <fill>
      <patternFill patternType="solid">
        <fgColor rgb="FFDEEAF6"/>
        <bgColor rgb="FFDEEAF6"/>
      </patternFill>
    </fill>
    <fill>
      <patternFill patternType="solid">
        <fgColor rgb="FFFFC000"/>
        <bgColor rgb="FFFFC000"/>
      </patternFill>
    </fill>
    <fill>
      <patternFill patternType="solid">
        <fgColor theme="9" tint="0.59999389629810485"/>
        <bgColor indexed="64"/>
      </patternFill>
    </fill>
    <fill>
      <patternFill patternType="solid">
        <fgColor theme="5" tint="0.59999389629810485"/>
        <bgColor indexed="64"/>
      </patternFill>
    </fill>
    <fill>
      <patternFill patternType="solid">
        <fgColor rgb="FFB7C4FF"/>
        <bgColor rgb="FFB4C6E7"/>
      </patternFill>
    </fill>
    <fill>
      <patternFill patternType="solid">
        <fgColor theme="0"/>
        <bgColor indexed="64"/>
      </patternFill>
    </fill>
    <fill>
      <patternFill patternType="solid">
        <fgColor rgb="FF04272E"/>
        <bgColor indexed="64"/>
      </patternFill>
    </fill>
    <fill>
      <patternFill patternType="solid">
        <fgColor rgb="FF95D6D3"/>
        <bgColor indexed="64"/>
      </patternFill>
    </fill>
    <fill>
      <patternFill patternType="solid">
        <fgColor rgb="FFE32915"/>
        <bgColor indexed="64"/>
      </patternFill>
    </fill>
    <fill>
      <patternFill patternType="solid">
        <fgColor rgb="FFF9C300"/>
        <bgColor indexed="64"/>
      </patternFill>
    </fill>
    <fill>
      <patternFill patternType="solid">
        <fgColor rgb="FFF9C300"/>
        <bgColor rgb="FFFFFF00"/>
      </patternFill>
    </fill>
    <fill>
      <patternFill patternType="solid">
        <fgColor rgb="FF95D6D3"/>
        <bgColor rgb="FFFFFFFF"/>
      </patternFill>
    </fill>
    <fill>
      <patternFill patternType="solid">
        <fgColor rgb="FFC6E0B3"/>
        <bgColor rgb="FFFFFFFF"/>
      </patternFill>
    </fill>
    <fill>
      <patternFill patternType="solid">
        <fgColor rgb="FFC6E0B3"/>
        <bgColor rgb="FF548135"/>
      </patternFill>
    </fill>
    <fill>
      <patternFill patternType="solid">
        <fgColor rgb="FFC6E0B3"/>
        <bgColor indexed="64"/>
      </patternFill>
    </fill>
    <fill>
      <patternFill patternType="solid">
        <fgColor rgb="FFC6E0B3"/>
        <bgColor rgb="FFC5E0B3"/>
      </patternFill>
    </fill>
    <fill>
      <patternFill patternType="solid">
        <fgColor rgb="FFE32914"/>
        <bgColor indexed="64"/>
      </patternFill>
    </fill>
    <fill>
      <patternFill patternType="solid">
        <fgColor rgb="FF04272E"/>
        <bgColor rgb="FFFF0000"/>
      </patternFill>
    </fill>
    <fill>
      <patternFill patternType="solid">
        <fgColor rgb="FFC6E0B3"/>
        <bgColor rgb="FFE2EFD9"/>
      </patternFill>
    </fill>
    <fill>
      <patternFill patternType="solid">
        <fgColor rgb="FFF9B100"/>
        <bgColor rgb="FFFFFF00"/>
      </patternFill>
    </fill>
    <fill>
      <patternFill patternType="solid">
        <fgColor rgb="FF04272E"/>
        <bgColor rgb="FFFFFF00"/>
      </patternFill>
    </fill>
    <fill>
      <patternFill patternType="solid">
        <fgColor rgb="FF95D6D3"/>
        <bgColor rgb="FFFFFF00"/>
      </patternFill>
    </fill>
    <fill>
      <patternFill patternType="solid">
        <fgColor rgb="FF04272E"/>
        <bgColor rgb="FF595959"/>
      </patternFill>
    </fill>
    <fill>
      <patternFill patternType="solid">
        <fgColor rgb="FF95D6D3"/>
        <bgColor rgb="FFD8D8D8"/>
      </patternFill>
    </fill>
    <fill>
      <patternFill patternType="solid">
        <fgColor theme="0" tint="-0.249977111117893"/>
        <bgColor indexed="64"/>
      </patternFill>
    </fill>
    <fill>
      <patternFill patternType="solid">
        <fgColor rgb="FF95D6D3"/>
        <bgColor rgb="FF7F7F7F"/>
      </patternFill>
    </fill>
    <fill>
      <patternFill patternType="solid">
        <fgColor rgb="FF95D6D3"/>
        <bgColor rgb="FF3CB2F4"/>
      </patternFill>
    </fill>
    <fill>
      <patternFill patternType="solid">
        <fgColor rgb="FFF9C300"/>
        <bgColor rgb="FF00B050"/>
      </patternFill>
    </fill>
    <fill>
      <patternFill patternType="solid">
        <fgColor rgb="FFCBDDDF"/>
        <bgColor rgb="FF9CC2E5"/>
      </patternFill>
    </fill>
    <fill>
      <patternFill patternType="solid">
        <fgColor rgb="FFCBDDDF"/>
        <bgColor rgb="FFDEEAF6"/>
      </patternFill>
    </fill>
    <fill>
      <patternFill patternType="solid">
        <fgColor rgb="FF95D6D3"/>
        <bgColor rgb="FFA5A5A5"/>
      </patternFill>
    </fill>
    <fill>
      <patternFill patternType="solid">
        <fgColor rgb="FF04272E"/>
        <bgColor rgb="FF7F7F7F"/>
      </patternFill>
    </fill>
    <fill>
      <patternFill patternType="solid">
        <fgColor theme="0"/>
        <bgColor rgb="FFFFFFFF"/>
      </patternFill>
    </fill>
    <fill>
      <patternFill patternType="solid">
        <fgColor theme="0" tint="-4.9989318521683403E-2"/>
        <bgColor indexed="64"/>
      </patternFill>
    </fill>
    <fill>
      <patternFill patternType="solid">
        <fgColor theme="0" tint="-0.14999847407452621"/>
        <bgColor rgb="FFD8D8D8"/>
      </patternFill>
    </fill>
    <fill>
      <patternFill patternType="solid">
        <fgColor theme="0"/>
        <bgColor rgb="FFFFFF00"/>
      </patternFill>
    </fill>
    <fill>
      <patternFill patternType="solid">
        <fgColor rgb="FF95D6D3"/>
        <bgColor rgb="FFC5E0B3"/>
      </patternFill>
    </fill>
    <fill>
      <patternFill patternType="solid">
        <fgColor rgb="FFFFC000"/>
        <bgColor indexed="64"/>
      </patternFill>
    </fill>
    <fill>
      <patternFill patternType="solid">
        <fgColor theme="1"/>
        <bgColor rgb="FFD8D8D8"/>
      </patternFill>
    </fill>
    <fill>
      <patternFill patternType="solid">
        <fgColor theme="9" tint="0.59999389629810485"/>
        <bgColor rgb="FFFFFFFF"/>
      </patternFill>
    </fill>
    <fill>
      <patternFill patternType="solid">
        <fgColor theme="0"/>
        <bgColor rgb="FFC5E0B3"/>
      </patternFill>
    </fill>
    <fill>
      <patternFill patternType="solid">
        <fgColor rgb="FF8BC7D5"/>
        <bgColor indexed="64"/>
      </patternFill>
    </fill>
    <fill>
      <patternFill patternType="solid">
        <fgColor rgb="FFF9B100"/>
        <bgColor rgb="FFFFE598"/>
      </patternFill>
    </fill>
    <fill>
      <patternFill patternType="solid">
        <fgColor rgb="FFF9B100"/>
        <bgColor indexed="64"/>
      </patternFill>
    </fill>
    <fill>
      <patternFill patternType="solid">
        <fgColor rgb="FFF9B100"/>
        <bgColor rgb="FFFF0000"/>
      </patternFill>
    </fill>
    <fill>
      <patternFill patternType="solid">
        <fgColor rgb="FFF9B100"/>
        <bgColor rgb="FFFEF2CB"/>
      </patternFill>
    </fill>
    <fill>
      <patternFill patternType="solid">
        <fgColor rgb="FF005A6E"/>
        <bgColor indexed="64"/>
      </patternFill>
    </fill>
    <fill>
      <patternFill patternType="solid">
        <fgColor rgb="FF95D6D3"/>
        <bgColor rgb="FFFF0000"/>
      </patternFill>
    </fill>
    <fill>
      <patternFill patternType="solid">
        <fgColor rgb="FF8BC7D5"/>
        <bgColor rgb="FFFEF2CB"/>
      </patternFill>
    </fill>
    <fill>
      <patternFill patternType="solid">
        <fgColor rgb="FF005A6E"/>
        <bgColor rgb="FFFFFF00"/>
      </patternFill>
    </fill>
    <fill>
      <patternFill patternType="solid">
        <fgColor rgb="FF002060"/>
        <bgColor indexed="64"/>
      </patternFill>
    </fill>
    <fill>
      <patternFill patternType="solid">
        <fgColor theme="9" tint="0.59999389629810485"/>
        <bgColor rgb="FFE2EFD9"/>
      </patternFill>
    </fill>
    <fill>
      <patternFill patternType="solid">
        <fgColor rgb="FF52999B"/>
        <bgColor indexed="64"/>
      </patternFill>
    </fill>
  </fills>
  <borders count="20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style="medium">
        <color rgb="FFFFFFFF"/>
      </top>
      <bottom/>
      <diagonal/>
    </border>
    <border>
      <left/>
      <right/>
      <top style="thick">
        <color rgb="FFFFFFFF"/>
      </top>
      <bottom/>
      <diagonal/>
    </border>
    <border>
      <left style="thick">
        <color rgb="FF000000"/>
      </left>
      <right/>
      <top style="thick">
        <color rgb="FF000000"/>
      </top>
      <bottom/>
      <diagonal/>
    </border>
    <border>
      <left/>
      <right/>
      <top style="thick">
        <color rgb="FF000000"/>
      </top>
      <bottom/>
      <diagonal/>
    </border>
    <border>
      <left/>
      <right/>
      <top style="thick">
        <color rgb="FF000000"/>
      </top>
      <bottom/>
      <diagonal/>
    </border>
    <border>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top/>
      <bottom/>
      <diagonal/>
    </border>
    <border>
      <left/>
      <right/>
      <top/>
      <bottom/>
      <diagonal/>
    </border>
    <border>
      <left/>
      <right/>
      <top/>
      <bottom/>
      <diagonal/>
    </border>
    <border>
      <left/>
      <right style="thick">
        <color rgb="FF000000"/>
      </right>
      <top/>
      <bottom/>
      <diagonal/>
    </border>
    <border>
      <left style="thick">
        <color rgb="FF000000"/>
      </left>
      <right/>
      <top/>
      <bottom/>
      <diagonal/>
    </border>
    <border>
      <left/>
      <right style="thick">
        <color rgb="FF000000"/>
      </right>
      <top/>
      <bottom/>
      <diagonal/>
    </border>
    <border>
      <left/>
      <right/>
      <top/>
      <bottom/>
      <diagonal/>
    </border>
    <border>
      <left/>
      <right/>
      <top/>
      <bottom/>
      <diagonal/>
    </border>
    <border>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000000"/>
      </left>
      <right style="thin">
        <color rgb="FF000000"/>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diagonal/>
    </border>
    <border>
      <left style="thin">
        <color rgb="FF000000"/>
      </left>
      <right style="thin">
        <color theme="0" tint="-0.499984740745262"/>
      </right>
      <top style="thin">
        <color theme="0" tint="-0.499984740745262"/>
      </top>
      <bottom style="thin">
        <color theme="0" tint="-0.499984740745262"/>
      </bottom>
      <diagonal/>
    </border>
    <border>
      <left/>
      <right/>
      <top/>
      <bottom style="medium">
        <color rgb="FFFFFFF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rgb="FF000000"/>
      </bottom>
      <diagonal/>
    </border>
    <border>
      <left style="thin">
        <color theme="0" tint="-0.499984740745262"/>
      </left>
      <right style="thin">
        <color theme="0" tint="-0.499984740745262"/>
      </right>
      <top style="thin">
        <color rgb="FF000000"/>
      </top>
      <bottom style="thin">
        <color rgb="FF000000"/>
      </bottom>
      <diagonal/>
    </border>
    <border>
      <left style="thin">
        <color theme="0" tint="-0.499984740745262"/>
      </left>
      <right style="thin">
        <color theme="0" tint="-0.499984740745262"/>
      </right>
      <top style="thin">
        <color rgb="FF000000"/>
      </top>
      <bottom style="thin">
        <color theme="0" tint="-0.499984740745262"/>
      </bottom>
      <diagonal/>
    </border>
    <border>
      <left style="thick">
        <color theme="0" tint="-0.499984740745262"/>
      </left>
      <right style="thick">
        <color theme="0" tint="-0.499984740745262"/>
      </right>
      <top style="thick">
        <color theme="0" tint="-0.499984740745262"/>
      </top>
      <bottom style="thick">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indexed="64"/>
      </bottom>
      <diagonal/>
    </border>
    <border>
      <left style="thin">
        <color indexed="64"/>
      </left>
      <right style="thin">
        <color indexed="64"/>
      </right>
      <top style="thin">
        <color indexed="64"/>
      </top>
      <bottom/>
      <diagonal/>
    </border>
    <border>
      <left style="thick">
        <color theme="1"/>
      </left>
      <right style="thick">
        <color theme="1"/>
      </right>
      <top style="thick">
        <color theme="1"/>
      </top>
      <bottom style="thin">
        <color theme="0" tint="-0.499984740745262"/>
      </bottom>
      <diagonal/>
    </border>
    <border>
      <left style="thick">
        <color theme="1"/>
      </left>
      <right style="thick">
        <color theme="1"/>
      </right>
      <top style="thin">
        <color theme="0" tint="-0.499984740745262"/>
      </top>
      <bottom style="thin">
        <color theme="0" tint="-0.499984740745262"/>
      </bottom>
      <diagonal/>
    </border>
    <border>
      <left style="thick">
        <color theme="1"/>
      </left>
      <right style="thick">
        <color theme="1"/>
      </right>
      <top style="thin">
        <color theme="0" tint="-0.499984740745262"/>
      </top>
      <bottom style="thick">
        <color theme="1"/>
      </bottom>
      <diagonal/>
    </border>
    <border>
      <left style="thick">
        <color theme="1"/>
      </left>
      <right style="thin">
        <color theme="0" tint="-0.499984740745262"/>
      </right>
      <top style="thin">
        <color theme="0" tint="-0.499984740745262"/>
      </top>
      <bottom style="thin">
        <color theme="0" tint="-0.499984740745262"/>
      </bottom>
      <diagonal/>
    </border>
    <border>
      <left style="thin">
        <color theme="0" tint="-0.499984740745262"/>
      </left>
      <right style="thick">
        <color theme="1"/>
      </right>
      <top style="thin">
        <color theme="0" tint="-0.499984740745262"/>
      </top>
      <bottom style="thin">
        <color theme="0" tint="-0.499984740745262"/>
      </bottom>
      <diagonal/>
    </border>
    <border>
      <left style="thick">
        <color theme="1"/>
      </left>
      <right style="thin">
        <color theme="0" tint="-0.499984740745262"/>
      </right>
      <top style="thin">
        <color theme="0" tint="-0.499984740745262"/>
      </top>
      <bottom style="thick">
        <color theme="1"/>
      </bottom>
      <diagonal/>
    </border>
    <border>
      <left style="thin">
        <color theme="0" tint="-0.499984740745262"/>
      </left>
      <right style="thin">
        <color theme="0" tint="-0.499984740745262"/>
      </right>
      <top style="thin">
        <color theme="0" tint="-0.499984740745262"/>
      </top>
      <bottom style="thick">
        <color theme="1"/>
      </bottom>
      <diagonal/>
    </border>
    <border>
      <left style="thin">
        <color theme="0" tint="-0.499984740745262"/>
      </left>
      <right style="thick">
        <color theme="1"/>
      </right>
      <top style="thin">
        <color theme="0" tint="-0.499984740745262"/>
      </top>
      <bottom style="thick">
        <color theme="1"/>
      </bottom>
      <diagonal/>
    </border>
    <border>
      <left style="thick">
        <color auto="1"/>
      </left>
      <right style="thick">
        <color auto="1"/>
      </right>
      <top style="thin">
        <color theme="0" tint="-0.499984740745262"/>
      </top>
      <bottom style="thin">
        <color theme="0" tint="-0.499984740745262"/>
      </bottom>
      <diagonal/>
    </border>
    <border>
      <left style="thick">
        <color auto="1"/>
      </left>
      <right style="thick">
        <color auto="1"/>
      </right>
      <top style="thin">
        <color theme="0" tint="-0.499984740745262"/>
      </top>
      <bottom style="thick">
        <color auto="1"/>
      </bottom>
      <diagonal/>
    </border>
    <border>
      <left style="thick">
        <color auto="1"/>
      </left>
      <right style="thin">
        <color theme="0" tint="-0.499984740745262"/>
      </right>
      <top style="thin">
        <color theme="0" tint="-0.499984740745262"/>
      </top>
      <bottom style="thin">
        <color theme="0" tint="-0.499984740745262"/>
      </bottom>
      <diagonal/>
    </border>
    <border>
      <left style="thin">
        <color theme="0" tint="-0.499984740745262"/>
      </left>
      <right style="thick">
        <color auto="1"/>
      </right>
      <top style="thin">
        <color theme="0" tint="-0.499984740745262"/>
      </top>
      <bottom style="thin">
        <color theme="0" tint="-0.499984740745262"/>
      </bottom>
      <diagonal/>
    </border>
    <border>
      <left style="thick">
        <color auto="1"/>
      </left>
      <right/>
      <top style="thin">
        <color theme="0" tint="-0.499984740745262"/>
      </top>
      <bottom style="thin">
        <color theme="0" tint="-0.499984740745262"/>
      </bottom>
      <diagonal/>
    </border>
    <border>
      <left/>
      <right style="thick">
        <color auto="1"/>
      </right>
      <top style="thin">
        <color theme="0" tint="-0.499984740745262"/>
      </top>
      <bottom style="thin">
        <color theme="0" tint="-0.499984740745262"/>
      </bottom>
      <diagonal/>
    </border>
    <border>
      <left style="thick">
        <color auto="1"/>
      </left>
      <right/>
      <top style="thin">
        <color theme="0" tint="-0.499984740745262"/>
      </top>
      <bottom style="thick">
        <color auto="1"/>
      </bottom>
      <diagonal/>
    </border>
    <border>
      <left style="thick">
        <color theme="0" tint="-0.499984740745262"/>
      </left>
      <right style="thick">
        <color theme="0" tint="-0.499984740745262"/>
      </right>
      <top style="thick">
        <color theme="0" tint="-0.499984740745262"/>
      </top>
      <bottom style="thick">
        <color auto="1"/>
      </bottom>
      <diagonal/>
    </border>
    <border>
      <left/>
      <right style="thick">
        <color auto="1"/>
      </right>
      <top style="thin">
        <color theme="0" tint="-0.499984740745262"/>
      </top>
      <bottom style="thick">
        <color auto="1"/>
      </bottom>
      <diagonal/>
    </border>
    <border>
      <left style="thick">
        <color auto="1"/>
      </left>
      <right style="thin">
        <color theme="0" tint="-0.499984740745262"/>
      </right>
      <top style="thin">
        <color theme="0" tint="-0.499984740745262"/>
      </top>
      <bottom style="thick">
        <color auto="1"/>
      </bottom>
      <diagonal/>
    </border>
    <border>
      <left style="thin">
        <color theme="0" tint="-0.499984740745262"/>
      </left>
      <right style="thin">
        <color theme="0" tint="-0.499984740745262"/>
      </right>
      <top style="thin">
        <color theme="0" tint="-0.499984740745262"/>
      </top>
      <bottom style="thick">
        <color auto="1"/>
      </bottom>
      <diagonal/>
    </border>
    <border>
      <left style="thin">
        <color theme="0" tint="-0.499984740745262"/>
      </left>
      <right style="thick">
        <color auto="1"/>
      </right>
      <top style="thin">
        <color theme="0" tint="-0.499984740745262"/>
      </top>
      <bottom style="thick">
        <color auto="1"/>
      </bottom>
      <diagonal/>
    </border>
    <border>
      <left style="thick">
        <color theme="1"/>
      </left>
      <right style="thick">
        <color theme="1"/>
      </right>
      <top/>
      <bottom style="thin">
        <color theme="0" tint="-0.499984740745262"/>
      </bottom>
      <diagonal/>
    </border>
    <border>
      <left style="thick">
        <color auto="1"/>
      </left>
      <right style="thick">
        <color auto="1"/>
      </right>
      <top/>
      <bottom style="thin">
        <color theme="0" tint="-0.499984740745262"/>
      </bottom>
      <diagonal/>
    </border>
    <border>
      <left style="thick">
        <color theme="1"/>
      </left>
      <right style="thin">
        <color theme="0" tint="-0.499984740745262"/>
      </right>
      <top/>
      <bottom style="thin">
        <color theme="0" tint="-0.499984740745262"/>
      </bottom>
      <diagonal/>
    </border>
    <border>
      <left style="thin">
        <color theme="0" tint="-0.499984740745262"/>
      </left>
      <right style="thick">
        <color theme="1"/>
      </right>
      <top/>
      <bottom style="thin">
        <color theme="0" tint="-0.499984740745262"/>
      </bottom>
      <diagonal/>
    </border>
    <border>
      <left style="thick">
        <color auto="1"/>
      </left>
      <right style="thin">
        <color theme="0" tint="-0.499984740745262"/>
      </right>
      <top/>
      <bottom style="thin">
        <color theme="0" tint="-0.499984740745262"/>
      </bottom>
      <diagonal/>
    </border>
    <border>
      <left style="thin">
        <color theme="0" tint="-0.499984740745262"/>
      </left>
      <right style="thick">
        <color auto="1"/>
      </right>
      <top/>
      <bottom style="thin">
        <color theme="0" tint="-0.499984740745262"/>
      </bottom>
      <diagonal/>
    </border>
    <border>
      <left style="thick">
        <color theme="1"/>
      </left>
      <right style="thick">
        <color theme="1"/>
      </right>
      <top style="thick">
        <color theme="1"/>
      </top>
      <bottom style="medium">
        <color auto="1"/>
      </bottom>
      <diagonal/>
    </border>
    <border>
      <left style="thick">
        <color auto="1"/>
      </left>
      <right style="thick">
        <color auto="1"/>
      </right>
      <top style="thick">
        <color auto="1"/>
      </top>
      <bottom style="medium">
        <color auto="1"/>
      </bottom>
      <diagonal/>
    </border>
    <border>
      <left style="thick">
        <color theme="1"/>
      </left>
      <right style="thin">
        <color theme="0" tint="-0.499984740745262"/>
      </right>
      <top style="thick">
        <color theme="1"/>
      </top>
      <bottom style="medium">
        <color auto="1"/>
      </bottom>
      <diagonal/>
    </border>
    <border>
      <left style="thin">
        <color theme="0" tint="-0.499984740745262"/>
      </left>
      <right style="thin">
        <color theme="0" tint="-0.499984740745262"/>
      </right>
      <top style="thick">
        <color theme="1"/>
      </top>
      <bottom style="medium">
        <color auto="1"/>
      </bottom>
      <diagonal/>
    </border>
    <border>
      <left style="thin">
        <color theme="0" tint="-0.499984740745262"/>
      </left>
      <right style="thick">
        <color theme="1"/>
      </right>
      <top style="thick">
        <color theme="1"/>
      </top>
      <bottom style="medium">
        <color auto="1"/>
      </bottom>
      <diagonal/>
    </border>
    <border>
      <left style="thick">
        <color auto="1"/>
      </left>
      <right/>
      <top style="thick">
        <color auto="1"/>
      </top>
      <bottom style="medium">
        <color auto="1"/>
      </bottom>
      <diagonal/>
    </border>
    <border>
      <left style="thin">
        <color auto="1"/>
      </left>
      <right style="thin">
        <color auto="1"/>
      </right>
      <top style="thick">
        <color auto="1"/>
      </top>
      <bottom style="medium">
        <color auto="1"/>
      </bottom>
      <diagonal/>
    </border>
    <border>
      <left/>
      <right style="thick">
        <color auto="1"/>
      </right>
      <top style="thick">
        <color auto="1"/>
      </top>
      <bottom style="medium">
        <color auto="1"/>
      </bottom>
      <diagonal/>
    </border>
    <border>
      <left style="thick">
        <color auto="1"/>
      </left>
      <right style="thin">
        <color theme="0" tint="-0.499984740745262"/>
      </right>
      <top style="thick">
        <color auto="1"/>
      </top>
      <bottom style="medium">
        <color auto="1"/>
      </bottom>
      <diagonal/>
    </border>
    <border>
      <left style="thin">
        <color theme="0" tint="-0.499984740745262"/>
      </left>
      <right style="thin">
        <color theme="0" tint="-0.499984740745262"/>
      </right>
      <top style="thick">
        <color auto="1"/>
      </top>
      <bottom style="medium">
        <color auto="1"/>
      </bottom>
      <diagonal/>
    </border>
    <border>
      <left style="thin">
        <color theme="0" tint="-0.499984740745262"/>
      </left>
      <right style="thick">
        <color auto="1"/>
      </right>
      <top style="thick">
        <color auto="1"/>
      </top>
      <bottom style="medium">
        <color auto="1"/>
      </bottom>
      <diagonal/>
    </border>
    <border>
      <left style="medium">
        <color theme="1"/>
      </left>
      <right style="medium">
        <color theme="1"/>
      </right>
      <top style="medium">
        <color theme="1"/>
      </top>
      <bottom style="medium">
        <color theme="1"/>
      </bottom>
      <diagonal/>
    </border>
    <border>
      <left style="thick">
        <color theme="1"/>
      </left>
      <right style="thin">
        <color theme="0" tint="-0.499984740745262"/>
      </right>
      <top style="thick">
        <color theme="1"/>
      </top>
      <bottom style="medium">
        <color theme="0" tint="-0.499984740745262"/>
      </bottom>
      <diagonal/>
    </border>
    <border>
      <left style="thin">
        <color theme="0" tint="-0.499984740745262"/>
      </left>
      <right style="thin">
        <color theme="0" tint="-0.499984740745262"/>
      </right>
      <top style="thick">
        <color theme="1"/>
      </top>
      <bottom style="medium">
        <color theme="0" tint="-0.499984740745262"/>
      </bottom>
      <diagonal/>
    </border>
    <border>
      <left style="thin">
        <color theme="0" tint="-0.499984740745262"/>
      </left>
      <right style="thick">
        <color theme="1"/>
      </right>
      <top style="thick">
        <color theme="1"/>
      </top>
      <bottom style="medium">
        <color theme="0" tint="-0.499984740745262"/>
      </bottom>
      <diagonal/>
    </border>
    <border>
      <left style="thin">
        <color theme="0" tint="-0.499984740745262"/>
      </left>
      <right style="thin">
        <color theme="0" tint="-0.499984740745262"/>
      </right>
      <top/>
      <bottom style="thick">
        <color theme="1"/>
      </bottom>
      <diagonal/>
    </border>
    <border>
      <left style="thick">
        <color theme="1"/>
      </left>
      <right style="thick">
        <color theme="1"/>
      </right>
      <top style="thick">
        <color theme="1"/>
      </top>
      <bottom style="medium">
        <color theme="1"/>
      </bottom>
      <diagonal/>
    </border>
    <border>
      <left style="thick">
        <color theme="1"/>
      </left>
      <right style="thin">
        <color theme="0" tint="-0.499984740745262"/>
      </right>
      <top style="thick">
        <color theme="1"/>
      </top>
      <bottom style="medium">
        <color theme="1"/>
      </bottom>
      <diagonal/>
    </border>
    <border>
      <left style="thin">
        <color theme="0" tint="-0.499984740745262"/>
      </left>
      <right style="thin">
        <color theme="0" tint="-0.499984740745262"/>
      </right>
      <top style="thick">
        <color theme="1"/>
      </top>
      <bottom style="medium">
        <color theme="1"/>
      </bottom>
      <diagonal/>
    </border>
    <border>
      <left style="thin">
        <color theme="0" tint="-0.499984740745262"/>
      </left>
      <right style="thick">
        <color theme="1"/>
      </right>
      <top style="thick">
        <color theme="1"/>
      </top>
      <bottom style="medium">
        <color theme="1"/>
      </bottom>
      <diagonal/>
    </border>
    <border>
      <left style="thin">
        <color theme="0"/>
      </left>
      <right style="thin">
        <color theme="0"/>
      </right>
      <top/>
      <bottom/>
      <diagonal/>
    </border>
    <border>
      <left/>
      <right style="thin">
        <color theme="0"/>
      </right>
      <top/>
      <bottom/>
      <diagonal/>
    </border>
    <border>
      <left/>
      <right style="thin">
        <color theme="0"/>
      </right>
      <top style="thin">
        <color theme="0"/>
      </top>
      <bottom/>
      <diagonal/>
    </border>
    <border>
      <left/>
      <right style="thin">
        <color theme="0"/>
      </right>
      <top/>
      <bottom style="thin">
        <color theme="0"/>
      </bottom>
      <diagonal/>
    </border>
    <border>
      <left style="thin">
        <color theme="0" tint="-0.499984740745262"/>
      </left>
      <right style="thin">
        <color theme="1"/>
      </right>
      <top style="thin">
        <color theme="0" tint="-0.499984740745262"/>
      </top>
      <bottom style="thin">
        <color theme="0" tint="-0.499984740745262"/>
      </bottom>
      <diagonal/>
    </border>
    <border>
      <left style="medium">
        <color theme="1"/>
      </left>
      <right style="thin">
        <color theme="1"/>
      </right>
      <top style="medium">
        <color theme="1"/>
      </top>
      <bottom style="medium">
        <color theme="1"/>
      </bottom>
      <diagonal/>
    </border>
    <border>
      <left/>
      <right style="thick">
        <color theme="1"/>
      </right>
      <top style="thin">
        <color theme="0" tint="-0.499984740745262"/>
      </top>
      <bottom style="thin">
        <color theme="0" tint="-0.499984740745262"/>
      </bottom>
      <diagonal/>
    </border>
    <border>
      <left style="medium">
        <color theme="0" tint="-0.499984740745262"/>
      </left>
      <right style="thick">
        <color theme="1"/>
      </right>
      <top style="thin">
        <color theme="0" tint="-0.499984740745262"/>
      </top>
      <bottom style="thin">
        <color theme="0" tint="-0.499984740745262"/>
      </bottom>
      <diagonal/>
    </border>
    <border>
      <left style="thin">
        <color theme="0" tint="-0.499984740745262"/>
      </left>
      <right/>
      <top style="thin">
        <color theme="0" tint="-0.499984740745262"/>
      </top>
      <bottom style="thick">
        <color theme="1"/>
      </bottom>
      <diagonal/>
    </border>
    <border>
      <left/>
      <right style="thick">
        <color theme="1"/>
      </right>
      <top/>
      <bottom style="thin">
        <color theme="0" tint="-0.499984740745262"/>
      </bottom>
      <diagonal/>
    </border>
    <border>
      <left/>
      <right style="thick">
        <color theme="1"/>
      </right>
      <top style="thin">
        <color theme="0" tint="-0.499984740745262"/>
      </top>
      <bottom style="thick">
        <color theme="1"/>
      </bottom>
      <diagonal/>
    </border>
    <border>
      <left style="thick">
        <color theme="1"/>
      </left>
      <right style="thin">
        <color theme="0" tint="-0.499984740745262"/>
      </right>
      <top style="thick">
        <color theme="1"/>
      </top>
      <bottom style="thin">
        <color theme="0" tint="-0.499984740745262"/>
      </bottom>
      <diagonal/>
    </border>
    <border>
      <left style="thin">
        <color theme="0" tint="-0.499984740745262"/>
      </left>
      <right style="thick">
        <color theme="1"/>
      </right>
      <top style="thick">
        <color theme="1"/>
      </top>
      <bottom style="thin">
        <color theme="0" tint="-0.499984740745262"/>
      </bottom>
      <diagonal/>
    </border>
    <border>
      <left style="thick">
        <color theme="1"/>
      </left>
      <right/>
      <top/>
      <bottom/>
      <diagonal/>
    </border>
    <border>
      <left/>
      <right style="thick">
        <color theme="1"/>
      </right>
      <top/>
      <bottom/>
      <diagonal/>
    </border>
    <border>
      <left style="thin">
        <color theme="0" tint="-0.499984740745262"/>
      </left>
      <right style="thin">
        <color theme="0" tint="-0.499984740745262"/>
      </right>
      <top style="thick">
        <color theme="1"/>
      </top>
      <bottom style="thin">
        <color theme="0" tint="-0.499984740745262"/>
      </bottom>
      <diagonal/>
    </border>
    <border>
      <left/>
      <right/>
      <top style="thick">
        <color theme="1"/>
      </top>
      <bottom/>
      <diagonal/>
    </border>
    <border>
      <left/>
      <right style="thin">
        <color theme="0" tint="-0.499984740745262"/>
      </right>
      <top style="thick">
        <color theme="1"/>
      </top>
      <bottom/>
      <diagonal/>
    </border>
    <border>
      <left/>
      <right style="thick">
        <color theme="1"/>
      </right>
      <top style="thick">
        <color theme="1"/>
      </top>
      <bottom/>
      <diagonal/>
    </border>
    <border>
      <left style="thick">
        <color theme="1"/>
      </left>
      <right/>
      <top style="thin">
        <color theme="0" tint="-0.499984740745262"/>
      </top>
      <bottom style="thin">
        <color theme="0" tint="-0.499984740745262"/>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
      <left style="thin">
        <color theme="0" tint="-0.499984740745262"/>
      </left>
      <right style="thick">
        <color theme="1"/>
      </right>
      <top/>
      <bottom/>
      <diagonal/>
    </border>
    <border>
      <left style="thick">
        <color theme="1"/>
      </left>
      <right/>
      <top style="thick">
        <color theme="1"/>
      </top>
      <bottom style="thick">
        <color theme="1"/>
      </bottom>
      <diagonal/>
    </border>
    <border>
      <left/>
      <right style="thin">
        <color theme="0" tint="-0.499984740745262"/>
      </right>
      <top style="thick">
        <color theme="1"/>
      </top>
      <bottom style="thick">
        <color theme="1"/>
      </bottom>
      <diagonal/>
    </border>
    <border>
      <left style="thick">
        <color theme="1"/>
      </left>
      <right style="thin">
        <color theme="0" tint="-0.499984740745262"/>
      </right>
      <top style="thick">
        <color theme="1"/>
      </top>
      <bottom/>
      <diagonal/>
    </border>
    <border>
      <left style="thin">
        <color theme="0" tint="-0.499984740745262"/>
      </left>
      <right style="thin">
        <color theme="0" tint="-0.499984740745262"/>
      </right>
      <top style="thick">
        <color theme="1"/>
      </top>
      <bottom/>
      <diagonal/>
    </border>
    <border>
      <left style="thin">
        <color theme="0" tint="-0.499984740745262"/>
      </left>
      <right style="thick">
        <color theme="1"/>
      </right>
      <top style="thick">
        <color theme="1"/>
      </top>
      <bottom/>
      <diagonal/>
    </border>
    <border>
      <left style="medium">
        <color theme="0" tint="-0.499984740745262"/>
      </left>
      <right style="medium">
        <color theme="0" tint="-0.499984740745262"/>
      </right>
      <top style="medium">
        <color theme="1"/>
      </top>
      <bottom style="thick">
        <color theme="1"/>
      </bottom>
      <diagonal/>
    </border>
    <border>
      <left style="thick">
        <color theme="1"/>
      </left>
      <right/>
      <top style="medium">
        <color theme="1"/>
      </top>
      <bottom style="thick">
        <color theme="1"/>
      </bottom>
      <diagonal/>
    </border>
    <border>
      <left style="thick">
        <color theme="1"/>
      </left>
      <right/>
      <top/>
      <bottom style="thin">
        <color theme="0" tint="-0.499984740745262"/>
      </bottom>
      <diagonal/>
    </border>
    <border>
      <left style="thick">
        <color theme="1"/>
      </left>
      <right/>
      <top style="thin">
        <color theme="0" tint="-0.499984740745262"/>
      </top>
      <bottom style="thick">
        <color theme="1"/>
      </bottom>
      <diagonal/>
    </border>
    <border>
      <left/>
      <right style="thick">
        <color theme="1"/>
      </right>
      <top style="medium">
        <color theme="1"/>
      </top>
      <bottom style="thick">
        <color theme="1"/>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ck">
        <color theme="1"/>
      </bottom>
      <diagonal/>
    </border>
    <border>
      <left style="thick">
        <color theme="1"/>
      </left>
      <right/>
      <top style="thick">
        <color theme="1"/>
      </top>
      <bottom style="thin">
        <color theme="0" tint="-0.499984740745262"/>
      </bottom>
      <diagonal/>
    </border>
    <border>
      <left/>
      <right style="thick">
        <color theme="1"/>
      </right>
      <top style="thick">
        <color theme="1"/>
      </top>
      <bottom style="thin">
        <color theme="0" tint="-0.499984740745262"/>
      </bottom>
      <diagonal/>
    </border>
    <border>
      <left style="medium">
        <color theme="0" tint="-0.499984740745262"/>
      </left>
      <right style="medium">
        <color theme="0" tint="-0.499984740745262"/>
      </right>
      <top style="thick">
        <color theme="1"/>
      </top>
      <bottom style="thin">
        <color theme="0" tint="-0.499984740745262"/>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n">
        <color theme="0" tint="-0.499984740745262"/>
      </right>
      <top style="thick">
        <color auto="1"/>
      </top>
      <bottom style="thick">
        <color auto="1"/>
      </bottom>
      <diagonal/>
    </border>
    <border>
      <left style="thin">
        <color theme="0" tint="-0.499984740745262"/>
      </left>
      <right style="thin">
        <color theme="0" tint="-0.499984740745262"/>
      </right>
      <top style="thick">
        <color auto="1"/>
      </top>
      <bottom style="thick">
        <color auto="1"/>
      </bottom>
      <diagonal/>
    </border>
    <border>
      <left style="thin">
        <color theme="0" tint="-0.499984740745262"/>
      </left>
      <right style="thick">
        <color auto="1"/>
      </right>
      <top style="thick">
        <color auto="1"/>
      </top>
      <bottom style="thick">
        <color auto="1"/>
      </bottom>
      <diagonal/>
    </border>
    <border>
      <left/>
      <right style="thin">
        <color theme="0" tint="-0.499984740745262"/>
      </right>
      <top style="thick">
        <color auto="1"/>
      </top>
      <bottom/>
      <diagonal/>
    </border>
    <border>
      <left style="thin">
        <color theme="0" tint="-0.499984740745262"/>
      </left>
      <right/>
      <top style="thick">
        <color auto="1"/>
      </top>
      <bottom style="thin">
        <color theme="0" tint="-0.499984740745262"/>
      </bottom>
      <diagonal/>
    </border>
    <border>
      <left/>
      <right style="thin">
        <color theme="0" tint="-0.499984740745262"/>
      </right>
      <top style="thick">
        <color auto="1"/>
      </top>
      <bottom style="thin">
        <color theme="0" tint="-0.499984740745262"/>
      </bottom>
      <diagonal/>
    </border>
    <border>
      <left style="thin">
        <color theme="0" tint="-0.499984740745262"/>
      </left>
      <right style="thin">
        <color theme="0" tint="-0.499984740745262"/>
      </right>
      <top style="thick">
        <color auto="1"/>
      </top>
      <bottom style="thin">
        <color theme="0" tint="-0.499984740745262"/>
      </bottom>
      <diagonal/>
    </border>
    <border>
      <left style="thin">
        <color theme="0" tint="-0.499984740745262"/>
      </left>
      <right style="thick">
        <color auto="1"/>
      </right>
      <top style="thick">
        <color auto="1"/>
      </top>
      <bottom style="thin">
        <color theme="0" tint="-0.499984740745262"/>
      </bottom>
      <diagonal/>
    </border>
    <border>
      <left style="thick">
        <color auto="1"/>
      </left>
      <right/>
      <top/>
      <bottom style="thin">
        <color theme="0" tint="-0.499984740745262"/>
      </bottom>
      <diagonal/>
    </border>
    <border>
      <left style="thick">
        <color auto="1"/>
      </left>
      <right/>
      <top style="thin">
        <color theme="0" tint="-0.499984740745262"/>
      </top>
      <bottom/>
      <diagonal/>
    </border>
    <border>
      <left/>
      <right style="thin">
        <color theme="0" tint="-0.499984740745262"/>
      </right>
      <top/>
      <bottom style="thick">
        <color auto="1"/>
      </bottom>
      <diagonal/>
    </border>
    <border>
      <left style="thin">
        <color theme="0" tint="-0.499984740745262"/>
      </left>
      <right/>
      <top style="thin">
        <color theme="0" tint="-0.499984740745262"/>
      </top>
      <bottom style="thick">
        <color auto="1"/>
      </bottom>
      <diagonal/>
    </border>
    <border>
      <left/>
      <right style="thin">
        <color theme="0" tint="-0.499984740745262"/>
      </right>
      <top style="thin">
        <color theme="0" tint="-0.499984740745262"/>
      </top>
      <bottom style="thick">
        <color auto="1"/>
      </bottom>
      <diagonal/>
    </border>
    <border>
      <left style="thick">
        <color auto="1"/>
      </left>
      <right/>
      <top style="thin">
        <color auto="1"/>
      </top>
      <bottom/>
      <diagonal/>
    </border>
    <border>
      <left/>
      <right/>
      <top style="thin">
        <color auto="1"/>
      </top>
      <bottom/>
      <diagonal/>
    </border>
    <border>
      <left/>
      <right style="thin">
        <color theme="0" tint="-0.499984740745262"/>
      </right>
      <top style="thin">
        <color auto="1"/>
      </top>
      <bottom/>
      <diagonal/>
    </border>
    <border>
      <left style="thin">
        <color theme="0" tint="-0.499984740745262"/>
      </left>
      <right/>
      <top style="thin">
        <color auto="1"/>
      </top>
      <bottom style="thin">
        <color theme="0" tint="-0.499984740745262"/>
      </bottom>
      <diagonal/>
    </border>
    <border>
      <left/>
      <right style="thin">
        <color theme="0" tint="-0.499984740745262"/>
      </right>
      <top style="thin">
        <color auto="1"/>
      </top>
      <bottom style="thin">
        <color theme="0" tint="-0.499984740745262"/>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style="thick">
        <color auto="1"/>
      </right>
      <top style="thin">
        <color auto="1"/>
      </top>
      <bottom style="thin">
        <color theme="0" tint="-0.499984740745262"/>
      </bottom>
      <diagonal/>
    </border>
    <border>
      <left style="thick">
        <color auto="1"/>
      </left>
      <right/>
      <top/>
      <bottom style="thin">
        <color auto="1"/>
      </bottom>
      <diagonal/>
    </border>
    <border>
      <left/>
      <right/>
      <top/>
      <bottom style="thin">
        <color auto="1"/>
      </bottom>
      <diagonal/>
    </border>
    <border>
      <left/>
      <right style="thin">
        <color theme="0" tint="-0.499984740745262"/>
      </right>
      <top/>
      <bottom style="thin">
        <color auto="1"/>
      </bottom>
      <diagonal/>
    </border>
    <border>
      <left style="thin">
        <color theme="0" tint="-0.499984740745262"/>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ck">
        <color auto="1"/>
      </right>
      <top style="thin">
        <color theme="0" tint="-0.499984740745262"/>
      </top>
      <bottom style="thin">
        <color auto="1"/>
      </bottom>
      <diagonal/>
    </border>
    <border>
      <left style="thick">
        <color theme="1"/>
      </left>
      <right style="thin">
        <color theme="0" tint="-0.499984740745262"/>
      </right>
      <top/>
      <bottom style="thick">
        <color theme="1"/>
      </bottom>
      <diagonal/>
    </border>
    <border>
      <left style="thin">
        <color theme="0" tint="-0.499984740745262"/>
      </left>
      <right style="thick">
        <color theme="1"/>
      </right>
      <top/>
      <bottom style="thick">
        <color theme="1"/>
      </bottom>
      <diagonal/>
    </border>
    <border>
      <left style="thin">
        <color theme="1"/>
      </left>
      <right style="thin">
        <color theme="1"/>
      </right>
      <top style="thin">
        <color theme="0" tint="-0.499984740745262"/>
      </top>
      <bottom style="thick">
        <color theme="1"/>
      </bottom>
      <diagonal/>
    </border>
    <border>
      <left style="thick">
        <color theme="1"/>
      </left>
      <right/>
      <top style="thick">
        <color theme="1"/>
      </top>
      <bottom/>
      <diagonal/>
    </border>
    <border>
      <left style="thin">
        <color theme="1"/>
      </left>
      <right style="thin">
        <color theme="1"/>
      </right>
      <top style="thick">
        <color theme="1"/>
      </top>
      <bottom/>
      <diagonal/>
    </border>
    <border>
      <left style="thick">
        <color theme="1"/>
      </left>
      <right/>
      <top style="medium">
        <color theme="1"/>
      </top>
      <bottom style="thin">
        <color theme="0" tint="-0.499984740745262"/>
      </bottom>
      <diagonal/>
    </border>
    <border>
      <left style="thin">
        <color theme="1"/>
      </left>
      <right style="thin">
        <color theme="1"/>
      </right>
      <top style="medium">
        <color theme="1"/>
      </top>
      <bottom style="thin">
        <color theme="0" tint="-0.499984740745262"/>
      </bottom>
      <diagonal/>
    </border>
    <border>
      <left/>
      <right style="thick">
        <color theme="1"/>
      </right>
      <top style="medium">
        <color theme="1"/>
      </top>
      <bottom style="thin">
        <color theme="0" tint="-0.499984740745262"/>
      </bottom>
      <diagonal/>
    </border>
    <border>
      <left style="thick">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thick">
        <color theme="1"/>
      </right>
      <top style="medium">
        <color theme="1"/>
      </top>
      <bottom style="medium">
        <color theme="1"/>
      </bottom>
      <diagonal/>
    </border>
    <border>
      <left style="thick">
        <color theme="1"/>
      </left>
      <right/>
      <top style="thin">
        <color theme="0" tint="-0.499984740745262"/>
      </top>
      <bottom/>
      <diagonal/>
    </border>
    <border>
      <left/>
      <right style="thin">
        <color theme="0" tint="-0.499984740745262"/>
      </right>
      <top style="thick">
        <color theme="1"/>
      </top>
      <bottom style="thin">
        <color theme="0" tint="-0.499984740745262"/>
      </bottom>
      <diagonal/>
    </border>
    <border>
      <left style="thin">
        <color theme="0" tint="-0.499984740745262"/>
      </left>
      <right/>
      <top style="thick">
        <color theme="1"/>
      </top>
      <bottom style="thin">
        <color theme="0" tint="-0.499984740745262"/>
      </bottom>
      <diagonal/>
    </border>
    <border>
      <left/>
      <right style="thin">
        <color theme="0" tint="-0.499984740745262"/>
      </right>
      <top style="thin">
        <color theme="0" tint="-0.499984740745262"/>
      </top>
      <bottom style="thick">
        <color theme="1"/>
      </bottom>
      <diagonal/>
    </border>
    <border>
      <left style="thin">
        <color theme="1"/>
      </left>
      <right style="thin">
        <color theme="1"/>
      </right>
      <top style="thin">
        <color theme="1"/>
      </top>
      <bottom style="thin">
        <color theme="1"/>
      </bottom>
      <diagonal/>
    </border>
    <border>
      <left/>
      <right style="thick">
        <color theme="1"/>
      </right>
      <top style="thin">
        <color theme="0" tint="-0.499984740745262"/>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ck">
        <color theme="1"/>
      </left>
      <right style="thin">
        <color theme="0" tint="-0.499984740745262"/>
      </right>
      <top style="thin">
        <color theme="0" tint="-0.499984740745262"/>
      </top>
      <bottom/>
      <diagonal/>
    </border>
    <border>
      <left style="thin">
        <color theme="0" tint="-0.499984740745262"/>
      </left>
      <right style="thick">
        <color theme="1"/>
      </right>
      <top style="thin">
        <color theme="0" tint="-0.499984740745262"/>
      </top>
      <bottom/>
      <diagonal/>
    </border>
    <border>
      <left style="thick">
        <color theme="1"/>
      </left>
      <right style="thin">
        <color indexed="64"/>
      </right>
      <top style="thin">
        <color theme="0" tint="-0.499984740745262"/>
      </top>
      <bottom style="thin">
        <color theme="0" tint="-0.499984740745262"/>
      </bottom>
      <diagonal/>
    </border>
    <border>
      <left/>
      <right/>
      <top/>
      <bottom style="thin">
        <color theme="2" tint="-0.249977111117893"/>
      </bottom>
      <diagonal/>
    </border>
    <border>
      <left/>
      <right/>
      <top style="thin">
        <color theme="0" tint="-0.34998626667073579"/>
      </top>
      <bottom/>
      <diagonal/>
    </border>
  </borders>
  <cellStyleXfs count="3">
    <xf numFmtId="0" fontId="0" fillId="0" borderId="0"/>
    <xf numFmtId="9" fontId="27" fillId="0" borderId="0" applyFont="0" applyFill="0" applyBorder="0" applyAlignment="0" applyProtection="0"/>
    <xf numFmtId="0" fontId="260" fillId="0" borderId="0" applyNumberFormat="0" applyFill="0" applyBorder="0" applyAlignment="0" applyProtection="0"/>
  </cellStyleXfs>
  <cellXfs count="2304">
    <xf numFmtId="0" fontId="0" fillId="0" borderId="0" xfId="0" applyFont="1" applyAlignment="1"/>
    <xf numFmtId="0" fontId="2" fillId="0" borderId="0" xfId="0" applyFont="1"/>
    <xf numFmtId="0" fontId="5" fillId="0" borderId="0" xfId="0" applyFont="1"/>
    <xf numFmtId="0" fontId="9" fillId="0" borderId="0" xfId="0" applyFont="1"/>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9" fillId="0" borderId="0" xfId="0" applyFont="1" applyAlignment="1">
      <alignment horizontal="center"/>
    </xf>
    <xf numFmtId="0" fontId="9" fillId="0" borderId="0" xfId="0" applyFont="1" applyAlignment="1">
      <alignment horizontal="left"/>
    </xf>
    <xf numFmtId="0" fontId="14" fillId="0" borderId="0" xfId="0" applyFont="1"/>
    <xf numFmtId="4" fontId="11" fillId="0" borderId="0" xfId="0" applyNumberFormat="1" applyFont="1"/>
    <xf numFmtId="2" fontId="11" fillId="0" borderId="0" xfId="0" applyNumberFormat="1" applyFont="1" applyAlignment="1">
      <alignment horizontal="center"/>
    </xf>
    <xf numFmtId="0" fontId="9" fillId="0" borderId="0" xfId="0" applyFont="1" applyAlignment="1">
      <alignment horizontal="right"/>
    </xf>
    <xf numFmtId="0" fontId="15" fillId="0" borderId="0" xfId="0" applyFont="1"/>
    <xf numFmtId="0" fontId="10" fillId="0" borderId="0" xfId="0" applyFont="1" applyAlignment="1">
      <alignment horizontal="center" vertical="center"/>
    </xf>
    <xf numFmtId="4" fontId="9" fillId="0" borderId="0" xfId="0" applyNumberFormat="1" applyFont="1" applyAlignment="1">
      <alignment horizontal="center"/>
    </xf>
    <xf numFmtId="2" fontId="9" fillId="0" borderId="0" xfId="0" applyNumberFormat="1" applyFont="1" applyAlignment="1">
      <alignment horizontal="center" vertical="center"/>
    </xf>
    <xf numFmtId="2" fontId="11" fillId="0" borderId="0" xfId="0" applyNumberFormat="1" applyFont="1" applyAlignment="1">
      <alignment horizontal="center" vertical="center"/>
    </xf>
    <xf numFmtId="165" fontId="9" fillId="0" borderId="0" xfId="0" applyNumberFormat="1" applyFont="1" applyAlignment="1">
      <alignment horizontal="center" vertical="center"/>
    </xf>
    <xf numFmtId="2" fontId="9" fillId="0" borderId="0" xfId="0" applyNumberFormat="1" applyFont="1" applyAlignment="1">
      <alignment horizontal="right"/>
    </xf>
    <xf numFmtId="4" fontId="9" fillId="0" borderId="0" xfId="0" applyNumberFormat="1" applyFont="1"/>
    <xf numFmtId="4" fontId="11" fillId="0" borderId="0" xfId="0" applyNumberFormat="1" applyFont="1" applyAlignment="1">
      <alignment horizontal="center" vertical="center"/>
    </xf>
    <xf numFmtId="2" fontId="9" fillId="0" borderId="0" xfId="0" applyNumberFormat="1" applyFont="1"/>
    <xf numFmtId="0" fontId="9" fillId="0" borderId="0" xfId="0" applyFont="1" applyAlignment="1">
      <alignment vertical="center"/>
    </xf>
    <xf numFmtId="0" fontId="7" fillId="0" borderId="0" xfId="0" applyFont="1"/>
    <xf numFmtId="0" fontId="0" fillId="0" borderId="0" xfId="0" applyFont="1"/>
    <xf numFmtId="0" fontId="5" fillId="0" borderId="0" xfId="0" applyFont="1" applyAlignment="1">
      <alignment horizontal="right" vertical="center"/>
    </xf>
    <xf numFmtId="4" fontId="11" fillId="0" borderId="0" xfId="0" applyNumberFormat="1" applyFont="1" applyAlignment="1">
      <alignment horizontal="center"/>
    </xf>
    <xf numFmtId="4" fontId="10" fillId="0" borderId="0" xfId="0" applyNumberFormat="1" applyFont="1" applyAlignment="1">
      <alignment vertical="center"/>
    </xf>
    <xf numFmtId="0" fontId="10" fillId="0" borderId="0" xfId="0" applyFont="1" applyAlignment="1">
      <alignment vertical="center"/>
    </xf>
    <xf numFmtId="2" fontId="11" fillId="0" borderId="0" xfId="0" applyNumberFormat="1" applyFont="1"/>
    <xf numFmtId="4" fontId="11" fillId="0" borderId="0" xfId="0" applyNumberFormat="1" applyFont="1" applyAlignment="1">
      <alignment horizontal="right" vertical="center"/>
    </xf>
    <xf numFmtId="2" fontId="11" fillId="0" borderId="0" xfId="0" applyNumberFormat="1" applyFont="1" applyAlignment="1">
      <alignment horizontal="right"/>
    </xf>
    <xf numFmtId="0" fontId="0"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6" fillId="0" borderId="0" xfId="0" applyFont="1" applyAlignment="1">
      <alignment vertical="center"/>
    </xf>
    <xf numFmtId="0" fontId="0" fillId="0" borderId="0" xfId="0" applyFont="1" applyAlignment="1">
      <alignment vertical="center"/>
    </xf>
    <xf numFmtId="0" fontId="0"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center" vertical="center"/>
    </xf>
    <xf numFmtId="1" fontId="0" fillId="0" borderId="0" xfId="0" applyNumberFormat="1" applyFont="1" applyAlignment="1">
      <alignment horizontal="center" vertical="center"/>
    </xf>
    <xf numFmtId="3" fontId="0" fillId="0" borderId="0" xfId="0" applyNumberFormat="1" applyFont="1" applyAlignment="1">
      <alignment horizontal="center" vertical="center"/>
    </xf>
    <xf numFmtId="0" fontId="23"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4" fontId="4" fillId="0" borderId="0" xfId="0" applyNumberFormat="1" applyFont="1" applyAlignment="1">
      <alignment vertical="center"/>
    </xf>
    <xf numFmtId="0" fontId="2" fillId="0" borderId="0" xfId="0" applyFont="1" applyAlignment="1">
      <alignment vertical="center"/>
    </xf>
    <xf numFmtId="0" fontId="4" fillId="0" borderId="0" xfId="0" applyFont="1"/>
    <xf numFmtId="4" fontId="5" fillId="0" borderId="0" xfId="0" applyNumberFormat="1" applyFont="1" applyAlignment="1">
      <alignment vertical="center"/>
    </xf>
    <xf numFmtId="0" fontId="24" fillId="0" borderId="0" xfId="0" applyFont="1" applyAlignment="1">
      <alignment horizontal="center"/>
    </xf>
    <xf numFmtId="168" fontId="2" fillId="0" borderId="0" xfId="0" applyNumberFormat="1" applyFont="1" applyAlignment="1">
      <alignment horizontal="center" vertical="center"/>
    </xf>
    <xf numFmtId="0" fontId="3" fillId="0" borderId="0" xfId="0" applyFont="1" applyAlignment="1">
      <alignment vertical="center"/>
    </xf>
    <xf numFmtId="168" fontId="0" fillId="0" borderId="0" xfId="0" applyNumberFormat="1" applyFont="1" applyAlignment="1">
      <alignment horizontal="center" vertical="center"/>
    </xf>
    <xf numFmtId="9" fontId="21" fillId="0" borderId="0" xfId="0" applyNumberFormat="1" applyFont="1" applyAlignment="1">
      <alignment horizontal="center" vertical="center"/>
    </xf>
    <xf numFmtId="167" fontId="2" fillId="0" borderId="0" xfId="0" applyNumberFormat="1" applyFont="1" applyAlignment="1">
      <alignment horizontal="center" vertical="center"/>
    </xf>
    <xf numFmtId="1" fontId="2" fillId="0" borderId="0" xfId="0" applyNumberFormat="1" applyFont="1" applyAlignment="1">
      <alignment vertical="center"/>
    </xf>
    <xf numFmtId="0" fontId="17" fillId="0" borderId="0" xfId="0" applyFont="1" applyAlignment="1">
      <alignment vertical="center"/>
    </xf>
    <xf numFmtId="0" fontId="3" fillId="0" borderId="0" xfId="0" applyFont="1"/>
    <xf numFmtId="9" fontId="21" fillId="0" borderId="0" xfId="0" applyNumberFormat="1" applyFont="1" applyAlignment="1">
      <alignment horizontal="center"/>
    </xf>
    <xf numFmtId="179" fontId="0" fillId="0" borderId="0" xfId="0" applyNumberFormat="1" applyFont="1" applyAlignment="1">
      <alignment horizontal="center"/>
    </xf>
    <xf numFmtId="179" fontId="18" fillId="0" borderId="0" xfId="0" applyNumberFormat="1" applyFont="1" applyAlignment="1">
      <alignment horizontal="center"/>
    </xf>
    <xf numFmtId="177" fontId="0" fillId="0" borderId="0" xfId="0" applyNumberFormat="1" applyFont="1" applyAlignment="1">
      <alignment horizontal="center"/>
    </xf>
    <xf numFmtId="168" fontId="0" fillId="0" borderId="0" xfId="0" applyNumberFormat="1" applyFont="1"/>
    <xf numFmtId="0" fontId="12" fillId="0" borderId="0" xfId="0" applyFont="1"/>
    <xf numFmtId="0" fontId="29" fillId="0" borderId="0" xfId="0" applyFont="1" applyProtection="1">
      <protection locked="0"/>
    </xf>
    <xf numFmtId="0" fontId="12" fillId="0" borderId="0" xfId="0" applyFont="1" applyProtection="1">
      <protection locked="0"/>
    </xf>
    <xf numFmtId="0" fontId="0" fillId="0" borderId="0" xfId="0" applyFont="1" applyAlignment="1"/>
    <xf numFmtId="0" fontId="12" fillId="0" borderId="0" xfId="0" applyFont="1" applyAlignment="1"/>
    <xf numFmtId="0" fontId="30" fillId="0" borderId="0" xfId="0" applyFont="1"/>
    <xf numFmtId="0" fontId="12" fillId="0" borderId="0" xfId="0" applyFont="1" applyAlignment="1">
      <alignment vertical="center"/>
    </xf>
    <xf numFmtId="0" fontId="12" fillId="0" borderId="0" xfId="0" applyFont="1" applyAlignment="1">
      <alignment horizontal="center" vertical="center"/>
    </xf>
    <xf numFmtId="3" fontId="12" fillId="0" borderId="0" xfId="0" applyNumberFormat="1" applyFont="1" applyAlignment="1">
      <alignment horizontal="center" vertical="center"/>
    </xf>
    <xf numFmtId="0" fontId="25" fillId="0" borderId="0" xfId="0" applyFont="1" applyAlignment="1">
      <alignment horizontal="right" vertical="center"/>
    </xf>
    <xf numFmtId="0" fontId="34" fillId="0" borderId="0" xfId="0" applyFont="1" applyAlignment="1"/>
    <xf numFmtId="0" fontId="35" fillId="0" borderId="0" xfId="0" applyFont="1"/>
    <xf numFmtId="0" fontId="35" fillId="0" borderId="0" xfId="0" applyFont="1" applyAlignment="1">
      <alignment horizontal="right"/>
    </xf>
    <xf numFmtId="0" fontId="40" fillId="0" borderId="0" xfId="0" applyFont="1"/>
    <xf numFmtId="0" fontId="34" fillId="0" borderId="0" xfId="0" applyFont="1"/>
    <xf numFmtId="0" fontId="41" fillId="0" borderId="0" xfId="0" applyFont="1" applyAlignment="1">
      <alignment horizontal="left" vertical="center"/>
    </xf>
    <xf numFmtId="0" fontId="42" fillId="0" borderId="0" xfId="0" applyFont="1" applyAlignment="1">
      <alignment horizontal="left" vertical="center"/>
    </xf>
    <xf numFmtId="0" fontId="43" fillId="0" borderId="0" xfId="0" applyFont="1"/>
    <xf numFmtId="0" fontId="43" fillId="0" borderId="0" xfId="0" applyFont="1" applyAlignment="1"/>
    <xf numFmtId="0" fontId="45" fillId="0" borderId="0" xfId="0" applyFont="1"/>
    <xf numFmtId="0" fontId="45" fillId="0" borderId="0" xfId="0" applyFont="1" applyAlignment="1"/>
    <xf numFmtId="0" fontId="45" fillId="0" borderId="0" xfId="0" applyFont="1" applyAlignment="1">
      <alignment horizontal="center"/>
    </xf>
    <xf numFmtId="0" fontId="45" fillId="0" borderId="0" xfId="0" applyFont="1" applyAlignment="1">
      <alignment horizontal="right"/>
    </xf>
    <xf numFmtId="0" fontId="47" fillId="0" borderId="0" xfId="0" applyFont="1"/>
    <xf numFmtId="0" fontId="48" fillId="16" borderId="0" xfId="0" applyFont="1" applyFill="1"/>
    <xf numFmtId="0" fontId="45" fillId="16" borderId="0" xfId="0" applyFont="1" applyFill="1"/>
    <xf numFmtId="0" fontId="45" fillId="0" borderId="30" xfId="0" applyFont="1" applyBorder="1"/>
    <xf numFmtId="0" fontId="54" fillId="16" borderId="0" xfId="0" applyFont="1" applyFill="1" applyAlignment="1">
      <alignment vertical="center"/>
    </xf>
    <xf numFmtId="165" fontId="46" fillId="20" borderId="30" xfId="0" applyNumberFormat="1" applyFont="1" applyFill="1" applyBorder="1" applyAlignment="1">
      <alignment horizontal="center" vertical="center"/>
    </xf>
    <xf numFmtId="165" fontId="45" fillId="3" borderId="30" xfId="0" applyNumberFormat="1" applyFont="1" applyFill="1" applyBorder="1" applyAlignment="1">
      <alignment horizontal="center" vertical="center"/>
    </xf>
    <xf numFmtId="165" fontId="46" fillId="3" borderId="30" xfId="0" applyNumberFormat="1" applyFont="1" applyFill="1" applyBorder="1" applyAlignment="1">
      <alignment horizontal="center" vertical="center"/>
    </xf>
    <xf numFmtId="4" fontId="46" fillId="20" borderId="30" xfId="0" applyNumberFormat="1" applyFont="1" applyFill="1" applyBorder="1" applyAlignment="1">
      <alignment horizontal="center" vertical="center"/>
    </xf>
    <xf numFmtId="4" fontId="45" fillId="20" borderId="30" xfId="0" applyNumberFormat="1" applyFont="1" applyFill="1" applyBorder="1" applyAlignment="1">
      <alignment horizontal="center" vertical="center"/>
    </xf>
    <xf numFmtId="165" fontId="46" fillId="0" borderId="30" xfId="0" applyNumberFormat="1" applyFont="1" applyBorder="1" applyAlignment="1">
      <alignment horizontal="center" vertical="center"/>
    </xf>
    <xf numFmtId="0" fontId="56" fillId="16" borderId="0" xfId="0" applyFont="1" applyFill="1" applyAlignment="1">
      <alignment vertical="center"/>
    </xf>
    <xf numFmtId="165" fontId="45" fillId="2" borderId="30" xfId="0" applyNumberFormat="1" applyFont="1" applyFill="1" applyBorder="1" applyAlignment="1" applyProtection="1">
      <alignment horizontal="center" vertical="center"/>
      <protection locked="0"/>
    </xf>
    <xf numFmtId="4" fontId="45" fillId="0" borderId="30" xfId="0" applyNumberFormat="1" applyFont="1" applyBorder="1"/>
    <xf numFmtId="0" fontId="45" fillId="0" borderId="30" xfId="0" applyFont="1" applyBorder="1" applyAlignment="1"/>
    <xf numFmtId="4" fontId="45" fillId="20" borderId="30" xfId="0" applyNumberFormat="1" applyFont="1" applyFill="1" applyBorder="1" applyAlignment="1">
      <alignment horizontal="center"/>
    </xf>
    <xf numFmtId="0" fontId="37" fillId="0" borderId="0" xfId="0" applyFont="1"/>
    <xf numFmtId="4" fontId="43" fillId="0" borderId="0" xfId="0" applyNumberFormat="1" applyFont="1" applyAlignment="1">
      <alignment horizontal="center"/>
    </xf>
    <xf numFmtId="0" fontId="43" fillId="0" borderId="0" xfId="0" applyFont="1" applyAlignment="1">
      <alignment horizontal="center" vertical="center"/>
    </xf>
    <xf numFmtId="4" fontId="43" fillId="0" borderId="0" xfId="0" applyNumberFormat="1" applyFont="1" applyAlignment="1">
      <alignment horizontal="center" vertical="center"/>
    </xf>
    <xf numFmtId="0" fontId="71" fillId="16" borderId="0" xfId="0" applyFont="1" applyFill="1" applyAlignment="1">
      <alignment vertical="center"/>
    </xf>
    <xf numFmtId="0" fontId="70" fillId="16" borderId="0" xfId="0" applyFont="1" applyFill="1" applyAlignment="1">
      <alignment horizontal="left" vertical="center"/>
    </xf>
    <xf numFmtId="0" fontId="71" fillId="16" borderId="0" xfId="0" applyFont="1" applyFill="1" applyAlignment="1">
      <alignment horizontal="center" vertical="center"/>
    </xf>
    <xf numFmtId="0" fontId="55" fillId="0" borderId="0" xfId="0" applyFont="1" applyAlignment="1">
      <alignment horizontal="right" vertical="center"/>
    </xf>
    <xf numFmtId="4" fontId="45" fillId="4" borderId="32" xfId="0" applyNumberFormat="1" applyFont="1" applyFill="1" applyBorder="1" applyAlignment="1">
      <alignment horizontal="center" vertical="center"/>
    </xf>
    <xf numFmtId="4" fontId="45" fillId="3" borderId="32" xfId="0" applyNumberFormat="1" applyFont="1" applyFill="1" applyBorder="1" applyAlignment="1">
      <alignment horizontal="center" vertical="center"/>
    </xf>
    <xf numFmtId="4" fontId="46" fillId="4" borderId="32" xfId="0" applyNumberFormat="1" applyFont="1" applyFill="1" applyBorder="1" applyAlignment="1">
      <alignment horizontal="center" vertical="center"/>
    </xf>
    <xf numFmtId="0" fontId="74" fillId="0" borderId="30" xfId="0" applyFont="1" applyBorder="1" applyAlignment="1">
      <alignment horizontal="right" vertical="center"/>
    </xf>
    <xf numFmtId="0" fontId="55" fillId="0" borderId="30" xfId="0" applyFont="1" applyBorder="1" applyAlignment="1">
      <alignment horizontal="right" vertical="center"/>
    </xf>
    <xf numFmtId="0" fontId="55" fillId="0" borderId="0" xfId="0" applyFont="1" applyAlignment="1">
      <alignment vertical="center"/>
    </xf>
    <xf numFmtId="0" fontId="45" fillId="0" borderId="0" xfId="0" applyFont="1" applyAlignment="1">
      <alignment vertical="center"/>
    </xf>
    <xf numFmtId="4" fontId="45" fillId="5" borderId="30" xfId="0" applyNumberFormat="1" applyFont="1" applyFill="1" applyBorder="1" applyAlignment="1">
      <alignment horizontal="center" vertical="center"/>
    </xf>
    <xf numFmtId="4" fontId="45" fillId="3" borderId="30" xfId="0" applyNumberFormat="1" applyFont="1" applyFill="1" applyBorder="1" applyAlignment="1">
      <alignment horizontal="center" vertical="center"/>
    </xf>
    <xf numFmtId="0" fontId="45" fillId="0" borderId="29" xfId="0" applyFont="1" applyBorder="1" applyAlignment="1">
      <alignment vertical="center"/>
    </xf>
    <xf numFmtId="0" fontId="57" fillId="17" borderId="29" xfId="0" applyFont="1" applyFill="1" applyBorder="1" applyAlignment="1">
      <alignment vertical="center"/>
    </xf>
    <xf numFmtId="0" fontId="45" fillId="0" borderId="31" xfId="0" applyFont="1" applyBorder="1" applyAlignment="1">
      <alignment vertical="center"/>
    </xf>
    <xf numFmtId="0" fontId="55" fillId="0" borderId="28" xfId="0" applyFont="1" applyBorder="1" applyAlignment="1">
      <alignment horizontal="right" vertical="center"/>
    </xf>
    <xf numFmtId="0" fontId="57" fillId="17" borderId="28" xfId="0" applyFont="1" applyFill="1" applyBorder="1" applyAlignment="1">
      <alignment vertical="center"/>
    </xf>
    <xf numFmtId="0" fontId="57" fillId="17" borderId="35" xfId="0" applyFont="1" applyFill="1" applyBorder="1" applyAlignment="1">
      <alignment vertical="center"/>
    </xf>
    <xf numFmtId="0" fontId="57" fillId="17" borderId="35" xfId="0" applyFont="1" applyFill="1" applyBorder="1" applyAlignment="1">
      <alignment horizontal="right" vertical="center"/>
    </xf>
    <xf numFmtId="0" fontId="45" fillId="3" borderId="30" xfId="0" applyFont="1" applyFill="1" applyBorder="1" applyAlignment="1" applyProtection="1">
      <alignment horizontal="center" vertical="center"/>
      <protection locked="0"/>
    </xf>
    <xf numFmtId="165" fontId="45" fillId="3" borderId="30" xfId="0" applyNumberFormat="1" applyFont="1" applyFill="1" applyBorder="1" applyAlignment="1" applyProtection="1">
      <alignment horizontal="center" vertical="center"/>
      <protection locked="0"/>
    </xf>
    <xf numFmtId="0" fontId="45" fillId="0" borderId="30" xfId="0" applyFont="1" applyBorder="1" applyAlignment="1">
      <alignment vertical="center"/>
    </xf>
    <xf numFmtId="0" fontId="63" fillId="5" borderId="30" xfId="0" applyFont="1" applyFill="1" applyBorder="1" applyAlignment="1">
      <alignment horizontal="center" vertical="center"/>
    </xf>
    <xf numFmtId="0" fontId="63" fillId="5" borderId="30" xfId="0" applyFont="1" applyFill="1" applyBorder="1" applyAlignment="1">
      <alignment horizontal="center" vertical="center" wrapText="1"/>
    </xf>
    <xf numFmtId="4" fontId="39" fillId="3" borderId="30" xfId="0" applyNumberFormat="1" applyFont="1" applyFill="1" applyBorder="1" applyAlignment="1">
      <alignment horizontal="center" vertical="center"/>
    </xf>
    <xf numFmtId="0" fontId="37" fillId="3" borderId="28" xfId="0" applyFont="1" applyFill="1" applyBorder="1" applyAlignment="1">
      <alignment horizontal="center" vertical="center"/>
    </xf>
    <xf numFmtId="0" fontId="37" fillId="3" borderId="28" xfId="0" applyFont="1" applyFill="1" applyBorder="1" applyAlignment="1">
      <alignment horizontal="center" vertical="center" wrapText="1"/>
    </xf>
    <xf numFmtId="0" fontId="74" fillId="0" borderId="28" xfId="0" applyFont="1" applyBorder="1" applyAlignment="1">
      <alignment horizontal="right" vertical="center"/>
    </xf>
    <xf numFmtId="0" fontId="55" fillId="0" borderId="28" xfId="0" applyFont="1" applyBorder="1" applyAlignment="1">
      <alignment vertical="center"/>
    </xf>
    <xf numFmtId="0" fontId="39" fillId="0" borderId="28" xfId="0" applyFont="1" applyBorder="1" applyAlignment="1">
      <alignment vertical="center"/>
    </xf>
    <xf numFmtId="4" fontId="64" fillId="5" borderId="30" xfId="0" applyNumberFormat="1" applyFont="1" applyFill="1" applyBorder="1" applyAlignment="1">
      <alignment horizontal="center" vertical="center"/>
    </xf>
    <xf numFmtId="4" fontId="43" fillId="3" borderId="28" xfId="0" applyNumberFormat="1" applyFont="1" applyFill="1" applyBorder="1" applyAlignment="1">
      <alignment horizontal="center" vertical="center"/>
    </xf>
    <xf numFmtId="4" fontId="61" fillId="5" borderId="30" xfId="0" applyNumberFormat="1" applyFont="1" applyFill="1" applyBorder="1" applyAlignment="1">
      <alignment horizontal="center" vertical="center"/>
    </xf>
    <xf numFmtId="0" fontId="43" fillId="0" borderId="0" xfId="0" applyFont="1" applyAlignment="1">
      <alignment vertical="center"/>
    </xf>
    <xf numFmtId="0" fontId="37" fillId="0" borderId="0" xfId="0" applyFont="1" applyAlignment="1">
      <alignment horizontal="right" vertical="center"/>
    </xf>
    <xf numFmtId="0" fontId="78" fillId="17" borderId="28" xfId="0" applyFont="1" applyFill="1" applyBorder="1" applyAlignment="1">
      <alignment horizontal="right" vertical="center"/>
    </xf>
    <xf numFmtId="0" fontId="44" fillId="17" borderId="28" xfId="0" applyFont="1" applyFill="1" applyBorder="1" applyAlignment="1">
      <alignment vertical="center"/>
    </xf>
    <xf numFmtId="0" fontId="43" fillId="0" borderId="0" xfId="0" applyFont="1" applyAlignment="1">
      <alignment horizontal="right" vertical="center"/>
    </xf>
    <xf numFmtId="0" fontId="43" fillId="0" borderId="30" xfId="0" applyFont="1" applyBorder="1" applyAlignment="1">
      <alignment vertical="center"/>
    </xf>
    <xf numFmtId="165" fontId="39" fillId="3" borderId="30" xfId="0" applyNumberFormat="1" applyFont="1" applyFill="1" applyBorder="1" applyAlignment="1" applyProtection="1">
      <alignment horizontal="center" vertical="center"/>
      <protection locked="0"/>
    </xf>
    <xf numFmtId="0" fontId="39" fillId="0" borderId="0" xfId="0" applyFont="1" applyAlignment="1">
      <alignment vertical="center"/>
    </xf>
    <xf numFmtId="1" fontId="43" fillId="2" borderId="30" xfId="0" applyNumberFormat="1" applyFont="1" applyFill="1" applyBorder="1" applyAlignment="1" applyProtection="1">
      <alignment horizontal="center" vertical="center"/>
      <protection locked="0"/>
    </xf>
    <xf numFmtId="4" fontId="45" fillId="3" borderId="30" xfId="0" applyNumberFormat="1" applyFont="1" applyFill="1" applyBorder="1" applyAlignment="1">
      <alignment vertical="center"/>
    </xf>
    <xf numFmtId="4" fontId="46" fillId="21" borderId="30" xfId="0" applyNumberFormat="1" applyFont="1" applyFill="1" applyBorder="1" applyAlignment="1">
      <alignment horizontal="center" vertical="center"/>
    </xf>
    <xf numFmtId="0" fontId="80" fillId="17" borderId="28" xfId="0" applyFont="1" applyFill="1" applyBorder="1" applyAlignment="1">
      <alignment horizontal="right" vertical="center"/>
    </xf>
    <xf numFmtId="4" fontId="82" fillId="5" borderId="30" xfId="0" applyNumberFormat="1" applyFont="1" applyFill="1" applyBorder="1" applyAlignment="1">
      <alignment horizontal="center" vertical="center"/>
    </xf>
    <xf numFmtId="4" fontId="45" fillId="20" borderId="4" xfId="0" applyNumberFormat="1" applyFont="1" applyFill="1" applyBorder="1" applyAlignment="1">
      <alignment horizontal="center" vertical="center"/>
    </xf>
    <xf numFmtId="164" fontId="34" fillId="3" borderId="4" xfId="0" applyNumberFormat="1" applyFont="1" applyFill="1" applyBorder="1" applyAlignment="1">
      <alignment horizontal="center" vertical="center"/>
    </xf>
    <xf numFmtId="4" fontId="34" fillId="5" borderId="5" xfId="0" applyNumberFormat="1" applyFont="1" applyFill="1" applyBorder="1" applyAlignment="1">
      <alignment vertical="center"/>
    </xf>
    <xf numFmtId="0" fontId="34" fillId="5" borderId="5" xfId="0" applyFont="1" applyFill="1" applyBorder="1" applyAlignment="1">
      <alignment horizontal="center" vertical="center"/>
    </xf>
    <xf numFmtId="164" fontId="36" fillId="3" borderId="4" xfId="0" applyNumberFormat="1" applyFont="1" applyFill="1" applyBorder="1" applyAlignment="1">
      <alignment horizontal="center" vertical="center"/>
    </xf>
    <xf numFmtId="164" fontId="34" fillId="5" borderId="5" xfId="0" applyNumberFormat="1" applyFont="1" applyFill="1" applyBorder="1" applyAlignment="1">
      <alignment horizontal="center" vertical="center"/>
    </xf>
    <xf numFmtId="165" fontId="35" fillId="5" borderId="5" xfId="0" applyNumberFormat="1"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34" fillId="5" borderId="5" xfId="0" applyFont="1" applyFill="1" applyBorder="1" applyAlignment="1">
      <alignment vertical="center"/>
    </xf>
    <xf numFmtId="0" fontId="35" fillId="5" borderId="19" xfId="0" applyFont="1" applyFill="1" applyBorder="1" applyAlignment="1">
      <alignment horizontal="center" vertical="center"/>
    </xf>
    <xf numFmtId="0" fontId="35" fillId="5" borderId="5" xfId="0" applyFont="1" applyFill="1" applyBorder="1" applyAlignment="1">
      <alignment horizontal="center" vertical="center"/>
    </xf>
    <xf numFmtId="0" fontId="35" fillId="5" borderId="20" xfId="0" applyFont="1" applyFill="1" applyBorder="1" applyAlignment="1">
      <alignment horizontal="center" vertical="center"/>
    </xf>
    <xf numFmtId="0" fontId="34" fillId="0" borderId="23" xfId="0" applyFont="1" applyBorder="1" applyAlignment="1">
      <alignment vertical="center"/>
    </xf>
    <xf numFmtId="0" fontId="34" fillId="5" borderId="19" xfId="0" applyFont="1" applyFill="1" applyBorder="1" applyAlignment="1">
      <alignment vertical="center"/>
    </xf>
    <xf numFmtId="0" fontId="34" fillId="5" borderId="20" xfId="0" applyFont="1" applyFill="1" applyBorder="1" applyAlignment="1">
      <alignment vertical="center"/>
    </xf>
    <xf numFmtId="0" fontId="34" fillId="0" borderId="23" xfId="0" applyFont="1" applyBorder="1" applyAlignment="1">
      <alignment horizontal="right" vertical="center"/>
    </xf>
    <xf numFmtId="0" fontId="34" fillId="0" borderId="23" xfId="0" applyFont="1" applyBorder="1" applyAlignment="1">
      <alignment horizontal="center" vertical="center"/>
    </xf>
    <xf numFmtId="0" fontId="35" fillId="0" borderId="23" xfId="0" applyFont="1" applyBorder="1" applyAlignment="1">
      <alignment vertical="center"/>
    </xf>
    <xf numFmtId="4" fontId="35" fillId="0" borderId="0" xfId="0" applyNumberFormat="1" applyFont="1" applyAlignment="1">
      <alignment vertical="center"/>
    </xf>
    <xf numFmtId="2" fontId="34" fillId="0" borderId="23" xfId="0" applyNumberFormat="1" applyFont="1" applyBorder="1" applyAlignment="1">
      <alignment vertical="center"/>
    </xf>
    <xf numFmtId="4" fontId="34" fillId="0" borderId="23" xfId="0" applyNumberFormat="1" applyFont="1" applyBorder="1" applyAlignment="1">
      <alignment vertical="center"/>
    </xf>
    <xf numFmtId="2" fontId="34" fillId="5" borderId="5" xfId="0" applyNumberFormat="1" applyFont="1" applyFill="1" applyBorder="1" applyAlignment="1">
      <alignment vertical="center"/>
    </xf>
    <xf numFmtId="4" fontId="34" fillId="0" borderId="0" xfId="0" applyNumberFormat="1" applyFont="1" applyAlignment="1">
      <alignment vertical="center"/>
    </xf>
    <xf numFmtId="0" fontId="34" fillId="0" borderId="0" xfId="0" applyFont="1" applyAlignment="1">
      <alignment horizontal="right" vertical="center"/>
    </xf>
    <xf numFmtId="0" fontId="34" fillId="0" borderId="0" xfId="0" applyFont="1" applyAlignment="1">
      <alignment horizontal="center" vertical="center"/>
    </xf>
    <xf numFmtId="2" fontId="34" fillId="0" borderId="0" xfId="0" applyNumberFormat="1" applyFont="1" applyAlignment="1">
      <alignment vertical="center"/>
    </xf>
    <xf numFmtId="0" fontId="87" fillId="5" borderId="5" xfId="0" applyFont="1" applyFill="1" applyBorder="1" applyAlignment="1">
      <alignment vertical="center"/>
    </xf>
    <xf numFmtId="164" fontId="34" fillId="0" borderId="0" xfId="0" applyNumberFormat="1" applyFont="1" applyAlignment="1">
      <alignment horizontal="right" vertical="center"/>
    </xf>
    <xf numFmtId="0" fontId="36" fillId="5" borderId="5" xfId="0" applyFont="1" applyFill="1" applyBorder="1" applyAlignment="1">
      <alignment vertical="center"/>
    </xf>
    <xf numFmtId="0" fontId="36" fillId="5" borderId="5" xfId="0" applyFont="1" applyFill="1" applyBorder="1" applyAlignment="1">
      <alignment horizontal="right" vertical="center"/>
    </xf>
    <xf numFmtId="3" fontId="34" fillId="5" borderId="5" xfId="0" applyNumberFormat="1" applyFont="1" applyFill="1" applyBorder="1" applyAlignment="1">
      <alignment vertical="center"/>
    </xf>
    <xf numFmtId="167" fontId="34" fillId="0" borderId="0" xfId="0" applyNumberFormat="1" applyFont="1" applyAlignment="1">
      <alignment vertical="center"/>
    </xf>
    <xf numFmtId="0" fontId="34" fillId="5" borderId="24" xfId="0" applyFont="1" applyFill="1" applyBorder="1" applyAlignment="1">
      <alignment vertical="center"/>
    </xf>
    <xf numFmtId="0" fontId="34" fillId="5" borderId="25" xfId="0" applyFont="1" applyFill="1" applyBorder="1" applyAlignment="1">
      <alignment vertical="center"/>
    </xf>
    <xf numFmtId="0" fontId="36" fillId="5" borderId="25" xfId="0" applyFont="1" applyFill="1" applyBorder="1" applyAlignment="1">
      <alignment vertical="center"/>
    </xf>
    <xf numFmtId="0" fontId="34" fillId="5" borderId="26" xfId="0" applyFont="1" applyFill="1" applyBorder="1" applyAlignment="1">
      <alignment vertical="center"/>
    </xf>
    <xf numFmtId="0" fontId="43" fillId="0" borderId="0" xfId="0" applyFont="1" applyAlignment="1">
      <alignment vertical="center"/>
    </xf>
    <xf numFmtId="0" fontId="57" fillId="17" borderId="31" xfId="0" applyFont="1" applyFill="1" applyBorder="1" applyAlignment="1">
      <alignment vertical="center"/>
    </xf>
    <xf numFmtId="0" fontId="57" fillId="17" borderId="30" xfId="0" applyFont="1" applyFill="1" applyBorder="1" applyAlignment="1">
      <alignment vertical="center"/>
    </xf>
    <xf numFmtId="164" fontId="45" fillId="22" borderId="23" xfId="0" applyNumberFormat="1" applyFont="1" applyFill="1" applyBorder="1" applyAlignment="1" applyProtection="1">
      <alignment horizontal="center" vertical="center"/>
      <protection locked="0"/>
    </xf>
    <xf numFmtId="0" fontId="34" fillId="0" borderId="0" xfId="0" applyFont="1" applyAlignment="1"/>
    <xf numFmtId="4" fontId="46" fillId="20" borderId="32" xfId="0" applyNumberFormat="1" applyFont="1" applyFill="1" applyBorder="1" applyAlignment="1">
      <alignment horizontal="center" vertical="center"/>
    </xf>
    <xf numFmtId="4" fontId="43" fillId="20" borderId="30" xfId="0" applyNumberFormat="1" applyFont="1" applyFill="1" applyBorder="1" applyAlignment="1">
      <alignment horizontal="center" vertical="center"/>
    </xf>
    <xf numFmtId="165" fontId="39" fillId="20" borderId="30" xfId="0" applyNumberFormat="1" applyFont="1" applyFill="1" applyBorder="1" applyAlignment="1">
      <alignment horizontal="center" vertical="center"/>
    </xf>
    <xf numFmtId="3" fontId="43" fillId="20" borderId="30" xfId="0" applyNumberFormat="1" applyFont="1" applyFill="1" applyBorder="1" applyAlignment="1">
      <alignment horizontal="center" vertical="center"/>
    </xf>
    <xf numFmtId="0" fontId="89" fillId="16" borderId="0" xfId="0" applyFont="1" applyFill="1" applyAlignment="1">
      <alignment vertical="center"/>
    </xf>
    <xf numFmtId="0" fontId="54" fillId="16" borderId="0" xfId="0" applyFont="1" applyFill="1" applyAlignment="1">
      <alignment horizontal="left" vertical="center"/>
    </xf>
    <xf numFmtId="0" fontId="36" fillId="16" borderId="0" xfId="0" applyFont="1" applyFill="1" applyAlignment="1">
      <alignment vertical="center"/>
    </xf>
    <xf numFmtId="0" fontId="36" fillId="0" borderId="0" xfId="0" applyFont="1" applyAlignment="1">
      <alignment vertical="center"/>
    </xf>
    <xf numFmtId="0" fontId="59" fillId="0" borderId="0" xfId="0" applyFont="1" applyAlignment="1">
      <alignment horizontal="right" vertical="center"/>
    </xf>
    <xf numFmtId="0" fontId="90" fillId="0" borderId="0" xfId="0" applyFont="1" applyAlignment="1">
      <alignment vertical="center"/>
    </xf>
    <xf numFmtId="165" fontId="43" fillId="28" borderId="30" xfId="0" applyNumberFormat="1" applyFont="1" applyFill="1" applyBorder="1" applyAlignment="1" applyProtection="1">
      <alignment horizontal="center" vertical="center"/>
      <protection locked="0"/>
    </xf>
    <xf numFmtId="0" fontId="96" fillId="17" borderId="30" xfId="0" applyFont="1" applyFill="1" applyBorder="1" applyAlignment="1">
      <alignment vertical="center"/>
    </xf>
    <xf numFmtId="0" fontId="96" fillId="17" borderId="31" xfId="0" applyFont="1" applyFill="1" applyBorder="1" applyAlignment="1">
      <alignment vertical="center"/>
    </xf>
    <xf numFmtId="0" fontId="57" fillId="17" borderId="0" xfId="0" applyFont="1" applyFill="1" applyAlignment="1">
      <alignment horizontal="left" vertical="center"/>
    </xf>
    <xf numFmtId="165" fontId="91" fillId="3" borderId="23" xfId="0" applyNumberFormat="1" applyFont="1" applyFill="1" applyBorder="1" applyAlignment="1">
      <alignment horizontal="right" vertical="center"/>
    </xf>
    <xf numFmtId="165" fontId="91" fillId="28" borderId="30" xfId="0" applyNumberFormat="1" applyFont="1" applyFill="1" applyBorder="1" applyAlignment="1" applyProtection="1">
      <alignment horizontal="center" vertical="center"/>
      <protection locked="0"/>
    </xf>
    <xf numFmtId="165" fontId="99" fillId="3" borderId="30" xfId="0" applyNumberFormat="1" applyFont="1" applyFill="1" applyBorder="1" applyAlignment="1">
      <alignment horizontal="center" vertical="center"/>
    </xf>
    <xf numFmtId="0" fontId="55" fillId="0" borderId="30" xfId="0" applyFont="1" applyFill="1" applyBorder="1" applyAlignment="1">
      <alignment horizontal="right" vertical="center"/>
    </xf>
    <xf numFmtId="164" fontId="90" fillId="28" borderId="30" xfId="0" applyNumberFormat="1" applyFont="1" applyFill="1" applyBorder="1" applyAlignment="1" applyProtection="1">
      <alignment horizontal="center" vertical="center"/>
      <protection locked="0"/>
    </xf>
    <xf numFmtId="4" fontId="91" fillId="28" borderId="30" xfId="0" applyNumberFormat="1" applyFont="1" applyFill="1" applyBorder="1" applyAlignment="1" applyProtection="1">
      <alignment horizontal="center" vertical="center"/>
      <protection locked="0"/>
    </xf>
    <xf numFmtId="0" fontId="37" fillId="5" borderId="5" xfId="0" applyFont="1" applyFill="1" applyBorder="1" applyAlignment="1">
      <alignment vertical="center"/>
    </xf>
    <xf numFmtId="0" fontId="37" fillId="5" borderId="5" xfId="0" applyFont="1" applyFill="1" applyBorder="1" applyAlignment="1">
      <alignment horizontal="right" vertical="center"/>
    </xf>
    <xf numFmtId="0" fontId="37" fillId="17" borderId="30" xfId="0" applyFont="1" applyFill="1" applyBorder="1" applyAlignment="1">
      <alignment horizontal="center" vertical="center"/>
    </xf>
    <xf numFmtId="4" fontId="37" fillId="17" borderId="31" xfId="0" applyNumberFormat="1" applyFont="1" applyFill="1" applyBorder="1" applyAlignment="1">
      <alignment horizontal="center" vertical="center"/>
    </xf>
    <xf numFmtId="4" fontId="43" fillId="0" borderId="30" xfId="0" applyNumberFormat="1" applyFont="1" applyFill="1" applyBorder="1" applyAlignment="1">
      <alignment horizontal="center" vertical="center"/>
    </xf>
    <xf numFmtId="4" fontId="43" fillId="17" borderId="30" xfId="0" applyNumberFormat="1" applyFont="1" applyFill="1" applyBorder="1" applyAlignment="1">
      <alignment horizontal="center" vertical="center"/>
    </xf>
    <xf numFmtId="0" fontId="44" fillId="17" borderId="29" xfId="0" applyFont="1" applyFill="1" applyBorder="1" applyAlignment="1">
      <alignment horizontal="center" vertical="center"/>
    </xf>
    <xf numFmtId="0" fontId="59" fillId="0" borderId="30" xfId="0" applyFont="1" applyBorder="1" applyAlignment="1">
      <alignment horizontal="center" vertical="center"/>
    </xf>
    <xf numFmtId="0" fontId="39" fillId="0" borderId="30" xfId="0" applyFont="1" applyBorder="1" applyAlignment="1">
      <alignment horizontal="left" vertical="center"/>
    </xf>
    <xf numFmtId="4" fontId="37" fillId="0" borderId="23" xfId="0" applyNumberFormat="1" applyFont="1" applyBorder="1" applyAlignment="1">
      <alignment horizontal="center" vertical="center"/>
    </xf>
    <xf numFmtId="4" fontId="43" fillId="0" borderId="23" xfId="0" applyNumberFormat="1" applyFont="1" applyBorder="1" applyAlignment="1">
      <alignment horizontal="center" vertical="center"/>
    </xf>
    <xf numFmtId="4" fontId="37" fillId="0" borderId="0" xfId="0" applyNumberFormat="1" applyFont="1" applyAlignment="1">
      <alignment horizontal="center" vertical="center"/>
    </xf>
    <xf numFmtId="4" fontId="43" fillId="0" borderId="0" xfId="0" applyNumberFormat="1" applyFont="1" applyAlignment="1">
      <alignment horizontal="right"/>
    </xf>
    <xf numFmtId="0" fontId="43" fillId="0" borderId="0" xfId="0" applyFont="1" applyAlignment="1">
      <alignment horizontal="center"/>
    </xf>
    <xf numFmtId="0" fontId="55" fillId="0" borderId="30" xfId="0" applyFont="1" applyBorder="1" applyAlignment="1">
      <alignment horizontal="left" vertical="center"/>
    </xf>
    <xf numFmtId="0" fontId="55" fillId="0" borderId="31" xfId="0" applyFont="1" applyBorder="1" applyAlignment="1">
      <alignment horizontal="center" vertical="center"/>
    </xf>
    <xf numFmtId="0" fontId="37" fillId="0" borderId="30" xfId="0" applyFont="1" applyBorder="1" applyAlignment="1">
      <alignment horizontal="center" vertical="center"/>
    </xf>
    <xf numFmtId="2" fontId="96" fillId="17" borderId="30" xfId="0" applyNumberFormat="1" applyFont="1" applyFill="1" applyBorder="1" applyAlignment="1">
      <alignment horizontal="center" vertical="center"/>
    </xf>
    <xf numFmtId="4" fontId="96" fillId="17" borderId="30" xfId="0" applyNumberFormat="1" applyFont="1" applyFill="1" applyBorder="1" applyAlignment="1">
      <alignment horizontal="center" vertical="center"/>
    </xf>
    <xf numFmtId="0" fontId="55" fillId="0" borderId="30" xfId="0" applyFont="1" applyBorder="1" applyAlignment="1">
      <alignment vertical="center" wrapText="1"/>
    </xf>
    <xf numFmtId="0" fontId="105" fillId="0" borderId="0" xfId="0" applyFont="1"/>
    <xf numFmtId="2" fontId="106" fillId="0" borderId="0" xfId="0" applyNumberFormat="1" applyFont="1"/>
    <xf numFmtId="4" fontId="43" fillId="3" borderId="30" xfId="0" applyNumberFormat="1" applyFont="1" applyFill="1" applyBorder="1" applyAlignment="1">
      <alignment horizontal="center" vertical="center"/>
    </xf>
    <xf numFmtId="4" fontId="44" fillId="17" borderId="30" xfId="0" applyNumberFormat="1" applyFont="1" applyFill="1" applyBorder="1" applyAlignment="1">
      <alignment horizontal="center" vertical="center"/>
    </xf>
    <xf numFmtId="4" fontId="44" fillId="21" borderId="30" xfId="0" applyNumberFormat="1" applyFont="1" applyFill="1" applyBorder="1" applyAlignment="1">
      <alignment horizontal="center" vertical="center"/>
    </xf>
    <xf numFmtId="4" fontId="96" fillId="21" borderId="30" xfId="0" applyNumberFormat="1" applyFont="1" applyFill="1" applyBorder="1" applyAlignment="1">
      <alignment horizontal="center" vertical="center"/>
    </xf>
    <xf numFmtId="0" fontId="55" fillId="0" borderId="30" xfId="0" applyFont="1" applyBorder="1" applyAlignment="1">
      <alignment horizontal="center" vertical="center"/>
    </xf>
    <xf numFmtId="0" fontId="7" fillId="15" borderId="0" xfId="0" applyFont="1" applyFill="1"/>
    <xf numFmtId="0" fontId="5" fillId="15" borderId="0" xfId="0" applyFont="1" applyFill="1"/>
    <xf numFmtId="0" fontId="20" fillId="15" borderId="0" xfId="0" applyFont="1" applyFill="1"/>
    <xf numFmtId="0" fontId="56" fillId="16" borderId="0" xfId="0" applyFont="1" applyFill="1" applyAlignment="1">
      <alignment horizontal="center" vertical="center"/>
    </xf>
    <xf numFmtId="0" fontId="39" fillId="0" borderId="0" xfId="0" applyFont="1" applyAlignment="1">
      <alignment horizontal="center" vertical="center"/>
    </xf>
    <xf numFmtId="0" fontId="55" fillId="0" borderId="0" xfId="0" applyFont="1" applyAlignment="1">
      <alignment horizontal="center" vertical="center"/>
    </xf>
    <xf numFmtId="0" fontId="7" fillId="15" borderId="0" xfId="0" applyFont="1" applyFill="1" applyAlignment="1">
      <alignment vertical="center"/>
    </xf>
    <xf numFmtId="0" fontId="46" fillId="17" borderId="30" xfId="0" applyFont="1" applyFill="1" applyBorder="1" applyAlignment="1">
      <alignment vertical="center"/>
    </xf>
    <xf numFmtId="0" fontId="46" fillId="17" borderId="30" xfId="0" applyFont="1" applyFill="1" applyBorder="1" applyAlignment="1">
      <alignment horizontal="center" vertical="center"/>
    </xf>
    <xf numFmtId="4" fontId="45" fillId="0" borderId="30" xfId="0" applyNumberFormat="1" applyFont="1" applyBorder="1" applyAlignment="1">
      <alignment horizontal="center" vertical="center"/>
    </xf>
    <xf numFmtId="0" fontId="45" fillId="0" borderId="30" xfId="0" applyFont="1" applyBorder="1" applyAlignment="1">
      <alignment horizontal="center" vertical="center"/>
    </xf>
    <xf numFmtId="165" fontId="45" fillId="0" borderId="30" xfId="0" applyNumberFormat="1" applyFont="1" applyBorder="1" applyAlignment="1">
      <alignment horizontal="center" vertical="center"/>
    </xf>
    <xf numFmtId="0" fontId="44" fillId="17" borderId="29" xfId="0" applyFont="1" applyFill="1" applyBorder="1" applyAlignment="1">
      <alignment vertical="center"/>
    </xf>
    <xf numFmtId="0" fontId="44" fillId="17" borderId="30" xfId="0" applyFont="1" applyFill="1" applyBorder="1" applyAlignment="1">
      <alignment vertical="center"/>
    </xf>
    <xf numFmtId="0" fontId="44" fillId="17" borderId="31" xfId="0" applyFont="1" applyFill="1" applyBorder="1" applyAlignment="1">
      <alignment vertical="center"/>
    </xf>
    <xf numFmtId="0" fontId="43" fillId="0" borderId="0" xfId="0" applyFont="1" applyAlignment="1">
      <alignment horizontal="left" vertical="center"/>
    </xf>
    <xf numFmtId="0" fontId="83" fillId="0" borderId="0" xfId="0" applyFont="1" applyAlignment="1">
      <alignment vertical="center"/>
    </xf>
    <xf numFmtId="0" fontId="39" fillId="0" borderId="0" xfId="0" applyFont="1" applyAlignment="1"/>
    <xf numFmtId="168" fontId="37" fillId="0" borderId="30" xfId="0" applyNumberFormat="1" applyFont="1" applyBorder="1" applyAlignment="1">
      <alignment horizontal="center" vertical="center"/>
    </xf>
    <xf numFmtId="3" fontId="37" fillId="0" borderId="30" xfId="0" applyNumberFormat="1" applyFont="1" applyBorder="1" applyAlignment="1">
      <alignment horizontal="center" vertical="center"/>
    </xf>
    <xf numFmtId="3" fontId="43" fillId="0" borderId="30" xfId="0" applyNumberFormat="1" applyFont="1" applyBorder="1" applyAlignment="1">
      <alignment horizontal="center" vertical="center"/>
    </xf>
    <xf numFmtId="3" fontId="59" fillId="0" borderId="30" xfId="0" applyNumberFormat="1" applyFont="1" applyBorder="1" applyAlignment="1">
      <alignment horizontal="center" vertical="center"/>
    </xf>
    <xf numFmtId="0" fontId="37" fillId="20" borderId="30" xfId="0" applyFont="1" applyFill="1" applyBorder="1" applyAlignment="1">
      <alignment horizontal="center" vertical="center"/>
    </xf>
    <xf numFmtId="0" fontId="59" fillId="0" borderId="0" xfId="0" applyFont="1" applyAlignment="1">
      <alignment horizontal="center"/>
    </xf>
    <xf numFmtId="168" fontId="39" fillId="0" borderId="0" xfId="0" applyNumberFormat="1" applyFont="1" applyAlignment="1">
      <alignment horizontal="center" vertical="center"/>
    </xf>
    <xf numFmtId="0" fontId="37" fillId="0" borderId="0" xfId="0" applyFont="1" applyAlignment="1">
      <alignment vertical="center"/>
    </xf>
    <xf numFmtId="168" fontId="43" fillId="0" borderId="0" xfId="0" applyNumberFormat="1" applyFont="1" applyAlignment="1">
      <alignment horizontal="center" vertical="center"/>
    </xf>
    <xf numFmtId="168" fontId="39" fillId="0" borderId="30" xfId="0" applyNumberFormat="1" applyFont="1" applyBorder="1" applyAlignment="1">
      <alignment horizontal="center" vertical="center"/>
    </xf>
    <xf numFmtId="0" fontId="39" fillId="3" borderId="30" xfId="0" applyFont="1" applyFill="1" applyBorder="1" applyAlignment="1">
      <alignment horizontal="center" vertical="center"/>
    </xf>
    <xf numFmtId="9" fontId="37" fillId="2" borderId="30" xfId="0" applyNumberFormat="1" applyFont="1" applyFill="1" applyBorder="1" applyAlignment="1" applyProtection="1">
      <alignment horizontal="center" vertical="center"/>
      <protection locked="0"/>
    </xf>
    <xf numFmtId="0" fontId="43" fillId="0" borderId="31" xfId="0" applyFont="1" applyBorder="1" applyAlignment="1">
      <alignment vertical="center"/>
    </xf>
    <xf numFmtId="9" fontId="43" fillId="0" borderId="30" xfId="0" applyNumberFormat="1" applyFont="1" applyBorder="1" applyAlignment="1">
      <alignment horizontal="center" vertical="center"/>
    </xf>
    <xf numFmtId="168" fontId="59" fillId="0" borderId="30" xfId="0" applyNumberFormat="1" applyFont="1" applyBorder="1" applyAlignment="1">
      <alignment horizontal="center" vertical="center"/>
    </xf>
    <xf numFmtId="0" fontId="59" fillId="0" borderId="30" xfId="0" applyFont="1" applyBorder="1" applyAlignment="1">
      <alignment horizontal="right" vertical="center"/>
    </xf>
    <xf numFmtId="167" fontId="39" fillId="0" borderId="30" xfId="0" applyNumberFormat="1" applyFont="1" applyBorder="1" applyAlignment="1">
      <alignment horizontal="center" vertical="center"/>
    </xf>
    <xf numFmtId="168" fontId="110" fillId="0" borderId="30" xfId="0" applyNumberFormat="1" applyFont="1" applyBorder="1" applyAlignment="1">
      <alignment horizontal="center" vertical="center"/>
    </xf>
    <xf numFmtId="0" fontId="43" fillId="0" borderId="23" xfId="0" applyFont="1" applyBorder="1" applyAlignment="1">
      <alignment vertical="center"/>
    </xf>
    <xf numFmtId="0" fontId="37" fillId="0" borderId="23" xfId="0" applyFont="1" applyBorder="1" applyAlignment="1">
      <alignment vertical="center"/>
    </xf>
    <xf numFmtId="0" fontId="59" fillId="0" borderId="0" xfId="0" applyFont="1" applyAlignment="1">
      <alignment horizontal="center" vertical="center"/>
    </xf>
    <xf numFmtId="0" fontId="39" fillId="0" borderId="23" xfId="0" applyFont="1" applyBorder="1" applyAlignment="1">
      <alignment horizontal="center" vertical="center"/>
    </xf>
    <xf numFmtId="1" fontId="39" fillId="0" borderId="0" xfId="0" applyNumberFormat="1" applyFont="1" applyAlignment="1">
      <alignment horizontal="center" vertical="center"/>
    </xf>
    <xf numFmtId="0" fontId="59" fillId="0" borderId="30" xfId="0" applyFont="1" applyBorder="1" applyAlignment="1">
      <alignment horizontal="left" vertical="center"/>
    </xf>
    <xf numFmtId="175" fontId="39" fillId="0" borderId="30" xfId="0" applyNumberFormat="1" applyFont="1" applyBorder="1" applyAlignment="1">
      <alignment horizontal="center" vertical="center"/>
    </xf>
    <xf numFmtId="3" fontId="59" fillId="0" borderId="28" xfId="0" applyNumberFormat="1" applyFont="1" applyBorder="1" applyAlignment="1">
      <alignment horizontal="center" vertical="center"/>
    </xf>
    <xf numFmtId="0" fontId="121" fillId="0" borderId="28" xfId="0" applyFont="1" applyBorder="1" applyAlignment="1">
      <alignment horizontal="left" vertical="center" wrapText="1"/>
    </xf>
    <xf numFmtId="0" fontId="121" fillId="0" borderId="28" xfId="0" applyFont="1" applyBorder="1" applyAlignment="1">
      <alignment vertical="center" wrapText="1"/>
    </xf>
    <xf numFmtId="164" fontId="39" fillId="0" borderId="28" xfId="0" applyNumberFormat="1" applyFont="1" applyBorder="1" applyAlignment="1">
      <alignment horizontal="center" vertical="center"/>
    </xf>
    <xf numFmtId="1" fontId="39" fillId="0" borderId="28" xfId="0" applyNumberFormat="1" applyFont="1" applyBorder="1" applyAlignment="1">
      <alignment horizontal="center" vertical="center"/>
    </xf>
    <xf numFmtId="0" fontId="39" fillId="0" borderId="28" xfId="0" applyFont="1" applyBorder="1" applyAlignment="1">
      <alignment horizontal="center" vertical="center"/>
    </xf>
    <xf numFmtId="0" fontId="36" fillId="0" borderId="0" xfId="0" applyFont="1" applyAlignment="1">
      <alignment horizontal="center" vertical="center"/>
    </xf>
    <xf numFmtId="0" fontId="122" fillId="0" borderId="0" xfId="0" applyFont="1" applyAlignment="1">
      <alignment vertical="center"/>
    </xf>
    <xf numFmtId="0" fontId="36" fillId="0" borderId="0" xfId="0" applyFont="1" applyAlignment="1">
      <alignment horizontal="left" vertical="center"/>
    </xf>
    <xf numFmtId="0" fontId="122" fillId="0" borderId="0" xfId="0" applyFont="1" applyAlignment="1">
      <alignment horizontal="center" vertical="center"/>
    </xf>
    <xf numFmtId="0" fontId="36" fillId="0" borderId="0" xfId="0" applyFont="1" applyAlignment="1">
      <alignment horizontal="right" vertical="center"/>
    </xf>
    <xf numFmtId="164" fontId="36" fillId="0" borderId="0" xfId="0" applyNumberFormat="1" applyFont="1" applyAlignment="1">
      <alignment horizontal="center" vertical="center"/>
    </xf>
    <xf numFmtId="0" fontId="36" fillId="0" borderId="0" xfId="0" applyFont="1" applyFill="1" applyAlignment="1">
      <alignment vertical="center"/>
    </xf>
    <xf numFmtId="0" fontId="36" fillId="0" borderId="5" xfId="0" applyFont="1" applyFill="1" applyBorder="1" applyAlignment="1">
      <alignment vertical="center"/>
    </xf>
    <xf numFmtId="0" fontId="122" fillId="0" borderId="5" xfId="0" applyFont="1" applyFill="1" applyBorder="1" applyAlignment="1">
      <alignment vertical="center"/>
    </xf>
    <xf numFmtId="0" fontId="122" fillId="0" borderId="0" xfId="0" applyFont="1" applyFill="1" applyAlignment="1">
      <alignment vertical="center"/>
    </xf>
    <xf numFmtId="0" fontId="36" fillId="0" borderId="0" xfId="0" applyFont="1" applyFill="1" applyAlignment="1">
      <alignment horizontal="right" vertical="center"/>
    </xf>
    <xf numFmtId="0" fontId="122" fillId="0" borderId="0" xfId="0" applyFont="1" applyFill="1" applyAlignment="1">
      <alignment horizontal="right" vertical="center"/>
    </xf>
    <xf numFmtId="0" fontId="59" fillId="0" borderId="0" xfId="0" applyFont="1" applyAlignment="1">
      <alignment vertical="center"/>
    </xf>
    <xf numFmtId="9" fontId="36" fillId="0" borderId="30" xfId="0" applyNumberFormat="1" applyFont="1" applyBorder="1" applyAlignment="1">
      <alignment horizontal="center" vertical="center"/>
    </xf>
    <xf numFmtId="0" fontId="43" fillId="0" borderId="23" xfId="0" applyFont="1" applyBorder="1"/>
    <xf numFmtId="165" fontId="43" fillId="0" borderId="30" xfId="0" applyNumberFormat="1" applyFont="1" applyBorder="1" applyAlignment="1" applyProtection="1">
      <alignment horizontal="center" vertical="center"/>
      <protection locked="0"/>
    </xf>
    <xf numFmtId="166" fontId="43" fillId="0" borderId="30" xfId="0" applyNumberFormat="1" applyFont="1" applyBorder="1" applyAlignment="1" applyProtection="1">
      <alignment horizontal="center" vertical="center"/>
      <protection locked="0"/>
    </xf>
    <xf numFmtId="9" fontId="43" fillId="0" borderId="30" xfId="0" applyNumberFormat="1" applyFont="1" applyBorder="1" applyAlignment="1" applyProtection="1">
      <alignment horizontal="center" vertical="center"/>
      <protection locked="0"/>
    </xf>
    <xf numFmtId="0" fontId="96" fillId="33" borderId="30" xfId="0" applyFont="1" applyFill="1" applyBorder="1" applyAlignment="1" applyProtection="1">
      <alignment horizontal="center" vertical="center"/>
      <protection locked="0"/>
    </xf>
    <xf numFmtId="0" fontId="102" fillId="0" borderId="30" xfId="0" applyFont="1" applyBorder="1" applyAlignment="1">
      <alignment horizontal="right" vertical="center"/>
    </xf>
    <xf numFmtId="0" fontId="102" fillId="0" borderId="30" xfId="0" applyFont="1" applyBorder="1" applyAlignment="1">
      <alignment horizontal="center" vertical="center"/>
    </xf>
    <xf numFmtId="3" fontId="34" fillId="0" borderId="30" xfId="0" applyNumberFormat="1" applyFont="1" applyBorder="1" applyAlignment="1">
      <alignment horizontal="center" vertical="center"/>
    </xf>
    <xf numFmtId="1" fontId="34" fillId="0" borderId="30" xfId="0" applyNumberFormat="1" applyFont="1" applyBorder="1" applyAlignment="1">
      <alignment horizontal="center" vertical="center"/>
    </xf>
    <xf numFmtId="1" fontId="90" fillId="0" borderId="30" xfId="0" applyNumberFormat="1" applyFont="1" applyBorder="1" applyAlignment="1">
      <alignment horizontal="center" vertical="center"/>
    </xf>
    <xf numFmtId="0" fontId="34" fillId="0" borderId="30" xfId="0" applyFont="1" applyBorder="1" applyAlignment="1">
      <alignment horizontal="center" vertical="center"/>
    </xf>
    <xf numFmtId="0" fontId="130" fillId="0" borderId="0" xfId="0" applyFont="1" applyAlignment="1">
      <alignment vertical="center"/>
    </xf>
    <xf numFmtId="0" fontId="35" fillId="0" borderId="0" xfId="0" applyFont="1" applyAlignment="1">
      <alignment horizontal="center" vertical="center"/>
    </xf>
    <xf numFmtId="1" fontId="34" fillId="0" borderId="0" xfId="0" applyNumberFormat="1" applyFont="1" applyAlignment="1">
      <alignment horizontal="center" vertical="center"/>
    </xf>
    <xf numFmtId="168" fontId="34" fillId="0" borderId="0" xfId="0" applyNumberFormat="1" applyFont="1" applyAlignment="1">
      <alignment horizontal="center" vertical="center"/>
    </xf>
    <xf numFmtId="3" fontId="34" fillId="0" borderId="0" xfId="0" applyNumberFormat="1" applyFont="1" applyAlignment="1">
      <alignment horizontal="center" vertical="center"/>
    </xf>
    <xf numFmtId="9" fontId="34" fillId="0" borderId="0" xfId="0" applyNumberFormat="1" applyFont="1" applyAlignment="1">
      <alignment horizontal="center" vertical="center"/>
    </xf>
    <xf numFmtId="168" fontId="35" fillId="0" borderId="0" xfId="0" applyNumberFormat="1" applyFont="1" applyAlignment="1">
      <alignment horizontal="center" vertical="center"/>
    </xf>
    <xf numFmtId="9" fontId="87" fillId="0" borderId="0" xfId="0" applyNumberFormat="1" applyFont="1" applyAlignment="1">
      <alignment horizontal="center" vertical="center"/>
    </xf>
    <xf numFmtId="165" fontId="34" fillId="0" borderId="0" xfId="0" applyNumberFormat="1" applyFont="1" applyAlignment="1">
      <alignment horizontal="center" vertical="center"/>
    </xf>
    <xf numFmtId="0" fontId="131" fillId="0" borderId="0" xfId="0" applyFont="1" applyAlignment="1">
      <alignment vertical="center"/>
    </xf>
    <xf numFmtId="0" fontId="132" fillId="0" borderId="0" xfId="0" applyFont="1" applyAlignment="1">
      <alignment vertical="center"/>
    </xf>
    <xf numFmtId="0" fontId="131" fillId="0" borderId="0" xfId="0" applyFont="1" applyAlignment="1"/>
    <xf numFmtId="0" fontId="133" fillId="0" borderId="0" xfId="0" applyFont="1" applyAlignment="1">
      <alignment vertical="center"/>
    </xf>
    <xf numFmtId="9" fontId="131" fillId="0" borderId="0" xfId="0" applyNumberFormat="1" applyFont="1" applyAlignment="1">
      <alignment horizontal="center" vertical="center"/>
    </xf>
    <xf numFmtId="166" fontId="45" fillId="0" borderId="30" xfId="0" applyNumberFormat="1" applyFont="1" applyBorder="1" applyAlignment="1">
      <alignment horizontal="center" vertical="center"/>
    </xf>
    <xf numFmtId="9" fontId="45" fillId="0" borderId="30" xfId="0" applyNumberFormat="1" applyFont="1" applyBorder="1" applyAlignment="1">
      <alignment horizontal="center" vertical="center"/>
    </xf>
    <xf numFmtId="0" fontId="130" fillId="0" borderId="0" xfId="0" applyFont="1" applyAlignment="1">
      <alignment horizontal="center" vertical="center"/>
    </xf>
    <xf numFmtId="9" fontId="35" fillId="0" borderId="0" xfId="0" applyNumberFormat="1" applyFont="1" applyAlignment="1">
      <alignment horizontal="center" vertical="center"/>
    </xf>
    <xf numFmtId="167" fontId="35" fillId="0" borderId="0" xfId="0" applyNumberFormat="1" applyFont="1" applyAlignment="1">
      <alignment horizontal="center" vertical="center"/>
    </xf>
    <xf numFmtId="1" fontId="35" fillId="0" borderId="0" xfId="0" applyNumberFormat="1" applyFont="1" applyAlignment="1">
      <alignment horizontal="center" vertical="center"/>
    </xf>
    <xf numFmtId="0" fontId="131" fillId="0" borderId="30" xfId="0" applyFont="1" applyBorder="1" applyAlignment="1">
      <alignment vertical="center"/>
    </xf>
    <xf numFmtId="177" fontId="132" fillId="0" borderId="30" xfId="0" applyNumberFormat="1" applyFont="1" applyBorder="1" applyAlignment="1">
      <alignment horizontal="center" vertical="center"/>
    </xf>
    <xf numFmtId="0" fontId="131" fillId="0" borderId="30" xfId="0" applyFont="1" applyBorder="1" applyAlignment="1">
      <alignment horizontal="center" vertical="center"/>
    </xf>
    <xf numFmtId="9" fontId="131" fillId="0" borderId="30" xfId="0" applyNumberFormat="1" applyFont="1" applyBorder="1" applyAlignment="1">
      <alignment horizontal="center" vertical="center"/>
    </xf>
    <xf numFmtId="168" fontId="131" fillId="0" borderId="30" xfId="0" applyNumberFormat="1" applyFont="1" applyBorder="1" applyAlignment="1">
      <alignment horizontal="center" vertical="center"/>
    </xf>
    <xf numFmtId="1" fontId="131" fillId="0" borderId="30" xfId="0" applyNumberFormat="1" applyFont="1" applyBorder="1" applyAlignment="1">
      <alignment horizontal="center" vertical="center"/>
    </xf>
    <xf numFmtId="167" fontId="131" fillId="0" borderId="30" xfId="0" applyNumberFormat="1" applyFont="1" applyBorder="1" applyAlignment="1">
      <alignment horizontal="center" vertical="center"/>
    </xf>
    <xf numFmtId="0" fontId="35" fillId="0" borderId="30" xfId="0" applyFont="1" applyBorder="1" applyAlignment="1">
      <alignment vertical="center"/>
    </xf>
    <xf numFmtId="0" fontId="34" fillId="0" borderId="30" xfId="0" applyFont="1" applyBorder="1" applyAlignment="1">
      <alignment vertical="center"/>
    </xf>
    <xf numFmtId="9" fontId="34" fillId="0" borderId="30" xfId="0" applyNumberFormat="1" applyFont="1" applyBorder="1" applyAlignment="1">
      <alignment horizontal="center" vertical="center"/>
    </xf>
    <xf numFmtId="166" fontId="34" fillId="0" borderId="30" xfId="0" applyNumberFormat="1" applyFont="1" applyBorder="1" applyAlignment="1">
      <alignment horizontal="center" vertical="center"/>
    </xf>
    <xf numFmtId="168" fontId="34" fillId="0" borderId="30" xfId="0" applyNumberFormat="1" applyFont="1" applyBorder="1" applyAlignment="1">
      <alignment horizontal="center" vertical="center"/>
    </xf>
    <xf numFmtId="0" fontId="0" fillId="0" borderId="0" xfId="0" applyFont="1" applyFill="1" applyAlignment="1">
      <alignment vertical="center"/>
    </xf>
    <xf numFmtId="164" fontId="34" fillId="0" borderId="30" xfId="0" applyNumberFormat="1" applyFont="1" applyBorder="1" applyAlignment="1">
      <alignment horizontal="center" vertical="center"/>
    </xf>
    <xf numFmtId="0" fontId="84" fillId="0" borderId="0" xfId="0" applyFont="1" applyAlignment="1">
      <alignment vertical="center"/>
    </xf>
    <xf numFmtId="0" fontId="85" fillId="0" borderId="0" xfId="0" applyFont="1" applyAlignment="1">
      <alignment vertical="center"/>
    </xf>
    <xf numFmtId="1" fontId="85" fillId="0" borderId="30" xfId="0" applyNumberFormat="1" applyFont="1" applyBorder="1" applyAlignment="1">
      <alignment horizontal="center" vertical="center"/>
    </xf>
    <xf numFmtId="165" fontId="34" fillId="0" borderId="30" xfId="0" applyNumberFormat="1" applyFont="1" applyBorder="1" applyAlignment="1">
      <alignment horizontal="center" vertical="center"/>
    </xf>
    <xf numFmtId="4" fontId="34" fillId="0" borderId="30" xfId="0" applyNumberFormat="1" applyFont="1" applyBorder="1" applyAlignment="1">
      <alignment horizontal="center" vertical="center"/>
    </xf>
    <xf numFmtId="0" fontId="34" fillId="10" borderId="5" xfId="0" applyFont="1" applyFill="1" applyBorder="1" applyAlignment="1">
      <alignment horizontal="center" vertical="center"/>
    </xf>
    <xf numFmtId="3" fontId="34" fillId="10" borderId="5" xfId="0" applyNumberFormat="1" applyFont="1" applyFill="1" applyBorder="1" applyAlignment="1">
      <alignment horizontal="center" vertical="center"/>
    </xf>
    <xf numFmtId="1" fontId="34" fillId="10" borderId="5" xfId="0" applyNumberFormat="1" applyFont="1" applyFill="1" applyBorder="1" applyAlignment="1">
      <alignment horizontal="center" vertical="center"/>
    </xf>
    <xf numFmtId="166" fontId="87" fillId="10" borderId="5" xfId="0" applyNumberFormat="1" applyFont="1" applyFill="1" applyBorder="1" applyAlignment="1">
      <alignment horizontal="center" vertical="center"/>
    </xf>
    <xf numFmtId="9" fontId="87" fillId="10" borderId="5" xfId="0" applyNumberFormat="1" applyFont="1" applyFill="1" applyBorder="1" applyAlignment="1">
      <alignment horizontal="center" vertical="center"/>
    </xf>
    <xf numFmtId="164" fontId="87" fillId="10" borderId="5" xfId="0" applyNumberFormat="1" applyFont="1" applyFill="1" applyBorder="1" applyAlignment="1">
      <alignment horizontal="center" vertical="center"/>
    </xf>
    <xf numFmtId="3" fontId="87" fillId="10" borderId="5" xfId="0" applyNumberFormat="1" applyFont="1" applyFill="1" applyBorder="1" applyAlignment="1">
      <alignment horizontal="center" vertical="center"/>
    </xf>
    <xf numFmtId="1" fontId="87" fillId="10" borderId="5" xfId="0" applyNumberFormat="1" applyFont="1" applyFill="1" applyBorder="1" applyAlignment="1">
      <alignment horizontal="center" vertical="center"/>
    </xf>
    <xf numFmtId="9" fontId="34" fillId="11" borderId="5" xfId="0" applyNumberFormat="1" applyFont="1" applyFill="1" applyBorder="1" applyAlignment="1">
      <alignment horizontal="center" vertical="center"/>
    </xf>
    <xf numFmtId="0" fontId="34" fillId="6" borderId="5" xfId="0" applyFont="1" applyFill="1" applyBorder="1" applyAlignment="1">
      <alignment horizontal="left" vertical="center"/>
    </xf>
    <xf numFmtId="0" fontId="34" fillId="6" borderId="5" xfId="0" applyFont="1" applyFill="1" applyBorder="1" applyAlignment="1">
      <alignment horizontal="center" vertical="center"/>
    </xf>
    <xf numFmtId="165" fontId="35" fillId="6" borderId="5" xfId="0" applyNumberFormat="1" applyFont="1" applyFill="1" applyBorder="1" applyAlignment="1">
      <alignment horizontal="center" vertical="center"/>
    </xf>
    <xf numFmtId="1" fontId="35" fillId="6" borderId="5" xfId="0" applyNumberFormat="1" applyFont="1" applyFill="1" applyBorder="1" applyAlignment="1">
      <alignment horizontal="center" vertical="center"/>
    </xf>
    <xf numFmtId="165" fontId="34" fillId="6" borderId="5" xfId="0" applyNumberFormat="1" applyFont="1" applyFill="1" applyBorder="1" applyAlignment="1">
      <alignment horizontal="center" vertical="center"/>
    </xf>
    <xf numFmtId="1" fontId="34" fillId="6" borderId="5" xfId="0" applyNumberFormat="1" applyFont="1" applyFill="1" applyBorder="1" applyAlignment="1">
      <alignment horizontal="center" vertical="center"/>
    </xf>
    <xf numFmtId="166" fontId="87" fillId="6" borderId="5" xfId="0" applyNumberFormat="1" applyFont="1" applyFill="1" applyBorder="1" applyAlignment="1">
      <alignment horizontal="center" vertical="center"/>
    </xf>
    <xf numFmtId="9" fontId="87" fillId="6" borderId="5" xfId="0" applyNumberFormat="1" applyFont="1" applyFill="1" applyBorder="1" applyAlignment="1">
      <alignment horizontal="center" vertical="center"/>
    </xf>
    <xf numFmtId="164" fontId="136" fillId="6" borderId="5" xfId="0" applyNumberFormat="1" applyFont="1" applyFill="1" applyBorder="1" applyAlignment="1">
      <alignment horizontal="center" vertical="center"/>
    </xf>
    <xf numFmtId="9" fontId="136" fillId="6" borderId="5" xfId="0" applyNumberFormat="1" applyFont="1" applyFill="1" applyBorder="1" applyAlignment="1">
      <alignment horizontal="center" vertical="center"/>
    </xf>
    <xf numFmtId="165" fontId="136" fillId="6" borderId="5" xfId="0" applyNumberFormat="1" applyFont="1" applyFill="1" applyBorder="1" applyAlignment="1">
      <alignment horizontal="center" vertical="center"/>
    </xf>
    <xf numFmtId="0" fontId="135" fillId="0" borderId="0" xfId="0" applyFont="1" applyAlignment="1">
      <alignment horizontal="right"/>
    </xf>
    <xf numFmtId="0" fontId="58" fillId="17" borderId="0" xfId="0" applyFont="1" applyFill="1" applyAlignment="1">
      <alignment horizontal="left" vertical="center"/>
    </xf>
    <xf numFmtId="0" fontId="45" fillId="17" borderId="0" xfId="0" applyFont="1" applyFill="1" applyAlignment="1">
      <alignment horizontal="left" vertical="center"/>
    </xf>
    <xf numFmtId="0" fontId="45" fillId="16" borderId="23" xfId="0" applyFont="1" applyFill="1" applyBorder="1"/>
    <xf numFmtId="0" fontId="45" fillId="16" borderId="23" xfId="0" applyFont="1" applyFill="1" applyBorder="1" applyAlignment="1">
      <alignment horizontal="right"/>
    </xf>
    <xf numFmtId="0" fontId="46" fillId="16" borderId="23" xfId="0" applyFont="1" applyFill="1" applyBorder="1" applyAlignment="1">
      <alignment horizontal="center" vertical="center"/>
    </xf>
    <xf numFmtId="0" fontId="100" fillId="17" borderId="28" xfId="0" applyFont="1" applyFill="1" applyBorder="1" applyAlignment="1">
      <alignment vertical="center"/>
    </xf>
    <xf numFmtId="0" fontId="57" fillId="17" borderId="28" xfId="0" applyFont="1" applyFill="1" applyBorder="1" applyAlignment="1">
      <alignment horizontal="left" vertical="center"/>
    </xf>
    <xf numFmtId="0" fontId="44" fillId="17" borderId="28" xfId="0" applyFont="1" applyFill="1" applyBorder="1" applyAlignment="1">
      <alignment horizontal="center" vertical="center"/>
    </xf>
    <xf numFmtId="0" fontId="37" fillId="17" borderId="28" xfId="0" applyFont="1" applyFill="1" applyBorder="1" applyAlignment="1">
      <alignment horizontal="center" vertical="center"/>
    </xf>
    <xf numFmtId="0" fontId="43" fillId="17" borderId="28" xfId="0" applyFont="1" applyFill="1" applyBorder="1" applyAlignment="1">
      <alignment horizontal="center" vertical="center"/>
    </xf>
    <xf numFmtId="0" fontId="45" fillId="15" borderId="0" xfId="0" applyFont="1" applyFill="1" applyAlignment="1">
      <alignment vertical="center"/>
    </xf>
    <xf numFmtId="0" fontId="45" fillId="15" borderId="0" xfId="0" applyFont="1" applyFill="1"/>
    <xf numFmtId="0" fontId="55" fillId="15" borderId="0" xfId="0" applyFont="1" applyFill="1" applyAlignment="1">
      <alignment horizontal="center" vertical="center"/>
    </xf>
    <xf numFmtId="0" fontId="55" fillId="15" borderId="0" xfId="0" applyFont="1" applyFill="1" applyAlignment="1">
      <alignment vertical="center"/>
    </xf>
    <xf numFmtId="0" fontId="45" fillId="15" borderId="0" xfId="0" applyFont="1" applyFill="1" applyAlignment="1">
      <alignment horizontal="center" vertical="center"/>
    </xf>
    <xf numFmtId="0" fontId="68" fillId="15" borderId="0" xfId="0" applyFont="1" applyFill="1" applyAlignment="1">
      <alignment horizontal="center" vertical="center"/>
    </xf>
    <xf numFmtId="0" fontId="45" fillId="15" borderId="23" xfId="0" applyFont="1" applyFill="1" applyBorder="1" applyAlignment="1">
      <alignment vertical="center"/>
    </xf>
    <xf numFmtId="0" fontId="45" fillId="15" borderId="23" xfId="0" applyFont="1" applyFill="1" applyBorder="1" applyAlignment="1">
      <alignment horizontal="center" vertical="center"/>
    </xf>
    <xf numFmtId="0" fontId="58" fillId="15" borderId="23" xfId="0" applyFont="1" applyFill="1" applyBorder="1" applyAlignment="1">
      <alignment vertical="center"/>
    </xf>
    <xf numFmtId="0" fontId="0" fillId="15" borderId="0" xfId="0" applyFont="1" applyFill="1"/>
    <xf numFmtId="0" fontId="112" fillId="15" borderId="0" xfId="0" applyFont="1" applyFill="1" applyAlignment="1">
      <alignment vertical="center"/>
    </xf>
    <xf numFmtId="0" fontId="113" fillId="15" borderId="0" xfId="0" applyFont="1" applyFill="1" applyAlignment="1">
      <alignment vertical="center"/>
    </xf>
    <xf numFmtId="0" fontId="21" fillId="15" borderId="0" xfId="0" applyFont="1" applyFill="1"/>
    <xf numFmtId="4" fontId="45" fillId="15" borderId="0" xfId="0" applyNumberFormat="1" applyFont="1" applyFill="1" applyAlignment="1">
      <alignment vertical="center"/>
    </xf>
    <xf numFmtId="0" fontId="47" fillId="15" borderId="0" xfId="0" applyFont="1" applyFill="1" applyAlignment="1">
      <alignment vertical="center"/>
    </xf>
    <xf numFmtId="0" fontId="0" fillId="15" borderId="0" xfId="0" applyFont="1" applyFill="1" applyAlignment="1">
      <alignment vertical="center"/>
    </xf>
    <xf numFmtId="0" fontId="2" fillId="15" borderId="0" xfId="0" applyFont="1" applyFill="1"/>
    <xf numFmtId="0" fontId="7" fillId="15" borderId="0" xfId="0" applyFont="1" applyFill="1" applyAlignment="1">
      <alignment horizontal="center" vertical="center"/>
    </xf>
    <xf numFmtId="0" fontId="6" fillId="15" borderId="0" xfId="0" applyFont="1" applyFill="1" applyAlignment="1">
      <alignment vertical="center"/>
    </xf>
    <xf numFmtId="0" fontId="108" fillId="15" borderId="0" xfId="0" applyFont="1" applyFill="1" applyAlignment="1">
      <alignment horizontal="right" vertical="center"/>
    </xf>
    <xf numFmtId="0" fontId="2" fillId="15" borderId="0" xfId="0" applyFont="1" applyFill="1" applyAlignment="1">
      <alignment vertical="center"/>
    </xf>
    <xf numFmtId="0" fontId="58" fillId="17" borderId="28" xfId="0" applyFont="1" applyFill="1" applyBorder="1"/>
    <xf numFmtId="0" fontId="58" fillId="17" borderId="28" xfId="0" applyFont="1" applyFill="1" applyBorder="1" applyAlignment="1">
      <alignment horizontal="center" vertical="center"/>
    </xf>
    <xf numFmtId="0" fontId="46" fillId="17" borderId="28" xfId="0" applyFont="1" applyFill="1" applyBorder="1" applyAlignment="1">
      <alignment vertical="center"/>
    </xf>
    <xf numFmtId="0" fontId="46" fillId="17" borderId="28" xfId="0" applyFont="1" applyFill="1" applyBorder="1" applyAlignment="1">
      <alignment horizontal="center" vertical="center"/>
    </xf>
    <xf numFmtId="0" fontId="39" fillId="15" borderId="0" xfId="0" applyFont="1" applyFill="1" applyAlignment="1">
      <alignment vertical="center"/>
    </xf>
    <xf numFmtId="0" fontId="39" fillId="15" borderId="0" xfId="0" applyFont="1" applyFill="1" applyAlignment="1">
      <alignment horizontal="center" vertical="center"/>
    </xf>
    <xf numFmtId="3" fontId="39" fillId="15" borderId="0" xfId="0" applyNumberFormat="1" applyFont="1" applyFill="1" applyAlignment="1">
      <alignment vertical="center"/>
    </xf>
    <xf numFmtId="0" fontId="92" fillId="15" borderId="0" xfId="0" applyFont="1" applyFill="1" applyAlignment="1">
      <alignment vertical="center"/>
    </xf>
    <xf numFmtId="0" fontId="39" fillId="15" borderId="23" xfId="0" applyFont="1" applyFill="1" applyBorder="1" applyAlignment="1">
      <alignment horizontal="center" vertical="center"/>
    </xf>
    <xf numFmtId="10" fontId="39" fillId="15" borderId="0" xfId="0" applyNumberFormat="1" applyFont="1" applyFill="1" applyAlignment="1">
      <alignment vertical="center"/>
    </xf>
    <xf numFmtId="10" fontId="39" fillId="15" borderId="0" xfId="0" applyNumberFormat="1" applyFont="1" applyFill="1" applyAlignment="1">
      <alignment horizontal="center" vertical="center"/>
    </xf>
    <xf numFmtId="0" fontId="59" fillId="15" borderId="0" xfId="0" applyFont="1" applyFill="1" applyAlignment="1">
      <alignment horizontal="right" vertical="center"/>
    </xf>
    <xf numFmtId="3" fontId="59" fillId="15" borderId="0" xfId="0" applyNumberFormat="1" applyFont="1" applyFill="1" applyAlignment="1">
      <alignment horizontal="center" vertical="center"/>
    </xf>
    <xf numFmtId="0" fontId="39" fillId="15" borderId="23" xfId="0" applyFont="1" applyFill="1" applyBorder="1" applyAlignment="1">
      <alignment vertical="center"/>
    </xf>
    <xf numFmtId="3" fontId="39" fillId="15" borderId="0" xfId="0" applyNumberFormat="1" applyFont="1" applyFill="1" applyAlignment="1">
      <alignment horizontal="center" vertical="center"/>
    </xf>
    <xf numFmtId="3" fontId="39" fillId="15" borderId="23" xfId="0" applyNumberFormat="1" applyFont="1" applyFill="1" applyBorder="1" applyAlignment="1">
      <alignment horizontal="center" vertical="center"/>
    </xf>
    <xf numFmtId="0" fontId="39" fillId="15" borderId="23" xfId="0" applyFont="1" applyFill="1" applyBorder="1" applyAlignment="1" applyProtection="1">
      <alignment vertical="center"/>
      <protection locked="0"/>
    </xf>
    <xf numFmtId="165" fontId="39" fillId="15" borderId="0" xfId="0" applyNumberFormat="1" applyFont="1" applyFill="1" applyAlignment="1">
      <alignment horizontal="center" vertical="center"/>
    </xf>
    <xf numFmtId="168" fontId="59" fillId="15" borderId="0" xfId="0" applyNumberFormat="1" applyFont="1" applyFill="1" applyAlignment="1">
      <alignment horizontal="center" vertical="center"/>
    </xf>
    <xf numFmtId="0" fontId="39" fillId="15" borderId="0" xfId="0" applyFont="1" applyFill="1" applyAlignment="1"/>
    <xf numFmtId="0" fontId="119" fillId="15" borderId="0" xfId="0" applyFont="1" applyFill="1" applyAlignment="1">
      <alignment vertical="center"/>
    </xf>
    <xf numFmtId="1" fontId="39" fillId="15" borderId="0" xfId="0" applyNumberFormat="1" applyFont="1" applyFill="1" applyAlignment="1">
      <alignment horizontal="center" vertical="center"/>
    </xf>
    <xf numFmtId="0" fontId="0" fillId="15" borderId="0" xfId="0" applyFont="1" applyFill="1" applyAlignment="1"/>
    <xf numFmtId="0" fontId="0" fillId="15" borderId="0" xfId="0" applyFont="1" applyFill="1" applyAlignment="1">
      <alignment horizontal="right" vertical="center"/>
    </xf>
    <xf numFmtId="0" fontId="2" fillId="15" borderId="0" xfId="0" applyFont="1" applyFill="1" applyAlignment="1">
      <alignment horizontal="center" vertical="center"/>
    </xf>
    <xf numFmtId="0" fontId="28" fillId="15" borderId="0" xfId="0" applyFont="1" applyFill="1" applyAlignment="1">
      <alignment vertical="center"/>
    </xf>
    <xf numFmtId="0" fontId="132" fillId="15" borderId="0" xfId="0" applyFont="1" applyFill="1" applyAlignment="1">
      <alignment vertical="center"/>
    </xf>
    <xf numFmtId="0" fontId="131" fillId="15" borderId="0" xfId="0" applyFont="1" applyFill="1" applyAlignment="1">
      <alignment vertical="center"/>
    </xf>
    <xf numFmtId="0" fontId="46" fillId="15" borderId="0" xfId="0" applyFont="1" applyFill="1" applyAlignment="1">
      <alignment vertical="center"/>
    </xf>
    <xf numFmtId="0" fontId="49" fillId="15" borderId="0" xfId="0" applyFont="1" applyFill="1" applyAlignment="1">
      <alignment vertical="center"/>
    </xf>
    <xf numFmtId="0" fontId="49" fillId="42" borderId="5" xfId="0" applyFont="1" applyFill="1" applyBorder="1" applyAlignment="1">
      <alignment vertical="center"/>
    </xf>
    <xf numFmtId="0" fontId="133" fillId="15" borderId="0" xfId="0" applyFont="1" applyFill="1" applyAlignment="1">
      <alignment vertical="center"/>
    </xf>
    <xf numFmtId="0" fontId="35" fillId="15" borderId="0" xfId="0" applyFont="1" applyFill="1" applyAlignment="1">
      <alignment vertical="center"/>
    </xf>
    <xf numFmtId="0" fontId="34" fillId="15" borderId="0" xfId="0" applyFont="1" applyFill="1" applyAlignment="1">
      <alignment vertical="center"/>
    </xf>
    <xf numFmtId="0" fontId="3" fillId="15" borderId="0" xfId="0" applyFont="1" applyFill="1" applyAlignment="1">
      <alignment vertical="center"/>
    </xf>
    <xf numFmtId="0" fontId="1" fillId="15" borderId="0" xfId="0" applyFont="1" applyFill="1" applyAlignment="1">
      <alignment vertical="center"/>
    </xf>
    <xf numFmtId="0" fontId="133" fillId="42" borderId="5" xfId="0" applyFont="1" applyFill="1" applyBorder="1" applyAlignment="1">
      <alignment vertical="center"/>
    </xf>
    <xf numFmtId="0" fontId="134" fillId="15" borderId="0" xfId="0" applyFont="1" applyFill="1" applyAlignment="1">
      <alignment vertical="center"/>
    </xf>
    <xf numFmtId="0" fontId="0" fillId="0" borderId="0" xfId="0" applyFont="1" applyAlignment="1"/>
    <xf numFmtId="165" fontId="96" fillId="17" borderId="30" xfId="0" applyNumberFormat="1" applyFont="1" applyFill="1" applyBorder="1" applyAlignment="1">
      <alignment horizontal="center" vertical="center"/>
    </xf>
    <xf numFmtId="0" fontId="0" fillId="0" borderId="0" xfId="0" applyFont="1" applyAlignment="1"/>
    <xf numFmtId="4" fontId="45" fillId="15" borderId="0" xfId="0" applyNumberFormat="1" applyFont="1" applyFill="1" applyAlignment="1">
      <alignment horizontal="center" vertical="center"/>
    </xf>
    <xf numFmtId="4" fontId="0" fillId="0" borderId="0" xfId="0" applyNumberFormat="1" applyFont="1" applyAlignment="1"/>
    <xf numFmtId="0" fontId="0" fillId="0" borderId="0" xfId="0" applyFont="1" applyAlignment="1">
      <alignment horizontal="center"/>
    </xf>
    <xf numFmtId="4" fontId="140" fillId="15" borderId="0" xfId="0" applyNumberFormat="1" applyFont="1" applyFill="1" applyAlignment="1">
      <alignment vertical="center"/>
    </xf>
    <xf numFmtId="0" fontId="46" fillId="17" borderId="23" xfId="0" applyFont="1" applyFill="1" applyBorder="1" applyAlignment="1">
      <alignment vertical="center"/>
    </xf>
    <xf numFmtId="0" fontId="67" fillId="17" borderId="30" xfId="0" applyFont="1" applyFill="1" applyBorder="1" applyAlignment="1">
      <alignment horizontal="center" vertical="center" wrapText="1"/>
    </xf>
    <xf numFmtId="0" fontId="58" fillId="17" borderId="29" xfId="0" applyFont="1" applyFill="1" applyBorder="1"/>
    <xf numFmtId="0" fontId="57" fillId="17" borderId="30" xfId="0" applyFont="1" applyFill="1" applyBorder="1" applyAlignment="1">
      <alignment horizontal="center" vertical="center"/>
    </xf>
    <xf numFmtId="0" fontId="57" fillId="17" borderId="30" xfId="0" applyFont="1" applyFill="1" applyBorder="1" applyAlignment="1">
      <alignment horizontal="center" vertical="center" wrapText="1"/>
    </xf>
    <xf numFmtId="165" fontId="45" fillId="20" borderId="30" xfId="0" applyNumberFormat="1" applyFont="1" applyFill="1" applyBorder="1" applyAlignment="1">
      <alignment horizontal="center" vertical="center"/>
    </xf>
    <xf numFmtId="0" fontId="45" fillId="0" borderId="31" xfId="0" applyFont="1" applyBorder="1" applyAlignment="1">
      <alignment horizontal="center" vertical="center"/>
    </xf>
    <xf numFmtId="0" fontId="67" fillId="17" borderId="30" xfId="0" applyFont="1" applyFill="1" applyBorder="1" applyAlignment="1">
      <alignment horizontal="center" vertical="center"/>
    </xf>
    <xf numFmtId="0" fontId="43" fillId="0" borderId="0" xfId="0" applyFont="1" applyAlignment="1">
      <alignment vertical="center"/>
    </xf>
    <xf numFmtId="0" fontId="22" fillId="17" borderId="30" xfId="0" applyFont="1" applyFill="1" applyBorder="1" applyAlignment="1">
      <alignment horizontal="center" vertical="center"/>
    </xf>
    <xf numFmtId="0" fontId="22" fillId="17" borderId="30" xfId="0" applyFont="1" applyFill="1" applyBorder="1" applyAlignment="1">
      <alignment horizontal="center" vertical="center" wrapText="1"/>
    </xf>
    <xf numFmtId="0" fontId="55" fillId="0" borderId="30" xfId="0" applyFont="1" applyBorder="1" applyAlignment="1">
      <alignment vertical="center"/>
    </xf>
    <xf numFmtId="0" fontId="100" fillId="17" borderId="29" xfId="0" applyFont="1" applyFill="1" applyBorder="1" applyAlignment="1">
      <alignment vertical="center"/>
    </xf>
    <xf numFmtId="0" fontId="55" fillId="0" borderId="29" xfId="0" applyFont="1" applyBorder="1" applyAlignment="1">
      <alignment horizontal="right" vertical="center"/>
    </xf>
    <xf numFmtId="0" fontId="55" fillId="0" borderId="30" xfId="0" applyFont="1" applyFill="1" applyBorder="1" applyAlignment="1">
      <alignment vertical="center"/>
    </xf>
    <xf numFmtId="0" fontId="39" fillId="0" borderId="30" xfId="0" applyFont="1" applyBorder="1" applyAlignment="1">
      <alignment vertical="center"/>
    </xf>
    <xf numFmtId="0" fontId="39" fillId="0" borderId="29" xfId="0" applyFont="1" applyBorder="1" applyAlignment="1">
      <alignment horizontal="center" vertical="center"/>
    </xf>
    <xf numFmtId="0" fontId="58" fillId="17" borderId="29" xfId="0" applyFont="1" applyFill="1" applyBorder="1" applyAlignment="1">
      <alignment vertical="center"/>
    </xf>
    <xf numFmtId="0" fontId="23" fillId="17" borderId="30" xfId="0" applyFont="1" applyFill="1" applyBorder="1" applyAlignment="1">
      <alignment horizontal="center" vertical="center"/>
    </xf>
    <xf numFmtId="0" fontId="44" fillId="17" borderId="30" xfId="0" applyFont="1" applyFill="1" applyBorder="1" applyAlignment="1">
      <alignment horizontal="center" vertical="center"/>
    </xf>
    <xf numFmtId="0" fontId="43" fillId="0" borderId="30" xfId="0" applyFont="1" applyBorder="1" applyAlignment="1">
      <alignment horizontal="center" vertical="center"/>
    </xf>
    <xf numFmtId="0" fontId="96" fillId="17" borderId="30" xfId="0" applyFont="1" applyFill="1" applyBorder="1" applyAlignment="1">
      <alignment horizontal="center" vertical="center"/>
    </xf>
    <xf numFmtId="0" fontId="55" fillId="0" borderId="29" xfId="0" applyFont="1" applyBorder="1" applyAlignment="1">
      <alignment horizontal="center" vertical="center"/>
    </xf>
    <xf numFmtId="0" fontId="39" fillId="0" borderId="30" xfId="0" applyFont="1" applyBorder="1" applyAlignment="1">
      <alignment horizontal="center" vertical="center"/>
    </xf>
    <xf numFmtId="0" fontId="39" fillId="0" borderId="28" xfId="0" applyFont="1" applyBorder="1" applyAlignment="1">
      <alignment vertical="center"/>
    </xf>
    <xf numFmtId="0" fontId="39" fillId="0" borderId="23" xfId="0" applyFont="1" applyBorder="1" applyAlignment="1">
      <alignment vertical="center"/>
    </xf>
    <xf numFmtId="0" fontId="34" fillId="0" borderId="0" xfId="0" applyFont="1" applyFill="1" applyAlignment="1"/>
    <xf numFmtId="0" fontId="100" fillId="0" borderId="0" xfId="0" applyFont="1" applyFill="1" applyAlignment="1">
      <alignment vertical="center"/>
    </xf>
    <xf numFmtId="0" fontId="48" fillId="15" borderId="0" xfId="0" applyFont="1" applyFill="1"/>
    <xf numFmtId="0" fontId="56" fillId="15" borderId="0" xfId="0" applyFont="1" applyFill="1" applyAlignment="1">
      <alignment vertical="center"/>
    </xf>
    <xf numFmtId="0" fontId="54" fillId="15" borderId="0" xfId="0" applyFont="1" applyFill="1" applyAlignment="1">
      <alignment vertical="center"/>
    </xf>
    <xf numFmtId="0" fontId="45" fillId="15" borderId="0" xfId="0" applyFont="1" applyFill="1" applyAlignment="1">
      <alignment horizontal="center"/>
    </xf>
    <xf numFmtId="0" fontId="45" fillId="15" borderId="23" xfId="0" applyFont="1" applyFill="1" applyBorder="1"/>
    <xf numFmtId="0" fontId="46" fillId="15" borderId="0" xfId="0" applyFont="1" applyFill="1" applyAlignment="1">
      <alignment horizontal="right" vertical="center"/>
    </xf>
    <xf numFmtId="0" fontId="46" fillId="15" borderId="0" xfId="0" applyFont="1" applyFill="1"/>
    <xf numFmtId="0" fontId="45" fillId="15" borderId="0" xfId="0" applyFont="1" applyFill="1" applyAlignment="1"/>
    <xf numFmtId="3" fontId="45" fillId="25" borderId="30" xfId="0" applyNumberFormat="1" applyFont="1" applyFill="1" applyBorder="1" applyAlignment="1" applyProtection="1">
      <alignment horizontal="center" vertical="center"/>
      <protection locked="0"/>
    </xf>
    <xf numFmtId="2" fontId="45" fillId="25" borderId="30" xfId="0" applyNumberFormat="1" applyFont="1" applyFill="1" applyBorder="1" applyAlignment="1" applyProtection="1">
      <alignment horizontal="center" vertical="center"/>
      <protection locked="0"/>
    </xf>
    <xf numFmtId="2" fontId="47" fillId="25" borderId="30" xfId="0" applyNumberFormat="1" applyFont="1" applyFill="1" applyBorder="1" applyAlignment="1" applyProtection="1">
      <alignment horizontal="center" vertical="center"/>
      <protection locked="0"/>
    </xf>
    <xf numFmtId="0" fontId="45" fillId="25" borderId="30" xfId="0" applyFont="1" applyFill="1" applyBorder="1" applyAlignment="1" applyProtection="1">
      <alignment horizontal="center" vertical="center"/>
      <protection locked="0"/>
    </xf>
    <xf numFmtId="0" fontId="45" fillId="20" borderId="30" xfId="0" applyFont="1" applyFill="1" applyBorder="1" applyAlignment="1">
      <alignment horizontal="center" vertical="center"/>
    </xf>
    <xf numFmtId="0" fontId="55" fillId="3" borderId="30" xfId="0" applyFont="1" applyFill="1" applyBorder="1" applyAlignment="1">
      <alignment horizontal="left" vertical="center"/>
    </xf>
    <xf numFmtId="0" fontId="44" fillId="21" borderId="30" xfId="0" applyFont="1" applyFill="1" applyBorder="1" applyAlignment="1">
      <alignment horizontal="center" vertical="center"/>
    </xf>
    <xf numFmtId="0" fontId="54" fillId="16" borderId="37" xfId="0" applyFont="1" applyFill="1" applyBorder="1" applyAlignment="1">
      <alignment vertical="center"/>
    </xf>
    <xf numFmtId="0" fontId="56" fillId="16" borderId="35" xfId="0" applyFont="1" applyFill="1" applyBorder="1" applyAlignment="1">
      <alignment vertical="center"/>
    </xf>
    <xf numFmtId="0" fontId="56" fillId="16" borderId="36" xfId="0" applyFont="1" applyFill="1" applyBorder="1" applyAlignment="1">
      <alignment vertical="center"/>
    </xf>
    <xf numFmtId="0" fontId="45" fillId="15" borderId="0" xfId="0" applyFont="1" applyFill="1" applyAlignment="1">
      <alignment horizontal="right"/>
    </xf>
    <xf numFmtId="0" fontId="47" fillId="15" borderId="0" xfId="0" applyFont="1" applyFill="1"/>
    <xf numFmtId="0" fontId="45" fillId="15" borderId="0" xfId="0" applyFont="1" applyFill="1" applyAlignment="1">
      <alignment horizontal="left"/>
    </xf>
    <xf numFmtId="0" fontId="46" fillId="15" borderId="0" xfId="0" applyFont="1" applyFill="1" applyAlignment="1">
      <alignment horizontal="left"/>
    </xf>
    <xf numFmtId="4" fontId="45" fillId="15" borderId="0" xfId="0" applyNumberFormat="1" applyFont="1" applyFill="1"/>
    <xf numFmtId="0" fontId="45" fillId="15" borderId="0" xfId="0" applyFont="1" applyFill="1" applyAlignment="1">
      <alignment horizontal="right" vertical="center"/>
    </xf>
    <xf numFmtId="0" fontId="45" fillId="17" borderId="30" xfId="0" applyFont="1" applyFill="1" applyBorder="1"/>
    <xf numFmtId="4" fontId="45" fillId="20" borderId="30" xfId="0" applyNumberFormat="1" applyFont="1" applyFill="1" applyBorder="1" applyAlignment="1">
      <alignment vertical="center"/>
    </xf>
    <xf numFmtId="0" fontId="54" fillId="16" borderId="35" xfId="0" applyFont="1" applyFill="1" applyBorder="1" applyAlignment="1">
      <alignment vertical="center"/>
    </xf>
    <xf numFmtId="0" fontId="54" fillId="16" borderId="36" xfId="0" applyFont="1" applyFill="1" applyBorder="1" applyAlignment="1">
      <alignment vertical="center"/>
    </xf>
    <xf numFmtId="0" fontId="46" fillId="16" borderId="38" xfId="0" applyFont="1" applyFill="1" applyBorder="1"/>
    <xf numFmtId="0" fontId="45" fillId="16" borderId="41" xfId="0" applyFont="1" applyFill="1" applyBorder="1"/>
    <xf numFmtId="0" fontId="53" fillId="24" borderId="23" xfId="0" applyFont="1" applyFill="1" applyBorder="1" applyAlignment="1">
      <alignment vertical="center"/>
    </xf>
    <xf numFmtId="0" fontId="45" fillId="18" borderId="23" xfId="0" applyFont="1" applyFill="1" applyBorder="1" applyAlignment="1">
      <alignment vertical="center"/>
    </xf>
    <xf numFmtId="0" fontId="45" fillId="19" borderId="23" xfId="0" applyFont="1" applyFill="1" applyBorder="1" applyAlignment="1">
      <alignment vertical="center"/>
    </xf>
    <xf numFmtId="0" fontId="47" fillId="15" borderId="0" xfId="0" applyFont="1" applyFill="1" applyAlignment="1">
      <alignment horizontal="left" vertical="center"/>
    </xf>
    <xf numFmtId="164" fontId="45" fillId="20" borderId="30" xfId="0" applyNumberFormat="1" applyFont="1" applyFill="1" applyBorder="1" applyAlignment="1">
      <alignment horizontal="center" vertical="center"/>
    </xf>
    <xf numFmtId="0" fontId="55" fillId="15" borderId="0" xfId="0" applyFont="1" applyFill="1" applyAlignment="1">
      <alignment horizontal="right" vertical="center"/>
    </xf>
    <xf numFmtId="0" fontId="135" fillId="15" borderId="0" xfId="0" applyFont="1" applyFill="1"/>
    <xf numFmtId="0" fontId="55" fillId="15" borderId="0" xfId="0" applyFont="1" applyFill="1" applyAlignment="1">
      <alignment horizontal="right"/>
    </xf>
    <xf numFmtId="0" fontId="45" fillId="15" borderId="28" xfId="0" applyFont="1" applyFill="1" applyBorder="1"/>
    <xf numFmtId="0" fontId="55" fillId="15" borderId="28" xfId="0" applyFont="1" applyFill="1" applyBorder="1" applyAlignment="1">
      <alignment horizontal="right" vertical="center"/>
    </xf>
    <xf numFmtId="0" fontId="45" fillId="15" borderId="28" xfId="0" applyFont="1" applyFill="1" applyBorder="1" applyAlignment="1">
      <alignment vertical="center"/>
    </xf>
    <xf numFmtId="0" fontId="55" fillId="15" borderId="28" xfId="0" applyFont="1" applyFill="1" applyBorder="1" applyAlignment="1">
      <alignment vertical="center"/>
    </xf>
    <xf numFmtId="0" fontId="46" fillId="15" borderId="0" xfId="0" applyFont="1" applyFill="1" applyAlignment="1">
      <alignment horizontal="center" vertical="center"/>
    </xf>
    <xf numFmtId="0" fontId="43" fillId="15" borderId="0" xfId="0" applyFont="1" applyFill="1"/>
    <xf numFmtId="0" fontId="9" fillId="15" borderId="0" xfId="0" applyFont="1" applyFill="1"/>
    <xf numFmtId="0" fontId="69" fillId="15" borderId="0" xfId="0" applyFont="1" applyFill="1" applyAlignment="1">
      <alignment vertical="center"/>
    </xf>
    <xf numFmtId="0" fontId="9" fillId="15" borderId="0" xfId="0" applyFont="1" applyFill="1" applyAlignment="1">
      <alignment horizontal="center"/>
    </xf>
    <xf numFmtId="0" fontId="69" fillId="15" borderId="0" xfId="0" applyFont="1" applyFill="1" applyAlignment="1">
      <alignment horizontal="center" vertical="center"/>
    </xf>
    <xf numFmtId="0" fontId="30" fillId="15" borderId="0" xfId="0" applyFont="1" applyFill="1"/>
    <xf numFmtId="0" fontId="9" fillId="15" borderId="0" xfId="0" applyFont="1" applyFill="1" applyAlignment="1">
      <alignment vertical="center"/>
    </xf>
    <xf numFmtId="0" fontId="75" fillId="15" borderId="0" xfId="0" applyFont="1" applyFill="1" applyAlignment="1">
      <alignment vertical="center"/>
    </xf>
    <xf numFmtId="0" fontId="77" fillId="15" borderId="0" xfId="0" applyFont="1" applyFill="1" applyAlignment="1">
      <alignment horizontal="right" vertical="center"/>
    </xf>
    <xf numFmtId="0" fontId="43" fillId="15" borderId="0" xfId="0" applyFont="1" applyFill="1" applyAlignment="1">
      <alignment horizontal="right"/>
    </xf>
    <xf numFmtId="4" fontId="79" fillId="15" borderId="0" xfId="0" applyNumberFormat="1" applyFont="1" applyFill="1" applyAlignment="1">
      <alignment horizontal="center" vertical="center"/>
    </xf>
    <xf numFmtId="0" fontId="59" fillId="15" borderId="0" xfId="0" applyFont="1" applyFill="1" applyAlignment="1">
      <alignment horizontal="left" vertical="center"/>
    </xf>
    <xf numFmtId="0" fontId="43" fillId="15" borderId="0" xfId="0" applyFont="1" applyFill="1" applyAlignment="1">
      <alignment vertical="center"/>
    </xf>
    <xf numFmtId="0" fontId="44" fillId="17" borderId="0" xfId="0" applyFont="1" applyFill="1" applyAlignment="1">
      <alignment vertical="center"/>
    </xf>
    <xf numFmtId="0" fontId="96" fillId="17" borderId="0" xfId="0" applyFont="1" applyFill="1" applyAlignment="1"/>
    <xf numFmtId="0" fontId="45" fillId="15" borderId="0" xfId="0" applyFont="1" applyFill="1" applyAlignment="1">
      <alignment horizontal="left" vertical="center"/>
    </xf>
    <xf numFmtId="4" fontId="45" fillId="15" borderId="0" xfId="0" applyNumberFormat="1" applyFont="1" applyFill="1" applyAlignment="1">
      <alignment horizontal="center"/>
    </xf>
    <xf numFmtId="0" fontId="55" fillId="15" borderId="0" xfId="0" applyFont="1" applyFill="1" applyAlignment="1">
      <alignment horizontal="left"/>
    </xf>
    <xf numFmtId="4" fontId="43" fillId="15" borderId="0" xfId="0" applyNumberFormat="1" applyFont="1" applyFill="1" applyAlignment="1">
      <alignment horizontal="left"/>
    </xf>
    <xf numFmtId="4" fontId="43" fillId="15" borderId="0" xfId="0" applyNumberFormat="1" applyFont="1" applyFill="1" applyAlignment="1">
      <alignment horizontal="center"/>
    </xf>
    <xf numFmtId="4" fontId="37" fillId="15" borderId="0" xfId="0" applyNumberFormat="1" applyFont="1" applyFill="1" applyAlignment="1">
      <alignment horizontal="center"/>
    </xf>
    <xf numFmtId="4" fontId="43" fillId="15" borderId="0" xfId="0" applyNumberFormat="1" applyFont="1" applyFill="1"/>
    <xf numFmtId="0" fontId="45" fillId="15" borderId="23" xfId="0" applyFont="1" applyFill="1" applyBorder="1" applyAlignment="1">
      <alignment horizontal="center"/>
    </xf>
    <xf numFmtId="4" fontId="45" fillId="15" borderId="23" xfId="0" applyNumberFormat="1" applyFont="1" applyFill="1" applyBorder="1"/>
    <xf numFmtId="0" fontId="74" fillId="15" borderId="30" xfId="0" applyFont="1" applyFill="1" applyBorder="1" applyAlignment="1">
      <alignment horizontal="right" vertical="center"/>
    </xf>
    <xf numFmtId="0" fontId="55" fillId="15" borderId="30" xfId="0" applyFont="1" applyFill="1" applyBorder="1" applyAlignment="1">
      <alignment horizontal="right" vertical="center"/>
    </xf>
    <xf numFmtId="0" fontId="73" fillId="17" borderId="36" xfId="0" applyFont="1" applyFill="1" applyBorder="1" applyAlignment="1">
      <alignment horizontal="left" vertical="center"/>
    </xf>
    <xf numFmtId="0" fontId="55" fillId="15" borderId="23" xfId="0" applyFont="1" applyFill="1" applyBorder="1" applyAlignment="1">
      <alignment horizontal="right" vertical="center"/>
    </xf>
    <xf numFmtId="0" fontId="73" fillId="17" borderId="35" xfId="0" applyFont="1" applyFill="1" applyBorder="1" applyAlignment="1">
      <alignment horizontal="left" vertical="center"/>
    </xf>
    <xf numFmtId="0" fontId="45" fillId="15" borderId="27" xfId="0" applyFont="1" applyFill="1" applyBorder="1"/>
    <xf numFmtId="0" fontId="55" fillId="15" borderId="27" xfId="0" applyFont="1" applyFill="1" applyBorder="1" applyAlignment="1">
      <alignment horizontal="right" vertical="center"/>
    </xf>
    <xf numFmtId="0" fontId="55" fillId="15" borderId="29" xfId="0" applyFont="1" applyFill="1" applyBorder="1" applyAlignment="1">
      <alignment horizontal="right" vertical="center"/>
    </xf>
    <xf numFmtId="2" fontId="45" fillId="15" borderId="23" xfId="0" applyNumberFormat="1" applyFont="1" applyFill="1" applyBorder="1" applyAlignment="1">
      <alignment horizontal="center"/>
    </xf>
    <xf numFmtId="2" fontId="45" fillId="15" borderId="0" xfId="0" applyNumberFormat="1" applyFont="1" applyFill="1" applyAlignment="1">
      <alignment horizontal="center"/>
    </xf>
    <xf numFmtId="2" fontId="45" fillId="15" borderId="7" xfId="0" applyNumberFormat="1" applyFont="1" applyFill="1" applyBorder="1" applyAlignment="1">
      <alignment horizontal="center" vertical="center"/>
    </xf>
    <xf numFmtId="2" fontId="45" fillId="15" borderId="0" xfId="0" applyNumberFormat="1" applyFont="1" applyFill="1" applyAlignment="1">
      <alignment vertical="center"/>
    </xf>
    <xf numFmtId="0" fontId="49" fillId="15" borderId="0" xfId="0" applyFont="1" applyFill="1" applyAlignment="1">
      <alignment horizontal="right" vertical="center"/>
    </xf>
    <xf numFmtId="0" fontId="61" fillId="15" borderId="0" xfId="0" applyFont="1" applyFill="1"/>
    <xf numFmtId="0" fontId="39" fillId="15" borderId="23" xfId="0" applyFont="1" applyFill="1" applyBorder="1" applyAlignment="1">
      <alignment horizontal="right" vertical="center"/>
    </xf>
    <xf numFmtId="2" fontId="43" fillId="15" borderId="0" xfId="0" applyNumberFormat="1" applyFont="1" applyFill="1" applyAlignment="1">
      <alignment horizontal="center" vertical="center"/>
    </xf>
    <xf numFmtId="0" fontId="60" fillId="15" borderId="0" xfId="0" applyFont="1" applyFill="1" applyAlignment="1">
      <alignment vertical="center"/>
    </xf>
    <xf numFmtId="0" fontId="65" fillId="15" borderId="0" xfId="0" applyFont="1" applyFill="1" applyAlignment="1">
      <alignment horizontal="right"/>
    </xf>
    <xf numFmtId="0" fontId="61" fillId="15" borderId="0" xfId="0" applyFont="1" applyFill="1" applyAlignment="1">
      <alignment vertical="center"/>
    </xf>
    <xf numFmtId="0" fontId="62" fillId="15" borderId="0" xfId="0" applyFont="1" applyFill="1" applyAlignment="1">
      <alignment vertical="center"/>
    </xf>
    <xf numFmtId="0" fontId="43" fillId="15" borderId="0" xfId="0" applyFont="1" applyFill="1" applyAlignment="1">
      <alignment horizontal="right" vertical="center"/>
    </xf>
    <xf numFmtId="0" fontId="66" fillId="15" borderId="0" xfId="0" applyFont="1" applyFill="1" applyAlignment="1">
      <alignment vertical="center"/>
    </xf>
    <xf numFmtId="0" fontId="39" fillId="15" borderId="28" xfId="0" applyFont="1" applyFill="1" applyBorder="1" applyAlignment="1">
      <alignment vertical="center"/>
    </xf>
    <xf numFmtId="0" fontId="39" fillId="15" borderId="28" xfId="0" applyFont="1" applyFill="1" applyBorder="1" applyAlignment="1">
      <alignment horizontal="right" vertical="center"/>
    </xf>
    <xf numFmtId="0" fontId="43" fillId="15" borderId="28" xfId="0" applyFont="1" applyFill="1" applyBorder="1" applyAlignment="1">
      <alignment vertical="center"/>
    </xf>
    <xf numFmtId="0" fontId="39" fillId="15" borderId="31" xfId="0" applyFont="1" applyFill="1" applyBorder="1" applyAlignment="1">
      <alignment vertical="center"/>
    </xf>
    <xf numFmtId="0" fontId="43" fillId="15" borderId="29" xfId="0" applyFont="1" applyFill="1" applyBorder="1" applyAlignment="1">
      <alignment vertical="center"/>
    </xf>
    <xf numFmtId="164" fontId="43" fillId="20" borderId="30" xfId="0" applyNumberFormat="1" applyFont="1" applyFill="1" applyBorder="1" applyAlignment="1">
      <alignment horizontal="center" vertical="center"/>
    </xf>
    <xf numFmtId="0" fontId="43" fillId="42" borderId="28" xfId="0" applyFont="1" applyFill="1" applyBorder="1" applyAlignment="1">
      <alignment vertical="center"/>
    </xf>
    <xf numFmtId="0" fontId="55" fillId="15" borderId="0" xfId="0" applyFont="1" applyFill="1"/>
    <xf numFmtId="0" fontId="71" fillId="16" borderId="38" xfId="0" applyFont="1" applyFill="1" applyBorder="1" applyAlignment="1">
      <alignment horizontal="center" vertical="center"/>
    </xf>
    <xf numFmtId="0" fontId="71" fillId="16" borderId="23" xfId="0" applyFont="1" applyFill="1" applyBorder="1" applyAlignment="1">
      <alignment vertical="center"/>
    </xf>
    <xf numFmtId="0" fontId="72" fillId="16" borderId="23" xfId="0" applyFont="1" applyFill="1" applyBorder="1" applyAlignment="1">
      <alignment horizontal="center" vertical="center"/>
    </xf>
    <xf numFmtId="0" fontId="55" fillId="0" borderId="31" xfId="0" applyFont="1" applyBorder="1" applyAlignment="1">
      <alignment horizontal="left" vertical="center"/>
    </xf>
    <xf numFmtId="0" fontId="44" fillId="17" borderId="31" xfId="0" applyFont="1" applyFill="1" applyBorder="1" applyAlignment="1">
      <alignment horizontal="left" vertical="center"/>
    </xf>
    <xf numFmtId="0" fontId="71" fillId="16" borderId="41" xfId="0" applyFont="1" applyFill="1" applyBorder="1" applyAlignment="1">
      <alignment vertical="center"/>
    </xf>
    <xf numFmtId="4" fontId="45" fillId="3" borderId="42" xfId="0" applyNumberFormat="1" applyFont="1" applyFill="1" applyBorder="1" applyAlignment="1">
      <alignment horizontal="center" vertical="center"/>
    </xf>
    <xf numFmtId="4" fontId="46" fillId="20" borderId="42" xfId="0" applyNumberFormat="1" applyFont="1" applyFill="1" applyBorder="1" applyAlignment="1">
      <alignment horizontal="center" vertical="center"/>
    </xf>
    <xf numFmtId="0" fontId="73" fillId="17" borderId="37" xfId="0" applyFont="1" applyFill="1" applyBorder="1" applyAlignment="1">
      <alignment horizontal="left" vertical="center"/>
    </xf>
    <xf numFmtId="0" fontId="45" fillId="15" borderId="30" xfId="0" applyFont="1" applyFill="1" applyBorder="1"/>
    <xf numFmtId="0" fontId="45" fillId="15" borderId="31" xfId="0" applyFont="1" applyFill="1" applyBorder="1"/>
    <xf numFmtId="0" fontId="45" fillId="15" borderId="31" xfId="0" applyFont="1" applyFill="1" applyBorder="1" applyAlignment="1">
      <alignment horizontal="center"/>
    </xf>
    <xf numFmtId="0" fontId="45" fillId="15" borderId="29" xfId="0" applyFont="1" applyFill="1" applyBorder="1" applyAlignment="1">
      <alignment vertical="center"/>
    </xf>
    <xf numFmtId="0" fontId="46" fillId="20" borderId="30" xfId="0" applyFont="1" applyFill="1" applyBorder="1" applyAlignment="1">
      <alignment horizontal="center" vertical="center"/>
    </xf>
    <xf numFmtId="0" fontId="73" fillId="15" borderId="23" xfId="0" applyFont="1" applyFill="1" applyBorder="1" applyAlignment="1">
      <alignment horizontal="left" vertical="center"/>
    </xf>
    <xf numFmtId="0" fontId="73" fillId="17" borderId="30" xfId="0" applyFont="1" applyFill="1" applyBorder="1" applyAlignment="1">
      <alignment horizontal="left" vertical="center"/>
    </xf>
    <xf numFmtId="0" fontId="45" fillId="15" borderId="33" xfId="0" applyFont="1" applyFill="1" applyBorder="1" applyAlignment="1">
      <alignment vertical="center"/>
    </xf>
    <xf numFmtId="0" fontId="45" fillId="15" borderId="27" xfId="0" applyFont="1" applyFill="1" applyBorder="1" applyAlignment="1">
      <alignment vertical="center"/>
    </xf>
    <xf numFmtId="0" fontId="55" fillId="15" borderId="30" xfId="0" applyFont="1" applyFill="1" applyBorder="1" applyAlignment="1">
      <alignment horizontal="right"/>
    </xf>
    <xf numFmtId="4" fontId="45" fillId="15" borderId="30" xfId="0" applyNumberFormat="1" applyFont="1" applyFill="1" applyBorder="1"/>
    <xf numFmtId="0" fontId="55" fillId="0" borderId="30" xfId="0" applyFont="1" applyBorder="1" applyAlignment="1">
      <alignment horizontal="left" vertical="center" wrapText="1"/>
    </xf>
    <xf numFmtId="0" fontId="55" fillId="15" borderId="23" xfId="0" applyFont="1" applyFill="1" applyBorder="1" applyAlignment="1">
      <alignment vertical="center"/>
    </xf>
    <xf numFmtId="0" fontId="55" fillId="15" borderId="38" xfId="0" applyFont="1" applyFill="1" applyBorder="1" applyAlignment="1">
      <alignment horizontal="right" vertical="center"/>
    </xf>
    <xf numFmtId="0" fontId="55" fillId="15" borderId="40" xfId="0" applyFont="1" applyFill="1" applyBorder="1" applyAlignment="1">
      <alignment horizontal="right" vertical="center"/>
    </xf>
    <xf numFmtId="0" fontId="55" fillId="15" borderId="33" xfId="0" applyFont="1" applyFill="1" applyBorder="1" applyAlignment="1">
      <alignment vertical="center"/>
    </xf>
    <xf numFmtId="0" fontId="44" fillId="15" borderId="30" xfId="0" applyFont="1" applyFill="1" applyBorder="1" applyAlignment="1">
      <alignment horizontal="right" vertical="center" wrapText="1"/>
    </xf>
    <xf numFmtId="0" fontId="44" fillId="15" borderId="30" xfId="0" applyFont="1" applyFill="1" applyBorder="1" applyAlignment="1">
      <alignment horizontal="right" vertical="center"/>
    </xf>
    <xf numFmtId="0" fontId="57" fillId="15" borderId="41" xfId="0" applyFont="1" applyFill="1" applyBorder="1" applyAlignment="1">
      <alignment vertical="center"/>
    </xf>
    <xf numFmtId="0" fontId="45" fillId="15" borderId="41" xfId="0" applyFont="1" applyFill="1" applyBorder="1"/>
    <xf numFmtId="2" fontId="55" fillId="42" borderId="6" xfId="0" applyNumberFormat="1" applyFont="1" applyFill="1" applyBorder="1" applyAlignment="1">
      <alignment horizontal="center" vertical="center"/>
    </xf>
    <xf numFmtId="0" fontId="45" fillId="0" borderId="33" xfId="0" applyFont="1" applyBorder="1" applyAlignment="1">
      <alignment vertical="center"/>
    </xf>
    <xf numFmtId="0" fontId="55" fillId="15" borderId="23" xfId="0" applyFont="1" applyFill="1" applyBorder="1" applyAlignment="1">
      <alignment horizontal="center" vertical="center"/>
    </xf>
    <xf numFmtId="2" fontId="55" fillId="42" borderId="43" xfId="0" applyNumberFormat="1" applyFont="1" applyFill="1" applyBorder="1" applyAlignment="1">
      <alignment horizontal="center" vertical="center"/>
    </xf>
    <xf numFmtId="0" fontId="45" fillId="16" borderId="27" xfId="0" applyFont="1" applyFill="1" applyBorder="1"/>
    <xf numFmtId="0" fontId="71" fillId="16" borderId="27" xfId="0" applyFont="1" applyFill="1" applyBorder="1" applyAlignment="1">
      <alignment vertical="center"/>
    </xf>
    <xf numFmtId="0" fontId="72" fillId="16" borderId="27" xfId="0" applyFont="1" applyFill="1" applyBorder="1" applyAlignment="1">
      <alignment horizontal="right" vertical="center"/>
    </xf>
    <xf numFmtId="0" fontId="72" fillId="16" borderId="27" xfId="0" applyFont="1" applyFill="1" applyBorder="1" applyAlignment="1">
      <alignment vertical="center"/>
    </xf>
    <xf numFmtId="2" fontId="45" fillId="20" borderId="30" xfId="0" applyNumberFormat="1" applyFont="1" applyFill="1" applyBorder="1" applyAlignment="1">
      <alignment horizontal="center" vertical="center"/>
    </xf>
    <xf numFmtId="0" fontId="57" fillId="17" borderId="30" xfId="0" applyFont="1" applyFill="1" applyBorder="1" applyAlignment="1">
      <alignment horizontal="right" vertical="center"/>
    </xf>
    <xf numFmtId="2" fontId="45" fillId="4" borderId="30" xfId="0" applyNumberFormat="1" applyFont="1" applyFill="1" applyBorder="1" applyAlignment="1">
      <alignment horizontal="center" vertical="center"/>
    </xf>
    <xf numFmtId="3" fontId="45" fillId="4" borderId="30" xfId="0" applyNumberFormat="1" applyFont="1" applyFill="1" applyBorder="1" applyAlignment="1">
      <alignment horizontal="center" vertical="center"/>
    </xf>
    <xf numFmtId="0" fontId="57" fillId="17" borderId="37" xfId="0" applyFont="1" applyFill="1" applyBorder="1" applyAlignment="1">
      <alignment vertical="center"/>
    </xf>
    <xf numFmtId="0" fontId="45" fillId="15" borderId="31" xfId="0" applyFont="1" applyFill="1" applyBorder="1" applyAlignment="1">
      <alignment vertical="center"/>
    </xf>
    <xf numFmtId="0" fontId="57" fillId="17" borderId="39" xfId="0" applyFont="1" applyFill="1" applyBorder="1" applyAlignment="1">
      <alignment vertical="center"/>
    </xf>
    <xf numFmtId="0" fontId="57" fillId="17" borderId="39" xfId="0" applyFont="1" applyFill="1" applyBorder="1" applyAlignment="1">
      <alignment horizontal="right" vertical="center"/>
    </xf>
    <xf numFmtId="0" fontId="57" fillId="17" borderId="34" xfId="0" applyFont="1" applyFill="1" applyBorder="1" applyAlignment="1">
      <alignment vertical="center"/>
    </xf>
    <xf numFmtId="0" fontId="57" fillId="17" borderId="34" xfId="0" applyFont="1" applyFill="1" applyBorder="1" applyAlignment="1">
      <alignment horizontal="right" vertical="center"/>
    </xf>
    <xf numFmtId="4" fontId="39" fillId="20" borderId="30" xfId="0" applyNumberFormat="1" applyFont="1" applyFill="1" applyBorder="1" applyAlignment="1">
      <alignment horizontal="center" vertical="center"/>
    </xf>
    <xf numFmtId="4" fontId="64" fillId="20" borderId="30" xfId="0" applyNumberFormat="1" applyFont="1" applyFill="1" applyBorder="1" applyAlignment="1">
      <alignment horizontal="center" vertical="center"/>
    </xf>
    <xf numFmtId="0" fontId="71" fillId="15" borderId="0" xfId="0" applyFont="1" applyFill="1" applyAlignment="1">
      <alignment vertical="center"/>
    </xf>
    <xf numFmtId="0" fontId="45" fillId="15" borderId="23" xfId="0" applyFont="1" applyFill="1" applyBorder="1" applyAlignment="1">
      <alignment horizontal="right" vertical="center"/>
    </xf>
    <xf numFmtId="0" fontId="43" fillId="15" borderId="23" xfId="0" applyFont="1" applyFill="1" applyBorder="1"/>
    <xf numFmtId="0" fontId="38" fillId="15" borderId="23" xfId="0" applyFont="1" applyFill="1" applyBorder="1" applyAlignment="1">
      <alignment horizontal="right"/>
    </xf>
    <xf numFmtId="0" fontId="71" fillId="15" borderId="23" xfId="0" applyFont="1" applyFill="1" applyBorder="1" applyAlignment="1">
      <alignment vertical="center"/>
    </xf>
    <xf numFmtId="0" fontId="39" fillId="15" borderId="23" xfId="0" applyFont="1" applyFill="1" applyBorder="1"/>
    <xf numFmtId="4" fontId="82" fillId="20" borderId="30" xfId="0" applyNumberFormat="1" applyFont="1" applyFill="1" applyBorder="1" applyAlignment="1">
      <alignment horizontal="center" vertical="center"/>
    </xf>
    <xf numFmtId="4" fontId="63" fillId="0" borderId="30" xfId="0" applyNumberFormat="1" applyFont="1" applyBorder="1" applyAlignment="1">
      <alignment horizontal="center" vertical="center"/>
    </xf>
    <xf numFmtId="0" fontId="43" fillId="15" borderId="23" xfId="0" applyFont="1" applyFill="1" applyBorder="1" applyAlignment="1">
      <alignment vertical="center"/>
    </xf>
    <xf numFmtId="2" fontId="43" fillId="0" borderId="23" xfId="0" applyNumberFormat="1" applyFont="1" applyBorder="1" applyAlignment="1">
      <alignment horizontal="center" vertical="center"/>
    </xf>
    <xf numFmtId="0" fontId="43" fillId="15" borderId="31" xfId="0" applyFont="1" applyFill="1" applyBorder="1" applyAlignment="1">
      <alignment vertical="center"/>
    </xf>
    <xf numFmtId="2" fontId="39" fillId="14" borderId="29" xfId="0" applyNumberFormat="1" applyFont="1" applyFill="1" applyBorder="1" applyAlignment="1">
      <alignment horizontal="center" vertical="center"/>
    </xf>
    <xf numFmtId="0" fontId="80" fillId="17" borderId="29" xfId="0" applyFont="1" applyFill="1" applyBorder="1" applyAlignment="1">
      <alignment horizontal="right" vertical="center"/>
    </xf>
    <xf numFmtId="2" fontId="43" fillId="4" borderId="30" xfId="0" applyNumberFormat="1" applyFont="1" applyFill="1" applyBorder="1" applyAlignment="1">
      <alignment horizontal="center" vertical="center"/>
    </xf>
    <xf numFmtId="164" fontId="43" fillId="4" borderId="30" xfId="0" applyNumberFormat="1" applyFont="1" applyFill="1" applyBorder="1" applyAlignment="1">
      <alignment horizontal="center" vertical="center"/>
    </xf>
    <xf numFmtId="0" fontId="76" fillId="15" borderId="0" xfId="0" applyFont="1" applyFill="1" applyAlignment="1">
      <alignment vertical="center"/>
    </xf>
    <xf numFmtId="0" fontId="43" fillId="2" borderId="30" xfId="0" applyFont="1" applyFill="1" applyBorder="1" applyAlignment="1" applyProtection="1">
      <alignment horizontal="center" vertical="center"/>
      <protection locked="0"/>
    </xf>
    <xf numFmtId="0" fontId="77" fillId="17" borderId="37" xfId="0" applyFont="1" applyFill="1" applyBorder="1" applyAlignment="1">
      <alignment horizontal="right" vertical="center"/>
    </xf>
    <xf numFmtId="0" fontId="81" fillId="17" borderId="35" xfId="0" applyFont="1" applyFill="1" applyBorder="1" applyAlignment="1">
      <alignment horizontal="right" vertical="center"/>
    </xf>
    <xf numFmtId="0" fontId="43" fillId="17" borderId="36" xfId="0" applyFont="1" applyFill="1" applyBorder="1" applyAlignment="1">
      <alignment vertical="center"/>
    </xf>
    <xf numFmtId="3" fontId="43" fillId="3" borderId="30" xfId="0" applyNumberFormat="1" applyFont="1" applyFill="1" applyBorder="1" applyAlignment="1">
      <alignment horizontal="center" vertical="center"/>
    </xf>
    <xf numFmtId="0" fontId="43" fillId="15" borderId="37" xfId="0" applyFont="1" applyFill="1" applyBorder="1"/>
    <xf numFmtId="0" fontId="39" fillId="0" borderId="30" xfId="0" applyFont="1" applyBorder="1"/>
    <xf numFmtId="0" fontId="43" fillId="20" borderId="30" xfId="0" applyFont="1" applyFill="1" applyBorder="1" applyAlignment="1">
      <alignment horizontal="center" vertical="center"/>
    </xf>
    <xf numFmtId="0" fontId="43" fillId="3" borderId="30" xfId="0" applyFont="1" applyFill="1" applyBorder="1" applyAlignment="1" applyProtection="1">
      <alignment horizontal="center" vertical="center"/>
      <protection locked="0"/>
    </xf>
    <xf numFmtId="0" fontId="79" fillId="15" borderId="0" xfId="0" applyFont="1" applyFill="1" applyAlignment="1">
      <alignment vertical="center"/>
    </xf>
    <xf numFmtId="0" fontId="45" fillId="15" borderId="35" xfId="0" applyFont="1" applyFill="1" applyBorder="1" applyAlignment="1">
      <alignment vertical="center"/>
    </xf>
    <xf numFmtId="4" fontId="45" fillId="14" borderId="30" xfId="0" applyNumberFormat="1" applyFont="1" applyFill="1" applyBorder="1" applyAlignment="1">
      <alignment horizontal="center" vertical="center"/>
    </xf>
    <xf numFmtId="0" fontId="45" fillId="26" borderId="23" xfId="0" applyFont="1" applyFill="1" applyBorder="1" applyAlignment="1">
      <alignment vertical="center"/>
    </xf>
    <xf numFmtId="0" fontId="45" fillId="13" borderId="23" xfId="0" applyFont="1" applyFill="1" applyBorder="1" applyAlignment="1">
      <alignment vertical="center"/>
    </xf>
    <xf numFmtId="0" fontId="141" fillId="15" borderId="0" xfId="0" applyFont="1" applyFill="1" applyAlignment="1">
      <alignment horizontal="left" vertical="center"/>
    </xf>
    <xf numFmtId="0" fontId="51" fillId="15" borderId="0" xfId="0" applyFont="1" applyFill="1" applyAlignment="1">
      <alignment vertical="center"/>
    </xf>
    <xf numFmtId="0" fontId="79" fillId="15" borderId="0" xfId="0" applyFont="1" applyFill="1" applyAlignment="1">
      <alignment horizontal="left" vertical="center"/>
    </xf>
    <xf numFmtId="0" fontId="70" fillId="16" borderId="37" xfId="0" applyFont="1" applyFill="1" applyBorder="1" applyAlignment="1">
      <alignment horizontal="left" vertical="center"/>
    </xf>
    <xf numFmtId="0" fontId="71" fillId="16" borderId="35" xfId="0" applyFont="1" applyFill="1" applyBorder="1" applyAlignment="1">
      <alignment vertical="center"/>
    </xf>
    <xf numFmtId="0" fontId="45" fillId="16" borderId="36" xfId="0" applyFont="1" applyFill="1" applyBorder="1"/>
    <xf numFmtId="0" fontId="45" fillId="0" borderId="30" xfId="0" applyFont="1" applyBorder="1" applyAlignment="1">
      <alignment horizontal="right" vertical="center"/>
    </xf>
    <xf numFmtId="0" fontId="57" fillId="17" borderId="36" xfId="0" applyFont="1" applyFill="1" applyBorder="1" applyAlignment="1">
      <alignment vertical="center"/>
    </xf>
    <xf numFmtId="0" fontId="71" fillId="16" borderId="36" xfId="0" applyFont="1" applyFill="1" applyBorder="1" applyAlignment="1">
      <alignment vertical="center"/>
    </xf>
    <xf numFmtId="0" fontId="76" fillId="17" borderId="31" xfId="0" applyFont="1" applyFill="1" applyBorder="1" applyAlignment="1">
      <alignment vertical="center"/>
    </xf>
    <xf numFmtId="0" fontId="81" fillId="17" borderId="29" xfId="0" applyFont="1" applyFill="1" applyBorder="1" applyAlignment="1">
      <alignment horizontal="right" vertical="center"/>
    </xf>
    <xf numFmtId="0" fontId="89" fillId="15" borderId="0" xfId="0" applyFont="1" applyFill="1" applyAlignment="1">
      <alignment vertical="center"/>
    </xf>
    <xf numFmtId="0" fontId="100" fillId="15" borderId="0" xfId="0" applyFont="1" applyFill="1" applyAlignment="1">
      <alignment vertical="center"/>
    </xf>
    <xf numFmtId="0" fontId="93" fillId="17" borderId="29" xfId="0" applyFont="1" applyFill="1" applyBorder="1" applyAlignment="1">
      <alignment horizontal="left" vertical="center"/>
    </xf>
    <xf numFmtId="0" fontId="57" fillId="17" borderId="31" xfId="0" applyFont="1" applyFill="1" applyBorder="1" applyAlignment="1">
      <alignment horizontal="left" vertical="center"/>
    </xf>
    <xf numFmtId="0" fontId="57" fillId="17" borderId="29" xfId="0" applyFont="1" applyFill="1" applyBorder="1" applyAlignment="1">
      <alignment horizontal="left" vertical="center"/>
    </xf>
    <xf numFmtId="0" fontId="23" fillId="17" borderId="30" xfId="0" applyFont="1" applyFill="1" applyBorder="1" applyAlignment="1">
      <alignment vertical="center"/>
    </xf>
    <xf numFmtId="0" fontId="55" fillId="0" borderId="30" xfId="0" applyFont="1" applyFill="1" applyBorder="1" applyAlignment="1">
      <alignment horizontal="left" vertical="center"/>
    </xf>
    <xf numFmtId="0" fontId="100" fillId="17" borderId="31" xfId="0" applyFont="1" applyFill="1" applyBorder="1" applyAlignment="1">
      <alignment vertical="center"/>
    </xf>
    <xf numFmtId="0" fontId="90" fillId="15" borderId="0" xfId="0" applyFont="1" applyFill="1" applyAlignment="1">
      <alignment vertical="center"/>
    </xf>
    <xf numFmtId="0" fontId="90" fillId="15" borderId="0" xfId="0" applyFont="1" applyFill="1" applyAlignment="1">
      <alignment horizontal="right" vertical="center"/>
    </xf>
    <xf numFmtId="0" fontId="40" fillId="15" borderId="0" xfId="0" applyFont="1" applyFill="1" applyAlignment="1">
      <alignment horizontal="right" vertical="center"/>
    </xf>
    <xf numFmtId="0" fontId="91" fillId="15" borderId="0" xfId="0" applyFont="1" applyFill="1" applyAlignment="1">
      <alignment vertical="center"/>
    </xf>
    <xf numFmtId="0" fontId="34" fillId="15" borderId="23" xfId="0" applyFont="1" applyFill="1" applyBorder="1" applyAlignment="1">
      <alignment vertical="center"/>
    </xf>
    <xf numFmtId="0" fontId="23" fillId="0" borderId="23" xfId="0" applyFont="1" applyBorder="1" applyAlignment="1">
      <alignment vertical="center"/>
    </xf>
    <xf numFmtId="0" fontId="57" fillId="17" borderId="40" xfId="0" applyFont="1" applyFill="1" applyBorder="1" applyAlignment="1">
      <alignment horizontal="left" vertical="center"/>
    </xf>
    <xf numFmtId="0" fontId="36" fillId="15" borderId="0" xfId="0" applyFont="1" applyFill="1" applyAlignment="1">
      <alignment vertical="center"/>
    </xf>
    <xf numFmtId="0" fontId="23" fillId="15" borderId="23" xfId="0" applyFont="1" applyFill="1" applyBorder="1" applyAlignment="1">
      <alignment vertical="center"/>
    </xf>
    <xf numFmtId="0" fontId="23" fillId="15" borderId="0" xfId="0" applyFont="1" applyFill="1" applyAlignment="1">
      <alignment vertical="center"/>
    </xf>
    <xf numFmtId="0" fontId="23" fillId="15" borderId="0" xfId="0" applyFont="1" applyFill="1" applyAlignment="1">
      <alignment horizontal="center" vertical="center"/>
    </xf>
    <xf numFmtId="164" fontId="45" fillId="42" borderId="30" xfId="0" applyNumberFormat="1" applyFont="1" applyFill="1" applyBorder="1" applyAlignment="1" applyProtection="1">
      <alignment horizontal="center" vertical="center"/>
      <protection locked="0"/>
    </xf>
    <xf numFmtId="0" fontId="34" fillId="44" borderId="5" xfId="0" applyFont="1" applyFill="1" applyBorder="1" applyAlignment="1">
      <alignment vertical="center"/>
    </xf>
    <xf numFmtId="0" fontId="104" fillId="15" borderId="0" xfId="0" applyFont="1" applyFill="1"/>
    <xf numFmtId="0" fontId="37" fillId="17" borderId="29" xfId="0" applyFont="1" applyFill="1" applyBorder="1" applyAlignment="1">
      <alignment horizontal="center" vertical="center"/>
    </xf>
    <xf numFmtId="0" fontId="44" fillId="17" borderId="31" xfId="0" applyFont="1" applyFill="1" applyBorder="1" applyAlignment="1">
      <alignment horizontal="center" vertical="center"/>
    </xf>
    <xf numFmtId="0" fontId="43" fillId="0" borderId="31" xfId="0" applyFont="1" applyFill="1" applyBorder="1" applyAlignment="1">
      <alignment horizontal="center" vertical="center"/>
    </xf>
    <xf numFmtId="4" fontId="55" fillId="0" borderId="30" xfId="0" applyNumberFormat="1" applyFont="1" applyFill="1" applyBorder="1" applyAlignment="1">
      <alignment horizontal="center" vertical="center"/>
    </xf>
    <xf numFmtId="0" fontId="43" fillId="17" borderId="30" xfId="0" applyFont="1" applyFill="1" applyBorder="1" applyAlignment="1">
      <alignment vertical="center"/>
    </xf>
    <xf numFmtId="4" fontId="37" fillId="17" borderId="30" xfId="0" applyNumberFormat="1" applyFont="1" applyFill="1" applyBorder="1" applyAlignment="1">
      <alignment horizontal="center" vertical="center"/>
    </xf>
    <xf numFmtId="4" fontId="55" fillId="0" borderId="30" xfId="0" applyNumberFormat="1" applyFont="1" applyBorder="1" applyAlignment="1">
      <alignment horizontal="center" vertical="center"/>
    </xf>
    <xf numFmtId="0" fontId="43" fillId="17" borderId="29" xfId="0" applyFont="1" applyFill="1" applyBorder="1" applyAlignment="1">
      <alignment horizontal="center" vertical="center"/>
    </xf>
    <xf numFmtId="165" fontId="43" fillId="17" borderId="30" xfId="0" applyNumberFormat="1" applyFont="1" applyFill="1" applyBorder="1" applyAlignment="1">
      <alignment horizontal="center" vertical="center"/>
    </xf>
    <xf numFmtId="0" fontId="55" fillId="0" borderId="29" xfId="0" applyFont="1" applyFill="1" applyBorder="1" applyAlignment="1">
      <alignment vertical="center"/>
    </xf>
    <xf numFmtId="0" fontId="43" fillId="17" borderId="31" xfId="0" applyFont="1" applyFill="1" applyBorder="1" applyAlignment="1">
      <alignment vertical="center"/>
    </xf>
    <xf numFmtId="0" fontId="37" fillId="17" borderId="29" xfId="0" applyFont="1" applyFill="1" applyBorder="1" applyAlignment="1">
      <alignment horizontal="left" vertical="center"/>
    </xf>
    <xf numFmtId="0" fontId="44" fillId="17" borderId="29" xfId="0" applyFont="1" applyFill="1" applyBorder="1" applyAlignment="1">
      <alignment horizontal="left" vertical="center"/>
    </xf>
    <xf numFmtId="0" fontId="57" fillId="17" borderId="28" xfId="0" applyFont="1" applyFill="1" applyBorder="1" applyAlignment="1">
      <alignment horizontal="center" vertical="center"/>
    </xf>
    <xf numFmtId="4" fontId="45" fillId="17" borderId="30" xfId="0" applyNumberFormat="1" applyFont="1" applyFill="1" applyBorder="1" applyAlignment="1">
      <alignment horizontal="center" vertical="center"/>
    </xf>
    <xf numFmtId="2" fontId="45" fillId="17" borderId="30" xfId="0" applyNumberFormat="1" applyFont="1" applyFill="1" applyBorder="1" applyAlignment="1">
      <alignment horizontal="center" vertical="center"/>
    </xf>
    <xf numFmtId="0" fontId="45" fillId="17" borderId="30" xfId="0" applyFont="1" applyFill="1" applyBorder="1" applyAlignment="1">
      <alignment horizontal="center" vertical="center"/>
    </xf>
    <xf numFmtId="0" fontId="37" fillId="17" borderId="30" xfId="0" applyFont="1" applyFill="1" applyBorder="1" applyAlignment="1">
      <alignment horizontal="left" vertical="center"/>
    </xf>
    <xf numFmtId="0" fontId="44" fillId="17" borderId="30" xfId="0" applyFont="1" applyFill="1" applyBorder="1" applyAlignment="1">
      <alignment horizontal="left" vertical="center"/>
    </xf>
    <xf numFmtId="0" fontId="7" fillId="15" borderId="0" xfId="0" applyFont="1" applyFill="1" applyAlignment="1">
      <alignment horizontal="center"/>
    </xf>
    <xf numFmtId="0" fontId="19" fillId="15" borderId="0" xfId="0" applyFont="1" applyFill="1"/>
    <xf numFmtId="4" fontId="0" fillId="15" borderId="0" xfId="0" applyNumberFormat="1" applyFont="1" applyFill="1" applyAlignment="1"/>
    <xf numFmtId="0" fontId="55" fillId="0" borderId="39" xfId="0" applyFont="1" applyBorder="1" applyAlignment="1">
      <alignment vertical="center"/>
    </xf>
    <xf numFmtId="0" fontId="45" fillId="0" borderId="39" xfId="0" applyFont="1" applyBorder="1" applyAlignment="1">
      <alignment vertical="center"/>
    </xf>
    <xf numFmtId="165" fontId="45" fillId="20" borderId="39" xfId="0" applyNumberFormat="1" applyFont="1" applyFill="1" applyBorder="1" applyAlignment="1">
      <alignment horizontal="center" vertical="center"/>
    </xf>
    <xf numFmtId="4" fontId="45" fillId="0" borderId="39" xfId="0" applyNumberFormat="1" applyFont="1" applyBorder="1" applyAlignment="1">
      <alignment horizontal="center" vertical="center"/>
    </xf>
    <xf numFmtId="4" fontId="45" fillId="15" borderId="23" xfId="0" applyNumberFormat="1" applyFont="1" applyFill="1" applyBorder="1" applyAlignment="1">
      <alignment horizontal="center" vertical="center"/>
    </xf>
    <xf numFmtId="0" fontId="7" fillId="15" borderId="23" xfId="0" applyFont="1" applyFill="1" applyBorder="1" applyAlignment="1">
      <alignment vertical="center"/>
    </xf>
    <xf numFmtId="0" fontId="45" fillId="15" borderId="36" xfId="0" applyFont="1" applyFill="1" applyBorder="1" applyAlignment="1">
      <alignment vertical="center"/>
    </xf>
    <xf numFmtId="0" fontId="55" fillId="0" borderId="36" xfId="0" applyFont="1" applyBorder="1" applyAlignment="1">
      <alignment horizontal="center" vertical="center"/>
    </xf>
    <xf numFmtId="0" fontId="46" fillId="17" borderId="35" xfId="0" applyFont="1" applyFill="1" applyBorder="1" applyAlignment="1">
      <alignment vertical="center"/>
    </xf>
    <xf numFmtId="0" fontId="0" fillId="15" borderId="23" xfId="0" applyFont="1" applyFill="1" applyBorder="1" applyAlignment="1"/>
    <xf numFmtId="0" fontId="45" fillId="0" borderId="39" xfId="0" applyFont="1" applyBorder="1" applyAlignment="1">
      <alignment horizontal="center" vertical="center"/>
    </xf>
    <xf numFmtId="0" fontId="45" fillId="0" borderId="37" xfId="0" applyFont="1" applyBorder="1" applyAlignment="1">
      <alignment horizontal="center" vertical="center"/>
    </xf>
    <xf numFmtId="0" fontId="44" fillId="17" borderId="39" xfId="0" applyFont="1" applyFill="1" applyBorder="1" applyAlignment="1">
      <alignment vertical="center"/>
    </xf>
    <xf numFmtId="0" fontId="55" fillId="0" borderId="33" xfId="0" applyFont="1" applyBorder="1" applyAlignment="1">
      <alignment horizontal="center" vertical="center"/>
    </xf>
    <xf numFmtId="0" fontId="55" fillId="0" borderId="34" xfId="0" applyFont="1" applyBorder="1" applyAlignment="1">
      <alignment vertical="center"/>
    </xf>
    <xf numFmtId="165" fontId="45" fillId="20" borderId="34" xfId="0" applyNumberFormat="1" applyFont="1" applyFill="1" applyBorder="1" applyAlignment="1">
      <alignment horizontal="center" vertical="center"/>
    </xf>
    <xf numFmtId="0" fontId="45" fillId="0" borderId="34" xfId="0" applyFont="1" applyBorder="1" applyAlignment="1">
      <alignment vertical="center"/>
    </xf>
    <xf numFmtId="165" fontId="45" fillId="15" borderId="23" xfId="0" applyNumberFormat="1" applyFont="1" applyFill="1" applyBorder="1" applyAlignment="1">
      <alignment horizontal="center" vertical="center"/>
    </xf>
    <xf numFmtId="4" fontId="45" fillId="15" borderId="23" xfId="0" applyNumberFormat="1" applyFont="1" applyFill="1" applyBorder="1" applyAlignment="1">
      <alignment vertical="center"/>
    </xf>
    <xf numFmtId="0" fontId="55" fillId="0" borderId="44" xfId="0" applyFont="1" applyBorder="1" applyAlignment="1">
      <alignment vertical="center"/>
    </xf>
    <xf numFmtId="0" fontId="45" fillId="0" borderId="44" xfId="0" applyFont="1" applyBorder="1" applyAlignment="1">
      <alignment vertical="center"/>
    </xf>
    <xf numFmtId="0" fontId="55" fillId="0" borderId="23" xfId="0" applyFont="1" applyBorder="1" applyAlignment="1">
      <alignment vertical="center"/>
    </xf>
    <xf numFmtId="165" fontId="45" fillId="45" borderId="23" xfId="0" applyNumberFormat="1" applyFont="1" applyFill="1" applyBorder="1" applyAlignment="1">
      <alignment horizontal="center" vertical="center"/>
    </xf>
    <xf numFmtId="0" fontId="45" fillId="17" borderId="31" xfId="0" applyFont="1" applyFill="1" applyBorder="1" applyAlignment="1">
      <alignment vertical="center"/>
    </xf>
    <xf numFmtId="165" fontId="45" fillId="20" borderId="29" xfId="0" applyNumberFormat="1" applyFont="1" applyFill="1" applyBorder="1" applyAlignment="1">
      <alignment horizontal="center" vertical="center"/>
    </xf>
    <xf numFmtId="0" fontId="46" fillId="17" borderId="39" xfId="0" applyFont="1" applyFill="1" applyBorder="1" applyAlignment="1">
      <alignment horizontal="center" vertical="center"/>
    </xf>
    <xf numFmtId="0" fontId="5" fillId="0" borderId="0" xfId="0" applyFont="1" applyFill="1"/>
    <xf numFmtId="0" fontId="0" fillId="0" borderId="0" xfId="0" applyFont="1" applyFill="1" applyAlignment="1"/>
    <xf numFmtId="0" fontId="55" fillId="15" borderId="31" xfId="0" applyFont="1" applyFill="1" applyBorder="1" applyAlignment="1">
      <alignment vertical="center"/>
    </xf>
    <xf numFmtId="0" fontId="0" fillId="0" borderId="30" xfId="0" applyFont="1" applyBorder="1" applyAlignment="1"/>
    <xf numFmtId="0" fontId="55" fillId="15" borderId="30" xfId="0" applyFont="1" applyFill="1" applyBorder="1" applyAlignment="1">
      <alignment vertical="center"/>
    </xf>
    <xf numFmtId="0" fontId="55" fillId="0" borderId="38" xfId="0" applyFont="1" applyBorder="1" applyAlignment="1">
      <alignment vertical="center"/>
    </xf>
    <xf numFmtId="0" fontId="0" fillId="15" borderId="29" xfId="0" applyFont="1" applyFill="1" applyBorder="1" applyAlignment="1"/>
    <xf numFmtId="0" fontId="0" fillId="15" borderId="41" xfId="0" applyFont="1" applyFill="1" applyBorder="1" applyAlignment="1"/>
    <xf numFmtId="0" fontId="67" fillId="17" borderId="28" xfId="0" applyFont="1" applyFill="1" applyBorder="1" applyAlignment="1">
      <alignment vertical="center"/>
    </xf>
    <xf numFmtId="0" fontId="67" fillId="17" borderId="28" xfId="0" applyFont="1" applyFill="1" applyBorder="1" applyAlignment="1">
      <alignment horizontal="center" vertical="center"/>
    </xf>
    <xf numFmtId="4" fontId="46" fillId="17" borderId="28" xfId="0" applyNumberFormat="1" applyFont="1" applyFill="1" applyBorder="1" applyAlignment="1">
      <alignment horizontal="center" vertical="center"/>
    </xf>
    <xf numFmtId="0" fontId="4" fillId="17" borderId="28" xfId="0" applyFont="1" applyFill="1" applyBorder="1" applyAlignment="1">
      <alignment vertical="center"/>
    </xf>
    <xf numFmtId="0" fontId="45" fillId="17" borderId="29" xfId="0" applyFont="1" applyFill="1" applyBorder="1" applyAlignment="1">
      <alignment vertical="center"/>
    </xf>
    <xf numFmtId="0" fontId="67" fillId="17" borderId="37" xfId="0" applyFont="1" applyFill="1" applyBorder="1" applyAlignment="1">
      <alignment vertical="center"/>
    </xf>
    <xf numFmtId="0" fontId="67" fillId="17" borderId="35" xfId="0" applyFont="1" applyFill="1" applyBorder="1" applyAlignment="1">
      <alignment vertical="center"/>
    </xf>
    <xf numFmtId="0" fontId="67" fillId="17" borderId="35" xfId="0" applyFont="1" applyFill="1" applyBorder="1" applyAlignment="1">
      <alignment horizontal="center" vertical="center"/>
    </xf>
    <xf numFmtId="4" fontId="46" fillId="17" borderId="35" xfId="0" applyNumberFormat="1" applyFont="1" applyFill="1" applyBorder="1" applyAlignment="1">
      <alignment horizontal="center" vertical="center"/>
    </xf>
    <xf numFmtId="0" fontId="4" fillId="17" borderId="35" xfId="0" applyFont="1" applyFill="1" applyBorder="1" applyAlignment="1">
      <alignment vertical="center"/>
    </xf>
    <xf numFmtId="0" fontId="45" fillId="17" borderId="36" xfId="0" applyFont="1" applyFill="1" applyBorder="1" applyAlignment="1">
      <alignment vertical="center"/>
    </xf>
    <xf numFmtId="0" fontId="55" fillId="0" borderId="34" xfId="0" applyFont="1" applyBorder="1" applyAlignment="1">
      <alignment horizontal="center" vertical="center"/>
    </xf>
    <xf numFmtId="0" fontId="55" fillId="0" borderId="40" xfId="0" applyFont="1" applyBorder="1" applyAlignment="1">
      <alignment vertical="center"/>
    </xf>
    <xf numFmtId="0" fontId="0" fillId="15" borderId="27" xfId="0" applyFont="1" applyFill="1" applyBorder="1" applyAlignment="1"/>
    <xf numFmtId="0" fontId="55" fillId="15" borderId="27" xfId="0" applyFont="1" applyFill="1" applyBorder="1" applyAlignment="1">
      <alignment vertical="center"/>
    </xf>
    <xf numFmtId="0" fontId="0" fillId="15" borderId="33" xfId="0" applyFont="1" applyFill="1" applyBorder="1" applyAlignment="1"/>
    <xf numFmtId="0" fontId="45" fillId="0" borderId="34" xfId="0" applyFont="1" applyBorder="1" applyAlignment="1">
      <alignment horizontal="center" vertical="center"/>
    </xf>
    <xf numFmtId="0" fontId="45" fillId="15" borderId="37" xfId="0" applyFont="1" applyFill="1" applyBorder="1" applyAlignment="1">
      <alignment vertical="center"/>
    </xf>
    <xf numFmtId="0" fontId="45" fillId="0" borderId="38" xfId="0" applyFont="1" applyBorder="1" applyAlignment="1">
      <alignment horizontal="center" vertical="center"/>
    </xf>
    <xf numFmtId="0" fontId="45" fillId="15" borderId="41" xfId="0" applyFont="1" applyFill="1" applyBorder="1" applyAlignment="1">
      <alignment vertical="center"/>
    </xf>
    <xf numFmtId="0" fontId="46" fillId="17" borderId="31" xfId="0" applyFont="1" applyFill="1" applyBorder="1" applyAlignment="1">
      <alignment vertical="center"/>
    </xf>
    <xf numFmtId="165" fontId="45" fillId="0" borderId="34" xfId="0" applyNumberFormat="1" applyFont="1" applyBorder="1" applyAlignment="1">
      <alignment horizontal="center" vertical="center"/>
    </xf>
    <xf numFmtId="0" fontId="55" fillId="0" borderId="33" xfId="0" applyFont="1" applyBorder="1" applyAlignment="1">
      <alignment vertical="center"/>
    </xf>
    <xf numFmtId="0" fontId="46" fillId="17" borderId="37" xfId="0" applyFont="1" applyFill="1" applyBorder="1" applyAlignment="1">
      <alignment vertical="center"/>
    </xf>
    <xf numFmtId="0" fontId="55" fillId="0" borderId="27" xfId="0" applyFont="1" applyBorder="1" applyAlignment="1">
      <alignment vertical="center"/>
    </xf>
    <xf numFmtId="165" fontId="45" fillId="20" borderId="33" xfId="0" applyNumberFormat="1" applyFont="1" applyFill="1" applyBorder="1" applyAlignment="1">
      <alignment horizontal="center" vertical="center"/>
    </xf>
    <xf numFmtId="0" fontId="46" fillId="17" borderId="35" xfId="0" applyFont="1" applyFill="1" applyBorder="1" applyAlignment="1">
      <alignment horizontal="center" vertical="center"/>
    </xf>
    <xf numFmtId="0" fontId="0" fillId="15" borderId="31" xfId="0" applyFont="1" applyFill="1" applyBorder="1" applyAlignment="1"/>
    <xf numFmtId="0" fontId="0" fillId="15" borderId="40" xfId="0" applyFont="1" applyFill="1" applyBorder="1" applyAlignment="1"/>
    <xf numFmtId="0" fontId="55" fillId="0" borderId="37" xfId="0" applyFont="1" applyBorder="1" applyAlignment="1">
      <alignment vertical="center"/>
    </xf>
    <xf numFmtId="0" fontId="45" fillId="15" borderId="44" xfId="0" applyFont="1" applyFill="1" applyBorder="1" applyAlignment="1">
      <alignment vertical="center"/>
    </xf>
    <xf numFmtId="0" fontId="55" fillId="15" borderId="29" xfId="0" applyFont="1" applyFill="1" applyBorder="1" applyAlignment="1">
      <alignment horizontal="center" vertical="center"/>
    </xf>
    <xf numFmtId="0" fontId="55" fillId="15" borderId="36" xfId="0" applyFont="1" applyFill="1" applyBorder="1" applyAlignment="1">
      <alignment horizontal="center" vertical="center"/>
    </xf>
    <xf numFmtId="0" fontId="46" fillId="17" borderId="38" xfId="0" applyFont="1" applyFill="1" applyBorder="1" applyAlignment="1">
      <alignment vertical="center"/>
    </xf>
    <xf numFmtId="0" fontId="55" fillId="15" borderId="35" xfId="0" applyFont="1" applyFill="1" applyBorder="1" applyAlignment="1">
      <alignment vertical="center"/>
    </xf>
    <xf numFmtId="0" fontId="55" fillId="15" borderId="37" xfId="0" applyFont="1" applyFill="1" applyBorder="1" applyAlignment="1">
      <alignment vertical="center"/>
    </xf>
    <xf numFmtId="0" fontId="96" fillId="17" borderId="34" xfId="0" applyFont="1" applyFill="1" applyBorder="1" applyAlignment="1">
      <alignment vertical="center"/>
    </xf>
    <xf numFmtId="165" fontId="44" fillId="17" borderId="29" xfId="0" applyNumberFormat="1" applyFont="1" applyFill="1" applyBorder="1" applyAlignment="1">
      <alignment horizontal="center" vertical="center"/>
    </xf>
    <xf numFmtId="0" fontId="55" fillId="0" borderId="37" xfId="0" applyFont="1" applyBorder="1" applyAlignment="1">
      <alignment horizontal="center" vertical="center"/>
    </xf>
    <xf numFmtId="0" fontId="55" fillId="0" borderId="40" xfId="0" applyFont="1" applyBorder="1" applyAlignment="1">
      <alignment horizontal="center" vertical="center"/>
    </xf>
    <xf numFmtId="0" fontId="55" fillId="15" borderId="40" xfId="0" applyFont="1" applyFill="1" applyBorder="1" applyAlignment="1">
      <alignment vertical="center"/>
    </xf>
    <xf numFmtId="0" fontId="45" fillId="17" borderId="28" xfId="0" applyFont="1" applyFill="1" applyBorder="1" applyAlignment="1">
      <alignment vertical="center"/>
    </xf>
    <xf numFmtId="0" fontId="45" fillId="15" borderId="40" xfId="0" applyFont="1" applyFill="1" applyBorder="1" applyAlignment="1">
      <alignment vertical="center"/>
    </xf>
    <xf numFmtId="0" fontId="68" fillId="17" borderId="28" xfId="0" applyFont="1" applyFill="1" applyBorder="1" applyAlignment="1">
      <alignment vertical="center"/>
    </xf>
    <xf numFmtId="0" fontId="68" fillId="17" borderId="29" xfId="0" applyFont="1" applyFill="1" applyBorder="1" applyAlignment="1">
      <alignment vertical="center"/>
    </xf>
    <xf numFmtId="0" fontId="111" fillId="17" borderId="29" xfId="0" applyFont="1" applyFill="1" applyBorder="1" applyAlignment="1">
      <alignment vertical="center"/>
    </xf>
    <xf numFmtId="0" fontId="55" fillId="0" borderId="28" xfId="0" applyFont="1" applyBorder="1" applyAlignment="1">
      <alignment horizontal="center" vertical="center"/>
    </xf>
    <xf numFmtId="0" fontId="55" fillId="15" borderId="29" xfId="0" applyFont="1" applyFill="1" applyBorder="1" applyAlignment="1">
      <alignment vertical="center"/>
    </xf>
    <xf numFmtId="4" fontId="45" fillId="0" borderId="34" xfId="0" applyNumberFormat="1" applyFont="1" applyBorder="1" applyAlignment="1">
      <alignment horizontal="center" vertical="center"/>
    </xf>
    <xf numFmtId="0" fontId="46" fillId="17" borderId="28" xfId="0" applyFont="1" applyFill="1" applyBorder="1" applyAlignment="1">
      <alignment horizontal="left" vertical="center"/>
    </xf>
    <xf numFmtId="0" fontId="4" fillId="17" borderId="29" xfId="0" applyFont="1" applyFill="1" applyBorder="1" applyAlignment="1">
      <alignment vertical="center"/>
    </xf>
    <xf numFmtId="0" fontId="55" fillId="15" borderId="34" xfId="0" applyFont="1" applyFill="1" applyBorder="1" applyAlignment="1">
      <alignment vertical="center"/>
    </xf>
    <xf numFmtId="0" fontId="46" fillId="17" borderId="31" xfId="0" applyFont="1" applyFill="1" applyBorder="1" applyAlignment="1">
      <alignment horizontal="left" vertical="center"/>
    </xf>
    <xf numFmtId="0" fontId="46" fillId="17" borderId="29" xfId="0" applyFont="1" applyFill="1" applyBorder="1" applyAlignment="1">
      <alignment horizontal="left" vertical="center"/>
    </xf>
    <xf numFmtId="0" fontId="46" fillId="17" borderId="44" xfId="0" applyFont="1" applyFill="1" applyBorder="1" applyAlignment="1">
      <alignment horizontal="center" vertical="center"/>
    </xf>
    <xf numFmtId="0" fontId="45" fillId="0" borderId="40" xfId="0" applyFont="1" applyBorder="1" applyAlignment="1">
      <alignment horizontal="center" vertical="center"/>
    </xf>
    <xf numFmtId="0" fontId="45" fillId="15" borderId="37" xfId="0" applyFont="1" applyFill="1" applyBorder="1" applyAlignment="1">
      <alignment horizontal="center" vertical="center"/>
    </xf>
    <xf numFmtId="0" fontId="58" fillId="17" borderId="35" xfId="0" applyFont="1" applyFill="1" applyBorder="1" applyAlignment="1">
      <alignment vertical="center"/>
    </xf>
    <xf numFmtId="0" fontId="58" fillId="17" borderId="36" xfId="0" applyFont="1" applyFill="1" applyBorder="1" applyAlignment="1">
      <alignment horizontal="center" vertical="center"/>
    </xf>
    <xf numFmtId="0" fontId="7" fillId="0" borderId="30" xfId="0" applyFont="1" applyBorder="1" applyAlignment="1">
      <alignment horizontal="center" vertical="center"/>
    </xf>
    <xf numFmtId="0" fontId="7" fillId="0" borderId="34" xfId="0" applyFont="1" applyBorder="1" applyAlignment="1">
      <alignment horizontal="center" vertical="center"/>
    </xf>
    <xf numFmtId="0" fontId="7" fillId="0" borderId="39" xfId="0" applyFont="1" applyBorder="1" applyAlignment="1">
      <alignment horizontal="center" vertical="center"/>
    </xf>
    <xf numFmtId="0" fontId="0" fillId="15" borderId="34" xfId="0" applyFont="1" applyFill="1" applyBorder="1" applyAlignment="1">
      <alignment horizontal="center"/>
    </xf>
    <xf numFmtId="0" fontId="0" fillId="15" borderId="30" xfId="0" applyFont="1" applyFill="1" applyBorder="1" applyAlignment="1">
      <alignment horizontal="center"/>
    </xf>
    <xf numFmtId="0" fontId="0" fillId="15" borderId="29" xfId="0" applyFont="1" applyFill="1" applyBorder="1" applyAlignment="1">
      <alignment horizontal="center" vertical="center"/>
    </xf>
    <xf numFmtId="0" fontId="0" fillId="15" borderId="31" xfId="0" applyFont="1" applyFill="1" applyBorder="1" applyAlignment="1">
      <alignment horizontal="center"/>
    </xf>
    <xf numFmtId="0" fontId="22" fillId="0" borderId="0" xfId="0" applyFont="1" applyAlignment="1">
      <alignment horizontal="center" vertical="center"/>
    </xf>
    <xf numFmtId="0" fontId="22" fillId="15" borderId="0" xfId="0" applyFont="1" applyFill="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168" fontId="1" fillId="0" borderId="0" xfId="0" applyNumberFormat="1" applyFont="1" applyAlignment="1">
      <alignment horizontal="center" vertical="center"/>
    </xf>
    <xf numFmtId="0" fontId="23" fillId="0" borderId="0" xfId="0" applyFont="1" applyAlignment="1"/>
    <xf numFmtId="0" fontId="39" fillId="0" borderId="0" xfId="0" applyFont="1" applyAlignment="1">
      <alignment horizontal="right" vertical="center"/>
    </xf>
    <xf numFmtId="0" fontId="37" fillId="15" borderId="23" xfId="0" applyFont="1" applyFill="1" applyBorder="1" applyAlignment="1">
      <alignment vertical="center"/>
    </xf>
    <xf numFmtId="0" fontId="57" fillId="31" borderId="30" xfId="0" applyFont="1" applyFill="1" applyBorder="1" applyAlignment="1">
      <alignment horizontal="center" vertical="center"/>
    </xf>
    <xf numFmtId="0" fontId="57" fillId="46" borderId="30" xfId="0" applyFont="1" applyFill="1" applyBorder="1" applyAlignment="1">
      <alignment horizontal="center" vertical="center" wrapText="1"/>
    </xf>
    <xf numFmtId="0" fontId="1" fillId="0" borderId="23" xfId="0" applyFont="1" applyBorder="1" applyAlignment="1">
      <alignment vertical="center"/>
    </xf>
    <xf numFmtId="0" fontId="39" fillId="0" borderId="39" xfId="0" applyFont="1" applyBorder="1" applyAlignment="1">
      <alignment horizontal="center" vertical="center"/>
    </xf>
    <xf numFmtId="1" fontId="39" fillId="0" borderId="30" xfId="0" applyNumberFormat="1" applyFont="1" applyBorder="1" applyAlignment="1">
      <alignment horizontal="center" vertical="center"/>
    </xf>
    <xf numFmtId="0" fontId="145" fillId="0" borderId="30" xfId="0" applyFont="1" applyBorder="1" applyAlignment="1">
      <alignment horizontal="center" vertical="center"/>
    </xf>
    <xf numFmtId="164" fontId="43" fillId="15" borderId="30" xfId="0" applyNumberFormat="1" applyFont="1" applyFill="1" applyBorder="1" applyAlignment="1">
      <alignment horizontal="center" vertical="center"/>
    </xf>
    <xf numFmtId="2" fontId="43" fillId="15" borderId="30" xfId="0" applyNumberFormat="1" applyFont="1" applyFill="1" applyBorder="1" applyAlignment="1">
      <alignment horizontal="center" vertical="center"/>
    </xf>
    <xf numFmtId="4" fontId="43" fillId="15" borderId="30" xfId="0" applyNumberFormat="1" applyFont="1" applyFill="1" applyBorder="1" applyAlignment="1">
      <alignment horizontal="center" vertical="center"/>
    </xf>
    <xf numFmtId="0" fontId="43" fillId="15" borderId="30" xfId="0" applyFont="1" applyFill="1" applyBorder="1" applyAlignment="1">
      <alignment horizontal="center" vertical="center"/>
    </xf>
    <xf numFmtId="0" fontId="43" fillId="0" borderId="30" xfId="0" applyFont="1" applyFill="1" applyBorder="1" applyAlignment="1">
      <alignment horizontal="center" vertical="center"/>
    </xf>
    <xf numFmtId="2" fontId="43" fillId="0" borderId="30" xfId="0" applyNumberFormat="1" applyFont="1" applyFill="1" applyBorder="1" applyAlignment="1">
      <alignment horizontal="center" vertical="center"/>
    </xf>
    <xf numFmtId="2" fontId="37" fillId="0" borderId="30" xfId="0" applyNumberFormat="1" applyFont="1" applyFill="1" applyBorder="1" applyAlignment="1">
      <alignment horizontal="center" vertical="center"/>
    </xf>
    <xf numFmtId="0" fontId="37" fillId="0" borderId="30" xfId="0" applyFont="1" applyFill="1" applyBorder="1" applyAlignment="1">
      <alignment horizontal="center" vertical="center"/>
    </xf>
    <xf numFmtId="0" fontId="39" fillId="15" borderId="39" xfId="0" applyFont="1" applyFill="1" applyBorder="1" applyAlignment="1">
      <alignment vertical="center"/>
    </xf>
    <xf numFmtId="0" fontId="39" fillId="15" borderId="44" xfId="0" applyFont="1" applyFill="1" applyBorder="1" applyAlignment="1">
      <alignment vertical="center"/>
    </xf>
    <xf numFmtId="0" fontId="39" fillId="0" borderId="44" xfId="0" applyFont="1" applyBorder="1" applyAlignment="1">
      <alignment vertical="center"/>
    </xf>
    <xf numFmtId="0" fontId="92" fillId="15" borderId="23" xfId="0" applyFont="1" applyFill="1" applyBorder="1" applyAlignment="1">
      <alignment vertical="center"/>
    </xf>
    <xf numFmtId="3" fontId="59" fillId="0" borderId="39" xfId="0" applyNumberFormat="1" applyFont="1" applyBorder="1" applyAlignment="1">
      <alignment horizontal="center" vertical="center"/>
    </xf>
    <xf numFmtId="0" fontId="120" fillId="0" borderId="34" xfId="0" applyFont="1" applyBorder="1" applyAlignment="1">
      <alignment vertical="center" wrapText="1"/>
    </xf>
    <xf numFmtId="1" fontId="92" fillId="2" borderId="30" xfId="0" applyNumberFormat="1" applyFont="1" applyFill="1" applyBorder="1" applyAlignment="1" applyProtection="1">
      <alignment horizontal="center" vertical="center" wrapText="1"/>
      <protection locked="0"/>
    </xf>
    <xf numFmtId="0" fontId="92" fillId="0" borderId="44" xfId="0" applyFont="1" applyBorder="1" applyAlignment="1">
      <alignment vertical="center"/>
    </xf>
    <xf numFmtId="174" fontId="120" fillId="0" borderId="30" xfId="0" applyNumberFormat="1" applyFont="1" applyBorder="1" applyAlignment="1">
      <alignment horizontal="center" vertical="center" wrapText="1"/>
    </xf>
    <xf numFmtId="9" fontId="120" fillId="2" borderId="30" xfId="0" applyNumberFormat="1" applyFont="1" applyFill="1" applyBorder="1" applyAlignment="1" applyProtection="1">
      <alignment horizontal="center" vertical="center" wrapText="1"/>
      <protection locked="0"/>
    </xf>
    <xf numFmtId="164" fontId="39" fillId="0" borderId="30" xfId="0" applyNumberFormat="1" applyFont="1" applyBorder="1" applyAlignment="1">
      <alignment horizontal="center" vertical="center"/>
    </xf>
    <xf numFmtId="3" fontId="39" fillId="0" borderId="44" xfId="0" applyNumberFormat="1" applyFont="1" applyBorder="1" applyAlignment="1">
      <alignment horizontal="center" vertical="center"/>
    </xf>
    <xf numFmtId="166" fontId="39" fillId="0" borderId="30" xfId="0" applyNumberFormat="1" applyFont="1" applyFill="1" applyBorder="1" applyAlignment="1">
      <alignment horizontal="center" vertical="center"/>
    </xf>
    <xf numFmtId="0" fontId="120" fillId="0" borderId="30" xfId="0" applyFont="1" applyBorder="1" applyAlignment="1">
      <alignment vertical="center" wrapText="1"/>
    </xf>
    <xf numFmtId="174" fontId="120" fillId="0" borderId="34" xfId="0" applyNumberFormat="1" applyFont="1" applyBorder="1" applyAlignment="1">
      <alignment horizontal="center" vertical="center" wrapText="1"/>
    </xf>
    <xf numFmtId="0" fontId="39" fillId="15" borderId="28" xfId="0" applyFont="1" applyFill="1" applyBorder="1" applyAlignment="1">
      <alignment horizontal="center" vertical="center"/>
    </xf>
    <xf numFmtId="0" fontId="39" fillId="0" borderId="0" xfId="0" applyFont="1" applyFill="1" applyAlignment="1">
      <alignment vertical="center"/>
    </xf>
    <xf numFmtId="0" fontId="39" fillId="0" borderId="0" xfId="0" applyFont="1" applyFill="1" applyAlignment="1">
      <alignment horizontal="center" vertical="center"/>
    </xf>
    <xf numFmtId="1" fontId="39" fillId="0" borderId="23" xfId="0" applyNumberFormat="1" applyFont="1" applyBorder="1" applyAlignment="1">
      <alignment horizontal="center" vertical="center"/>
    </xf>
    <xf numFmtId="1" fontId="39" fillId="0" borderId="45" xfId="0" applyNumberFormat="1" applyFont="1" applyBorder="1" applyAlignment="1">
      <alignment horizontal="center" vertical="center"/>
    </xf>
    <xf numFmtId="1" fontId="39" fillId="0" borderId="46" xfId="0" applyNumberFormat="1" applyFont="1" applyBorder="1" applyAlignment="1">
      <alignment horizontal="center" vertical="center"/>
    </xf>
    <xf numFmtId="1" fontId="39" fillId="0" borderId="47" xfId="0" applyNumberFormat="1" applyFont="1" applyBorder="1" applyAlignment="1">
      <alignment horizontal="center" vertical="center"/>
    </xf>
    <xf numFmtId="0" fontId="39" fillId="15" borderId="23" xfId="0" applyFont="1" applyFill="1" applyBorder="1" applyAlignment="1">
      <alignment vertical="top"/>
    </xf>
    <xf numFmtId="0" fontId="39" fillId="15" borderId="0" xfId="0" applyFont="1" applyFill="1" applyAlignment="1">
      <alignment vertical="top"/>
    </xf>
    <xf numFmtId="0" fontId="39" fillId="0" borderId="0" xfId="0" applyFont="1" applyAlignment="1">
      <alignment vertical="top"/>
    </xf>
    <xf numFmtId="0" fontId="59" fillId="31" borderId="30" xfId="0" applyFont="1" applyFill="1" applyBorder="1" applyAlignment="1">
      <alignment horizontal="left" vertical="center"/>
    </xf>
    <xf numFmtId="0" fontId="55" fillId="0" borderId="0" xfId="0" applyFont="1" applyFill="1" applyAlignment="1">
      <alignment vertical="center"/>
    </xf>
    <xf numFmtId="0" fontId="36" fillId="0" borderId="0" xfId="0" applyFont="1" applyFill="1" applyAlignment="1">
      <alignment horizontal="left" vertical="center"/>
    </xf>
    <xf numFmtId="0" fontId="123" fillId="32" borderId="30" xfId="0" applyFont="1" applyFill="1" applyBorder="1" applyAlignment="1" applyProtection="1">
      <alignment horizontal="center" vertical="center"/>
      <protection locked="0"/>
    </xf>
    <xf numFmtId="0" fontId="43" fillId="0" borderId="30" xfId="0" applyFont="1" applyBorder="1" applyAlignment="1" applyProtection="1">
      <alignment horizontal="center" vertical="center"/>
      <protection locked="0"/>
    </xf>
    <xf numFmtId="0" fontId="123" fillId="32" borderId="30" xfId="0" applyFont="1" applyFill="1" applyBorder="1" applyAlignment="1" applyProtection="1">
      <alignment horizontal="center"/>
      <protection locked="0"/>
    </xf>
    <xf numFmtId="0" fontId="0" fillId="0" borderId="41" xfId="0" applyFont="1" applyBorder="1"/>
    <xf numFmtId="0" fontId="148" fillId="0" borderId="0" xfId="0" applyFont="1" applyFill="1" applyAlignment="1">
      <alignment vertical="center"/>
    </xf>
    <xf numFmtId="0" fontId="148" fillId="0" borderId="0" xfId="0" applyFont="1" applyFill="1" applyAlignment="1">
      <alignment horizontal="right" vertical="center"/>
    </xf>
    <xf numFmtId="0" fontId="115" fillId="0" borderId="0" xfId="0" applyFont="1" applyFill="1" applyAlignment="1">
      <alignment horizontal="center" vertical="center"/>
    </xf>
    <xf numFmtId="0" fontId="148" fillId="0" borderId="0" xfId="0" applyFont="1" applyFill="1" applyAlignment="1">
      <alignment horizontal="center" vertical="center"/>
    </xf>
    <xf numFmtId="0" fontId="129" fillId="0" borderId="30" xfId="0" applyFont="1" applyBorder="1" applyAlignment="1">
      <alignment horizontal="left" vertical="center"/>
    </xf>
    <xf numFmtId="0" fontId="46" fillId="15" borderId="44" xfId="0" applyFont="1" applyFill="1" applyBorder="1" applyAlignment="1">
      <alignment vertical="center"/>
    </xf>
    <xf numFmtId="0" fontId="2" fillId="0" borderId="0" xfId="0" applyFont="1" applyFill="1" applyAlignment="1">
      <alignment vertical="center"/>
    </xf>
    <xf numFmtId="0" fontId="0" fillId="0" borderId="23" xfId="0" applyFont="1" applyFill="1" applyBorder="1" applyAlignment="1">
      <alignment vertical="center"/>
    </xf>
    <xf numFmtId="0" fontId="46" fillId="0" borderId="23" xfId="0" applyFont="1" applyFill="1" applyBorder="1" applyAlignment="1">
      <alignment vertical="center"/>
    </xf>
    <xf numFmtId="0" fontId="131" fillId="15" borderId="44" xfId="0" applyFont="1" applyFill="1" applyBorder="1" applyAlignment="1">
      <alignment vertical="center"/>
    </xf>
    <xf numFmtId="0" fontId="131" fillId="15" borderId="44" xfId="0" applyFont="1" applyFill="1" applyBorder="1" applyAlignment="1">
      <alignment horizontal="center" vertical="center"/>
    </xf>
    <xf numFmtId="0" fontId="46" fillId="0" borderId="34" xfId="0" applyFont="1" applyBorder="1" applyAlignment="1">
      <alignment vertical="center"/>
    </xf>
    <xf numFmtId="0" fontId="131" fillId="0" borderId="30" xfId="0" applyFont="1" applyBorder="1" applyAlignment="1">
      <alignment horizontal="left" vertical="center"/>
    </xf>
    <xf numFmtId="0" fontId="132" fillId="0" borderId="30" xfId="0" applyFont="1" applyBorder="1" applyAlignment="1">
      <alignment horizontal="left" vertical="center"/>
    </xf>
    <xf numFmtId="0" fontId="34" fillId="15" borderId="44" xfId="0" applyFont="1" applyFill="1" applyBorder="1" applyAlignment="1">
      <alignment vertical="center"/>
    </xf>
    <xf numFmtId="0" fontId="34" fillId="15" borderId="44" xfId="0" applyFont="1" applyFill="1" applyBorder="1" applyAlignment="1">
      <alignment horizontal="center" vertical="center"/>
    </xf>
    <xf numFmtId="3" fontId="34" fillId="15" borderId="44" xfId="0" applyNumberFormat="1" applyFont="1" applyFill="1" applyBorder="1" applyAlignment="1">
      <alignment horizontal="center" vertical="center"/>
    </xf>
    <xf numFmtId="0" fontId="36" fillId="0" borderId="30" xfId="0" applyFont="1" applyBorder="1" applyAlignment="1">
      <alignment horizontal="left" vertical="center"/>
    </xf>
    <xf numFmtId="0" fontId="34" fillId="0" borderId="30" xfId="0" applyFont="1" applyBorder="1" applyAlignment="1">
      <alignment horizontal="left" vertical="center"/>
    </xf>
    <xf numFmtId="0" fontId="0" fillId="43" borderId="0" xfId="0" applyFont="1" applyFill="1" applyAlignment="1">
      <alignment vertical="center"/>
    </xf>
    <xf numFmtId="0" fontId="3" fillId="43" borderId="0" xfId="0" applyFont="1" applyFill="1" applyAlignment="1">
      <alignment vertical="center"/>
    </xf>
    <xf numFmtId="0" fontId="0" fillId="43" borderId="0" xfId="0" applyFont="1" applyFill="1" applyAlignment="1">
      <alignment horizontal="center" vertical="center"/>
    </xf>
    <xf numFmtId="0" fontId="2" fillId="43" borderId="0" xfId="0" applyFont="1" applyFill="1" applyAlignment="1">
      <alignment vertical="center"/>
    </xf>
    <xf numFmtId="0" fontId="34" fillId="15" borderId="23" xfId="0" applyFont="1" applyFill="1" applyBorder="1" applyAlignment="1">
      <alignment horizontal="center" vertical="center"/>
    </xf>
    <xf numFmtId="1" fontId="34" fillId="15" borderId="44" xfId="0" applyNumberFormat="1" applyFont="1" applyFill="1" applyBorder="1" applyAlignment="1">
      <alignment horizontal="center" vertical="center"/>
    </xf>
    <xf numFmtId="0" fontId="36" fillId="0" borderId="30" xfId="0" applyFont="1" applyBorder="1" applyAlignment="1">
      <alignment horizontal="right" vertical="center"/>
    </xf>
    <xf numFmtId="0" fontId="130" fillId="15" borderId="0" xfId="0" applyFont="1" applyFill="1" applyAlignment="1">
      <alignment vertical="center"/>
    </xf>
    <xf numFmtId="0" fontId="3" fillId="15" borderId="0" xfId="0" applyFont="1" applyFill="1"/>
    <xf numFmtId="0" fontId="34" fillId="15" borderId="44" xfId="0" applyFont="1" applyFill="1" applyBorder="1" applyAlignment="1"/>
    <xf numFmtId="164" fontId="39" fillId="0" borderId="23" xfId="0" applyNumberFormat="1" applyFont="1" applyFill="1" applyBorder="1" applyAlignment="1">
      <alignment horizontal="center" vertical="center"/>
    </xf>
    <xf numFmtId="3" fontId="39" fillId="0" borderId="23" xfId="0" applyNumberFormat="1" applyFont="1" applyFill="1" applyBorder="1" applyAlignment="1">
      <alignment horizontal="center" vertical="center"/>
    </xf>
    <xf numFmtId="1" fontId="39" fillId="0" borderId="0" xfId="0" applyNumberFormat="1" applyFont="1" applyFill="1" applyAlignment="1">
      <alignment horizontal="center" vertical="center"/>
    </xf>
    <xf numFmtId="0" fontId="39" fillId="0" borderId="0" xfId="0" applyFont="1" applyFill="1" applyAlignment="1"/>
    <xf numFmtId="3" fontId="39" fillId="0" borderId="0" xfId="0" applyNumberFormat="1" applyFont="1" applyFill="1" applyAlignment="1">
      <alignment horizontal="center" vertical="center"/>
    </xf>
    <xf numFmtId="0" fontId="45" fillId="15" borderId="23" xfId="0" applyFont="1" applyFill="1" applyBorder="1"/>
    <xf numFmtId="0" fontId="55" fillId="0" borderId="30" xfId="0" applyFont="1" applyBorder="1" applyAlignment="1">
      <alignment horizontal="left" vertical="center"/>
    </xf>
    <xf numFmtId="0" fontId="0" fillId="0" borderId="0" xfId="0" applyFont="1" applyAlignment="1"/>
    <xf numFmtId="4" fontId="45" fillId="0" borderId="30" xfId="0" applyNumberFormat="1" applyFont="1" applyFill="1" applyBorder="1" applyAlignment="1">
      <alignment horizontal="center" vertical="center"/>
    </xf>
    <xf numFmtId="164" fontId="45" fillId="0" borderId="30" xfId="0" applyNumberFormat="1" applyFont="1" applyFill="1" applyBorder="1" applyAlignment="1" applyProtection="1">
      <alignment horizontal="center" vertical="center"/>
      <protection locked="0"/>
    </xf>
    <xf numFmtId="164" fontId="46" fillId="0" borderId="30" xfId="0" applyNumberFormat="1" applyFont="1" applyFill="1" applyBorder="1" applyAlignment="1" applyProtection="1">
      <alignment horizontal="center" vertical="center"/>
      <protection locked="0"/>
    </xf>
    <xf numFmtId="0" fontId="34" fillId="48" borderId="5" xfId="0" applyFont="1" applyFill="1" applyBorder="1" applyAlignment="1">
      <alignment vertical="center"/>
    </xf>
    <xf numFmtId="9" fontId="43" fillId="0" borderId="28" xfId="0" applyNumberFormat="1" applyFont="1" applyBorder="1" applyAlignment="1">
      <alignment horizontal="center" vertical="center"/>
    </xf>
    <xf numFmtId="0" fontId="43" fillId="15" borderId="50" xfId="0" applyFont="1" applyFill="1" applyBorder="1" applyAlignment="1">
      <alignment vertical="center"/>
    </xf>
    <xf numFmtId="164" fontId="45" fillId="49" borderId="30" xfId="0" applyNumberFormat="1" applyFont="1" applyFill="1" applyBorder="1" applyAlignment="1" applyProtection="1">
      <alignment horizontal="center" vertical="center"/>
      <protection locked="0"/>
    </xf>
    <xf numFmtId="0" fontId="55" fillId="0" borderId="34" xfId="0" applyFont="1" applyBorder="1" applyAlignment="1">
      <alignment horizontal="right" vertical="center"/>
    </xf>
    <xf numFmtId="2" fontId="45" fillId="20" borderId="34" xfId="0" applyNumberFormat="1" applyFont="1" applyFill="1" applyBorder="1" applyAlignment="1">
      <alignment horizontal="center" vertical="center"/>
    </xf>
    <xf numFmtId="0" fontId="45" fillId="15" borderId="28" xfId="0" applyFont="1" applyFill="1" applyBorder="1" applyAlignment="1">
      <alignment horizontal="right" vertical="center"/>
    </xf>
    <xf numFmtId="164" fontId="45" fillId="3" borderId="30" xfId="0" applyNumberFormat="1" applyFont="1" applyFill="1" applyBorder="1" applyAlignment="1">
      <alignment horizontal="center" vertical="center"/>
    </xf>
    <xf numFmtId="4" fontId="45" fillId="4" borderId="30" xfId="0" applyNumberFormat="1" applyFont="1" applyFill="1" applyBorder="1" applyAlignment="1">
      <alignment horizontal="center" vertical="center"/>
    </xf>
    <xf numFmtId="2" fontId="45" fillId="14" borderId="30" xfId="0" applyNumberFormat="1" applyFont="1" applyFill="1" applyBorder="1" applyAlignment="1">
      <alignment horizontal="center" vertical="center"/>
    </xf>
    <xf numFmtId="3" fontId="46" fillId="42" borderId="30" xfId="0" applyNumberFormat="1" applyFont="1" applyFill="1" applyBorder="1" applyAlignment="1" applyProtection="1">
      <alignment horizontal="center" vertical="center"/>
      <protection locked="0"/>
    </xf>
    <xf numFmtId="4" fontId="45" fillId="14" borderId="23" xfId="0" applyNumberFormat="1" applyFont="1" applyFill="1" applyBorder="1" applyAlignment="1">
      <alignment horizontal="center" vertical="center"/>
    </xf>
    <xf numFmtId="0" fontId="43" fillId="0" borderId="53" xfId="0" applyFont="1" applyBorder="1" applyAlignment="1">
      <alignment vertical="center"/>
    </xf>
    <xf numFmtId="0" fontId="154" fillId="15" borderId="0" xfId="0" applyFont="1" applyFill="1" applyAlignment="1">
      <alignment vertical="center"/>
    </xf>
    <xf numFmtId="164" fontId="45" fillId="50" borderId="30" xfId="0" applyNumberFormat="1" applyFont="1" applyFill="1" applyBorder="1" applyAlignment="1" applyProtection="1">
      <alignment horizontal="center" vertical="center"/>
      <protection locked="0"/>
    </xf>
    <xf numFmtId="0" fontId="43" fillId="0" borderId="34" xfId="0" applyFont="1" applyFill="1" applyBorder="1" applyAlignment="1">
      <alignment vertical="center"/>
    </xf>
    <xf numFmtId="4" fontId="43" fillId="0" borderId="31" xfId="0" applyNumberFormat="1" applyFont="1" applyFill="1" applyBorder="1" applyAlignment="1">
      <alignment horizontal="center" vertical="center"/>
    </xf>
    <xf numFmtId="0" fontId="44" fillId="17" borderId="54" xfId="0" applyFont="1" applyFill="1" applyBorder="1" applyAlignment="1">
      <alignment horizontal="center" vertical="center"/>
    </xf>
    <xf numFmtId="0" fontId="43" fillId="0" borderId="55" xfId="0" applyFont="1" applyFill="1" applyBorder="1" applyAlignment="1">
      <alignment vertical="center"/>
    </xf>
    <xf numFmtId="4" fontId="46" fillId="17" borderId="30" xfId="0" applyNumberFormat="1" applyFont="1" applyFill="1" applyBorder="1" applyAlignment="1">
      <alignment horizontal="center" vertical="center"/>
    </xf>
    <xf numFmtId="0" fontId="62" fillId="15" borderId="0" xfId="0" applyFont="1" applyFill="1" applyAlignment="1">
      <alignment vertical="top"/>
    </xf>
    <xf numFmtId="165" fontId="45" fillId="15" borderId="30" xfId="0" applyNumberFormat="1" applyFont="1" applyFill="1" applyBorder="1" applyAlignment="1" applyProtection="1">
      <alignment horizontal="center" vertical="center"/>
      <protection locked="0"/>
    </xf>
    <xf numFmtId="0" fontId="63" fillId="15" borderId="0" xfId="0" applyFont="1" applyFill="1" applyAlignment="1">
      <alignment horizontal="left"/>
    </xf>
    <xf numFmtId="0" fontId="61" fillId="15" borderId="0" xfId="0" applyFont="1" applyFill="1" applyAlignment="1">
      <alignment horizontal="left"/>
    </xf>
    <xf numFmtId="0" fontId="62" fillId="15" borderId="0" xfId="0" applyFont="1" applyFill="1"/>
    <xf numFmtId="4" fontId="45" fillId="3" borderId="29" xfId="0" applyNumberFormat="1" applyFont="1" applyFill="1" applyBorder="1" applyAlignment="1">
      <alignment horizontal="center" vertical="center"/>
    </xf>
    <xf numFmtId="4" fontId="45" fillId="20" borderId="34" xfId="0" applyNumberFormat="1" applyFont="1" applyFill="1" applyBorder="1" applyAlignment="1">
      <alignment horizontal="center" vertical="center"/>
    </xf>
    <xf numFmtId="0" fontId="55" fillId="15" borderId="49" xfId="0" applyFont="1" applyFill="1" applyBorder="1" applyAlignment="1">
      <alignment horizontal="right" vertical="center"/>
    </xf>
    <xf numFmtId="0" fontId="28" fillId="0" borderId="23" xfId="0" applyFont="1" applyFill="1" applyBorder="1" applyAlignment="1">
      <alignment horizontal="right" vertical="center"/>
    </xf>
    <xf numFmtId="0" fontId="28" fillId="0" borderId="23" xfId="0" applyFont="1" applyFill="1" applyBorder="1" applyAlignment="1">
      <alignment vertical="center"/>
    </xf>
    <xf numFmtId="0" fontId="155" fillId="0" borderId="23" xfId="0" applyFont="1" applyFill="1" applyBorder="1" applyAlignment="1">
      <alignment horizontal="right" vertical="center"/>
    </xf>
    <xf numFmtId="0" fontId="33" fillId="0" borderId="23" xfId="0" applyFont="1" applyFill="1" applyBorder="1" applyAlignment="1">
      <alignment horizontal="center" vertical="center"/>
    </xf>
    <xf numFmtId="0" fontId="33" fillId="0" borderId="23" xfId="0" applyFont="1" applyFill="1" applyBorder="1" applyAlignment="1">
      <alignment horizontal="right" vertical="center"/>
    </xf>
    <xf numFmtId="1" fontId="28" fillId="0" borderId="23" xfId="0" applyNumberFormat="1" applyFont="1" applyFill="1" applyBorder="1" applyAlignment="1">
      <alignment horizontal="center" vertical="center"/>
    </xf>
    <xf numFmtId="169" fontId="28" fillId="0" borderId="23" xfId="0" applyNumberFormat="1" applyFont="1" applyFill="1" applyBorder="1" applyAlignment="1">
      <alignment horizontal="center" vertical="center"/>
    </xf>
    <xf numFmtId="3" fontId="28" fillId="0" borderId="23" xfId="0" applyNumberFormat="1" applyFont="1" applyFill="1" applyBorder="1" applyAlignment="1">
      <alignment horizontal="center" vertical="center"/>
    </xf>
    <xf numFmtId="0" fontId="156" fillId="0" borderId="23" xfId="0" applyFont="1" applyFill="1" applyBorder="1" applyAlignment="1">
      <alignment horizontal="right"/>
    </xf>
    <xf numFmtId="0" fontId="156" fillId="0" borderId="23" xfId="0" applyFont="1" applyFill="1" applyBorder="1" applyAlignment="1">
      <alignment horizontal="center"/>
    </xf>
    <xf numFmtId="0" fontId="155" fillId="0" borderId="23" xfId="0" applyFont="1" applyFill="1" applyBorder="1" applyAlignment="1">
      <alignment horizontal="right"/>
    </xf>
    <xf numFmtId="0" fontId="155" fillId="0" borderId="23" xfId="0" applyFont="1" applyFill="1" applyBorder="1" applyAlignment="1">
      <alignment horizontal="center"/>
    </xf>
    <xf numFmtId="0" fontId="33" fillId="0" borderId="23" xfId="0" applyFont="1" applyFill="1" applyBorder="1" applyAlignment="1">
      <alignment vertical="center"/>
    </xf>
    <xf numFmtId="0" fontId="157" fillId="0" borderId="23" xfId="0" applyFont="1" applyFill="1" applyBorder="1" applyAlignment="1">
      <alignment horizontal="right" vertical="center"/>
    </xf>
    <xf numFmtId="0" fontId="157" fillId="0" borderId="23" xfId="0" applyFont="1" applyFill="1" applyBorder="1" applyAlignment="1">
      <alignment vertical="center"/>
    </xf>
    <xf numFmtId="0" fontId="33" fillId="0" borderId="23" xfId="0" applyFont="1" applyFill="1" applyBorder="1" applyAlignment="1">
      <alignment horizontal="right"/>
    </xf>
    <xf numFmtId="0" fontId="33" fillId="0" borderId="23" xfId="0" applyFont="1" applyFill="1" applyBorder="1"/>
    <xf numFmtId="0" fontId="158" fillId="0" borderId="23" xfId="0" applyFont="1" applyFill="1" applyBorder="1" applyAlignment="1">
      <alignment horizontal="right" vertical="center"/>
    </xf>
    <xf numFmtId="0" fontId="158" fillId="0" borderId="23" xfId="0" applyFont="1" applyFill="1" applyBorder="1" applyAlignment="1">
      <alignment vertical="center"/>
    </xf>
    <xf numFmtId="0" fontId="159" fillId="0" borderId="23" xfId="0" applyFont="1" applyFill="1" applyBorder="1" applyAlignment="1">
      <alignment horizontal="right" vertical="center"/>
    </xf>
    <xf numFmtId="0" fontId="159" fillId="0" borderId="23" xfId="0" applyFont="1" applyFill="1" applyBorder="1" applyAlignment="1"/>
    <xf numFmtId="0" fontId="28" fillId="0" borderId="23" xfId="0" applyFont="1" applyFill="1" applyBorder="1" applyAlignment="1"/>
    <xf numFmtId="0" fontId="67" fillId="0" borderId="0" xfId="0" applyFont="1" applyAlignment="1">
      <alignment vertical="center"/>
    </xf>
    <xf numFmtId="0" fontId="68" fillId="0" borderId="0" xfId="0" applyFont="1" applyAlignment="1"/>
    <xf numFmtId="3" fontId="39" fillId="0" borderId="0" xfId="0" applyNumberFormat="1" applyFont="1" applyAlignment="1">
      <alignment horizontal="center" vertical="center"/>
    </xf>
    <xf numFmtId="3" fontId="118" fillId="31" borderId="30" xfId="0" applyNumberFormat="1" applyFont="1" applyFill="1" applyBorder="1" applyAlignment="1">
      <alignment horizontal="center" vertical="center"/>
    </xf>
    <xf numFmtId="3" fontId="59" fillId="31" borderId="30" xfId="0" applyNumberFormat="1" applyFont="1" applyFill="1" applyBorder="1" applyAlignment="1">
      <alignment horizontal="center" vertical="center"/>
    </xf>
    <xf numFmtId="0" fontId="133" fillId="0" borderId="49" xfId="0" applyFont="1" applyBorder="1" applyAlignment="1">
      <alignment horizontal="center" vertical="center"/>
    </xf>
    <xf numFmtId="0" fontId="161" fillId="15" borderId="23" xfId="0" applyFont="1" applyFill="1" applyBorder="1" applyAlignment="1">
      <alignment vertical="center"/>
    </xf>
    <xf numFmtId="165" fontId="39" fillId="52" borderId="30" xfId="0" applyNumberFormat="1" applyFont="1" applyFill="1" applyBorder="1" applyAlignment="1">
      <alignment horizontal="center" vertical="center"/>
    </xf>
    <xf numFmtId="0" fontId="12" fillId="53" borderId="30" xfId="0" applyFont="1" applyFill="1" applyBorder="1" applyAlignment="1">
      <alignment horizontal="left" vertical="center"/>
    </xf>
    <xf numFmtId="0" fontId="150" fillId="54" borderId="13" xfId="0" applyFont="1" applyFill="1" applyBorder="1" applyAlignment="1">
      <alignment horizontal="center" vertical="center"/>
    </xf>
    <xf numFmtId="165" fontId="35" fillId="55" borderId="4" xfId="0" applyNumberFormat="1" applyFont="1" applyFill="1" applyBorder="1" applyAlignment="1">
      <alignment horizontal="center" vertical="center"/>
    </xf>
    <xf numFmtId="164" fontId="34" fillId="55" borderId="4" xfId="0" applyNumberFormat="1" applyFont="1" applyFill="1" applyBorder="1" applyAlignment="1">
      <alignment horizontal="center" vertical="center"/>
    </xf>
    <xf numFmtId="0" fontId="162" fillId="54" borderId="11" xfId="0" applyFont="1" applyFill="1" applyBorder="1" applyAlignment="1">
      <alignment horizontal="center" vertical="center"/>
    </xf>
    <xf numFmtId="3" fontId="45" fillId="29" borderId="34" xfId="0" applyNumberFormat="1" applyFont="1" applyFill="1" applyBorder="1" applyAlignment="1">
      <alignment horizontal="center" vertical="center"/>
    </xf>
    <xf numFmtId="0" fontId="43" fillId="15" borderId="0" xfId="0" applyFont="1" applyFill="1" applyAlignment="1" applyProtection="1">
      <alignment horizontal="center" vertical="center"/>
      <protection locked="0"/>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Alignment="1"/>
    <xf numFmtId="0" fontId="68" fillId="15" borderId="0" xfId="0" applyFont="1" applyFill="1" applyAlignment="1">
      <alignment vertical="center"/>
    </xf>
    <xf numFmtId="0" fontId="68" fillId="0" borderId="0" xfId="0" applyFont="1" applyAlignment="1">
      <alignment vertical="center"/>
    </xf>
    <xf numFmtId="168" fontId="68" fillId="0" borderId="0" xfId="0" applyNumberFormat="1" applyFont="1" applyAlignment="1">
      <alignment horizontal="center" vertical="center"/>
    </xf>
    <xf numFmtId="0" fontId="149" fillId="15" borderId="0" xfId="0" applyFont="1" applyFill="1" applyAlignment="1">
      <alignment vertical="center"/>
    </xf>
    <xf numFmtId="0" fontId="149" fillId="15" borderId="44" xfId="0" applyFont="1" applyFill="1" applyBorder="1" applyAlignment="1">
      <alignment vertical="center"/>
    </xf>
    <xf numFmtId="178" fontId="149" fillId="19" borderId="30" xfId="0" applyNumberFormat="1" applyFont="1" applyFill="1" applyBorder="1" applyAlignment="1">
      <alignment horizontal="center" vertical="center"/>
    </xf>
    <xf numFmtId="168" fontId="149" fillId="0" borderId="0" xfId="0" applyNumberFormat="1" applyFont="1" applyAlignment="1">
      <alignment horizontal="center" vertical="center"/>
    </xf>
    <xf numFmtId="0" fontId="149" fillId="0" borderId="0" xfId="0" applyFont="1" applyAlignment="1">
      <alignment vertical="center"/>
    </xf>
    <xf numFmtId="0" fontId="149" fillId="0" borderId="0" xfId="0" applyFont="1" applyAlignment="1"/>
    <xf numFmtId="0" fontId="48" fillId="0" borderId="0" xfId="0" applyFont="1" applyAlignment="1"/>
    <xf numFmtId="0" fontId="48" fillId="15" borderId="0" xfId="0" applyFont="1" applyFill="1" applyAlignment="1">
      <alignment vertical="center"/>
    </xf>
    <xf numFmtId="0" fontId="48" fillId="0" borderId="0" xfId="0" applyFont="1" applyAlignment="1">
      <alignment vertical="center"/>
    </xf>
    <xf numFmtId="164" fontId="67" fillId="0" borderId="30" xfId="0" applyNumberFormat="1" applyFont="1" applyBorder="1" applyAlignment="1">
      <alignment horizontal="center" vertical="center"/>
    </xf>
    <xf numFmtId="0" fontId="73" fillId="42" borderId="5" xfId="0" applyFont="1" applyFill="1" applyBorder="1" applyAlignment="1">
      <alignment vertical="center"/>
    </xf>
    <xf numFmtId="3" fontId="73" fillId="0" borderId="30" xfId="0" applyNumberFormat="1" applyFont="1" applyBorder="1" applyAlignment="1">
      <alignment horizontal="center" vertical="center"/>
    </xf>
    <xf numFmtId="0" fontId="73" fillId="0" borderId="0" xfId="0" applyFont="1" applyAlignment="1">
      <alignment vertical="center"/>
    </xf>
    <xf numFmtId="0" fontId="73" fillId="15" borderId="0" xfId="0" applyFont="1" applyFill="1" applyAlignment="1">
      <alignment vertical="center"/>
    </xf>
    <xf numFmtId="0" fontId="68" fillId="0" borderId="23" xfId="0" applyFont="1" applyBorder="1" applyAlignment="1"/>
    <xf numFmtId="0" fontId="67" fillId="17" borderId="30" xfId="0" applyFont="1" applyFill="1" applyBorder="1" applyAlignment="1">
      <alignment horizontal="right" vertical="center"/>
    </xf>
    <xf numFmtId="0" fontId="176" fillId="17" borderId="0" xfId="0" applyFont="1" applyFill="1" applyAlignment="1">
      <alignment horizontal="center" vertical="center"/>
    </xf>
    <xf numFmtId="0" fontId="177" fillId="15" borderId="0" xfId="0" applyFont="1" applyFill="1" applyAlignment="1">
      <alignment vertical="center"/>
    </xf>
    <xf numFmtId="2" fontId="73" fillId="0" borderId="49" xfId="0" applyNumberFormat="1" applyFont="1" applyBorder="1" applyAlignment="1">
      <alignment horizontal="center" vertical="center"/>
    </xf>
    <xf numFmtId="0" fontId="68" fillId="15" borderId="23" xfId="0" applyFont="1" applyFill="1" applyBorder="1" applyAlignment="1"/>
    <xf numFmtId="0" fontId="67" fillId="15" borderId="23" xfId="0" applyFont="1" applyFill="1" applyBorder="1" applyAlignment="1">
      <alignment vertical="center"/>
    </xf>
    <xf numFmtId="0" fontId="73" fillId="40" borderId="30" xfId="0" applyFont="1" applyFill="1" applyBorder="1" applyAlignment="1">
      <alignment horizontal="left" vertical="center"/>
    </xf>
    <xf numFmtId="0" fontId="179" fillId="15" borderId="23" xfId="0" applyFont="1" applyFill="1" applyBorder="1" applyAlignment="1">
      <alignment horizontal="center" vertical="center"/>
    </xf>
    <xf numFmtId="0" fontId="55" fillId="0" borderId="30" xfId="0" applyFont="1" applyBorder="1" applyAlignment="1">
      <alignment horizontal="left" vertical="center"/>
    </xf>
    <xf numFmtId="0" fontId="0" fillId="0" borderId="0" xfId="0" applyFont="1" applyAlignment="1">
      <alignment vertical="center"/>
    </xf>
    <xf numFmtId="0" fontId="0" fillId="0" borderId="0" xfId="0" applyFont="1" applyAlignment="1"/>
    <xf numFmtId="0" fontId="185" fillId="15" borderId="0" xfId="0" applyFont="1" applyFill="1" applyAlignment="1">
      <alignment vertical="center"/>
    </xf>
    <xf numFmtId="168" fontId="185" fillId="0" borderId="0" xfId="0" applyNumberFormat="1" applyFont="1" applyAlignment="1">
      <alignment horizontal="center" vertical="center"/>
    </xf>
    <xf numFmtId="0" fontId="185" fillId="0" borderId="0" xfId="0" applyFont="1" applyAlignment="1">
      <alignment vertical="center"/>
    </xf>
    <xf numFmtId="0" fontId="179" fillId="0" borderId="0" xfId="0" applyFont="1" applyAlignment="1"/>
    <xf numFmtId="0" fontId="179" fillId="15" borderId="0" xfId="0" applyFont="1" applyFill="1" applyAlignment="1">
      <alignment vertical="center"/>
    </xf>
    <xf numFmtId="3" fontId="179" fillId="0" borderId="0" xfId="0" applyNumberFormat="1" applyFont="1" applyAlignment="1">
      <alignment horizontal="center" vertical="center"/>
    </xf>
    <xf numFmtId="0" fontId="179" fillId="0" borderId="0" xfId="0" applyFont="1" applyAlignment="1">
      <alignment vertical="center"/>
    </xf>
    <xf numFmtId="178" fontId="149" fillId="0" borderId="30" xfId="0" applyNumberFormat="1" applyFont="1" applyBorder="1" applyAlignment="1">
      <alignment horizontal="center" vertical="center"/>
    </xf>
    <xf numFmtId="3" fontId="149" fillId="0" borderId="30" xfId="0" applyNumberFormat="1" applyFont="1" applyBorder="1" applyAlignment="1">
      <alignment horizontal="center" vertical="center"/>
    </xf>
    <xf numFmtId="164" fontId="149" fillId="19" borderId="30" xfId="0" applyNumberFormat="1" applyFont="1" applyFill="1" applyBorder="1" applyAlignment="1">
      <alignment horizontal="center" vertical="center"/>
    </xf>
    <xf numFmtId="1" fontId="185" fillId="0" borderId="0" xfId="0" applyNumberFormat="1" applyFont="1" applyAlignment="1">
      <alignment vertical="center"/>
    </xf>
    <xf numFmtId="0" fontId="34" fillId="0" borderId="30" xfId="0" applyFont="1" applyBorder="1" applyAlignment="1">
      <alignment horizontal="center" vertical="center"/>
    </xf>
    <xf numFmtId="0" fontId="55" fillId="0" borderId="30" xfId="0" applyFont="1" applyBorder="1" applyAlignment="1">
      <alignment horizontal="left" vertical="center"/>
    </xf>
    <xf numFmtId="0" fontId="0" fillId="0" borderId="0" xfId="0" applyFont="1" applyAlignment="1">
      <alignment vertical="center"/>
    </xf>
    <xf numFmtId="0" fontId="0" fillId="0" borderId="0" xfId="0" applyFont="1" applyAlignment="1"/>
    <xf numFmtId="1" fontId="1" fillId="0" borderId="0" xfId="0" applyNumberFormat="1" applyFont="1" applyAlignment="1">
      <alignment vertical="center"/>
    </xf>
    <xf numFmtId="0" fontId="1" fillId="0" borderId="0" xfId="0" applyFont="1" applyAlignment="1"/>
    <xf numFmtId="0" fontId="149" fillId="0" borderId="34" xfId="0" applyFont="1" applyBorder="1" applyAlignment="1">
      <alignment vertical="center"/>
    </xf>
    <xf numFmtId="3" fontId="186" fillId="0" borderId="49" xfId="0" applyNumberFormat="1" applyFont="1" applyBorder="1" applyAlignment="1">
      <alignment horizontal="center" vertical="center"/>
    </xf>
    <xf numFmtId="0" fontId="187" fillId="40" borderId="49" xfId="0" applyFont="1" applyFill="1" applyBorder="1" applyAlignment="1">
      <alignment horizontal="left" vertical="center"/>
    </xf>
    <xf numFmtId="0" fontId="48" fillId="15" borderId="23" xfId="0" applyFont="1" applyFill="1" applyBorder="1" applyAlignment="1">
      <alignment vertical="center"/>
    </xf>
    <xf numFmtId="0" fontId="68" fillId="15" borderId="23" xfId="0" applyFont="1" applyFill="1" applyBorder="1" applyAlignment="1">
      <alignment vertical="center"/>
    </xf>
    <xf numFmtId="0" fontId="131" fillId="15" borderId="23" xfId="0" applyFont="1" applyFill="1" applyBorder="1" applyAlignment="1">
      <alignment vertical="center"/>
    </xf>
    <xf numFmtId="0" fontId="149" fillId="15" borderId="23" xfId="0" applyFont="1" applyFill="1" applyBorder="1" applyAlignment="1">
      <alignment vertical="center"/>
    </xf>
    <xf numFmtId="0" fontId="46" fillId="15" borderId="23" xfId="0" applyFont="1" applyFill="1" applyBorder="1" applyAlignment="1">
      <alignment vertical="center"/>
    </xf>
    <xf numFmtId="0" fontId="131" fillId="0" borderId="23" xfId="0" applyFont="1" applyBorder="1" applyAlignment="1">
      <alignment vertical="center"/>
    </xf>
    <xf numFmtId="168" fontId="68" fillId="0" borderId="23" xfId="0" applyNumberFormat="1" applyFont="1" applyBorder="1" applyAlignment="1">
      <alignment horizontal="center" vertical="center"/>
    </xf>
    <xf numFmtId="168" fontId="149" fillId="0" borderId="23" xfId="0" applyNumberFormat="1" applyFont="1" applyBorder="1" applyAlignment="1">
      <alignment horizontal="center" vertical="center"/>
    </xf>
    <xf numFmtId="0" fontId="46" fillId="0" borderId="41" xfId="0" applyFont="1" applyBorder="1" applyAlignment="1">
      <alignment vertical="center"/>
    </xf>
    <xf numFmtId="0" fontId="46" fillId="0" borderId="44" xfId="0" applyFont="1" applyBorder="1" applyAlignment="1">
      <alignment vertical="center"/>
    </xf>
    <xf numFmtId="0" fontId="132" fillId="0" borderId="44" xfId="0" applyFont="1" applyBorder="1" applyAlignment="1">
      <alignment vertical="center"/>
    </xf>
    <xf numFmtId="0" fontId="39" fillId="0" borderId="34" xfId="0" applyFont="1" applyBorder="1" applyAlignment="1">
      <alignment horizontal="left" vertical="center"/>
    </xf>
    <xf numFmtId="0" fontId="160" fillId="0" borderId="57" xfId="0" applyFont="1" applyBorder="1" applyAlignment="1">
      <alignment horizontal="left" vertical="center"/>
    </xf>
    <xf numFmtId="0" fontId="175" fillId="17" borderId="58" xfId="0" applyFont="1" applyFill="1" applyBorder="1" applyAlignment="1">
      <alignment horizontal="right" vertical="center"/>
    </xf>
    <xf numFmtId="178" fontId="149" fillId="19" borderId="62" xfId="0" applyNumberFormat="1" applyFont="1" applyFill="1" applyBorder="1" applyAlignment="1">
      <alignment horizontal="center" vertical="center"/>
    </xf>
    <xf numFmtId="0" fontId="149" fillId="0" borderId="63" xfId="0" applyFont="1" applyBorder="1" applyAlignment="1">
      <alignment horizontal="center" vertical="center"/>
    </xf>
    <xf numFmtId="0" fontId="131" fillId="0" borderId="60" xfId="0" applyFont="1" applyBorder="1" applyAlignment="1">
      <alignment vertical="center"/>
    </xf>
    <xf numFmtId="0" fontId="132" fillId="15" borderId="23" xfId="0" applyFont="1" applyFill="1" applyBorder="1" applyAlignment="1">
      <alignment vertical="center"/>
    </xf>
    <xf numFmtId="0" fontId="67" fillId="0" borderId="23" xfId="0" applyFont="1" applyBorder="1" applyAlignment="1">
      <alignment vertical="center"/>
    </xf>
    <xf numFmtId="0" fontId="68" fillId="0" borderId="23" xfId="0" applyFont="1" applyBorder="1" applyAlignment="1">
      <alignment vertical="center"/>
    </xf>
    <xf numFmtId="0" fontId="132" fillId="0" borderId="23" xfId="0" applyFont="1" applyBorder="1" applyAlignment="1">
      <alignment vertical="center"/>
    </xf>
    <xf numFmtId="0" fontId="149" fillId="0" borderId="23" xfId="0" applyFont="1" applyBorder="1" applyAlignment="1">
      <alignment vertical="center"/>
    </xf>
    <xf numFmtId="0" fontId="132" fillId="0" borderId="36" xfId="0" applyFont="1" applyBorder="1" applyAlignment="1">
      <alignment vertical="center"/>
    </xf>
    <xf numFmtId="0" fontId="131" fillId="0" borderId="39" xfId="0" applyFont="1" applyBorder="1" applyAlignment="1">
      <alignment vertical="center"/>
    </xf>
    <xf numFmtId="0" fontId="2" fillId="0" borderId="23" xfId="0" applyFont="1" applyFill="1" applyBorder="1" applyAlignment="1">
      <alignment vertical="center"/>
    </xf>
    <xf numFmtId="0" fontId="160" fillId="0" borderId="64" xfId="0" applyFont="1" applyBorder="1" applyAlignment="1">
      <alignment vertical="center"/>
    </xf>
    <xf numFmtId="0" fontId="45" fillId="0" borderId="64" xfId="0" applyFont="1" applyBorder="1" applyAlignment="1">
      <alignment vertical="center"/>
    </xf>
    <xf numFmtId="0" fontId="149" fillId="35" borderId="64" xfId="0" applyFont="1" applyFill="1" applyBorder="1" applyAlignment="1">
      <alignment horizontal="right" vertical="center"/>
    </xf>
    <xf numFmtId="0" fontId="67" fillId="35" borderId="64" xfId="0" applyFont="1" applyFill="1" applyBorder="1" applyAlignment="1">
      <alignment horizontal="left" vertical="center"/>
    </xf>
    <xf numFmtId="0" fontId="67" fillId="35" borderId="65" xfId="0" applyFont="1" applyFill="1" applyBorder="1" applyAlignment="1">
      <alignment horizontal="left" vertical="center"/>
    </xf>
    <xf numFmtId="0" fontId="48" fillId="0" borderId="68" xfId="0" applyFont="1" applyBorder="1" applyAlignment="1">
      <alignment vertical="center"/>
    </xf>
    <xf numFmtId="0" fontId="48" fillId="0" borderId="66" xfId="0" applyFont="1" applyBorder="1" applyAlignment="1">
      <alignment vertical="center"/>
    </xf>
    <xf numFmtId="0" fontId="46" fillId="0" borderId="76" xfId="0" applyFont="1" applyBorder="1" applyAlignment="1">
      <alignment vertical="center"/>
    </xf>
    <xf numFmtId="0" fontId="55" fillId="0" borderId="77" xfId="0" applyFont="1" applyBorder="1" applyAlignment="1">
      <alignment vertical="center"/>
    </xf>
    <xf numFmtId="0" fontId="45" fillId="0" borderId="78" xfId="0" applyFont="1" applyBorder="1" applyAlignment="1">
      <alignment vertical="center"/>
    </xf>
    <xf numFmtId="0" fontId="45" fillId="0" borderId="79" xfId="0" applyFont="1" applyBorder="1" applyAlignment="1">
      <alignment vertical="center"/>
    </xf>
    <xf numFmtId="0" fontId="131" fillId="0" borderId="79" xfId="0" applyFont="1" applyBorder="1" applyAlignment="1">
      <alignment vertical="center"/>
    </xf>
    <xf numFmtId="0" fontId="175" fillId="35" borderId="82" xfId="0" applyFont="1" applyFill="1" applyBorder="1" applyAlignment="1">
      <alignment horizontal="center" vertical="center"/>
    </xf>
    <xf numFmtId="0" fontId="175" fillId="35" borderId="83" xfId="0" applyFont="1" applyFill="1" applyBorder="1" applyAlignment="1">
      <alignment horizontal="center" vertical="center"/>
    </xf>
    <xf numFmtId="0" fontId="67" fillId="39" borderId="84" xfId="0" applyFont="1" applyFill="1" applyBorder="1" applyAlignment="1">
      <alignment horizontal="center" vertical="center"/>
    </xf>
    <xf numFmtId="0" fontId="67" fillId="39" borderId="85" xfId="0" applyFont="1" applyFill="1" applyBorder="1" applyAlignment="1">
      <alignment horizontal="center" vertical="center"/>
    </xf>
    <xf numFmtId="0" fontId="67" fillId="39" borderId="86" xfId="0" applyFont="1" applyFill="1" applyBorder="1" applyAlignment="1">
      <alignment horizontal="center" vertical="center"/>
    </xf>
    <xf numFmtId="0" fontId="67" fillId="39" borderId="87" xfId="0" applyFont="1" applyFill="1" applyBorder="1" applyAlignment="1">
      <alignment horizontal="center" vertical="center"/>
    </xf>
    <xf numFmtId="0" fontId="67" fillId="39" borderId="88" xfId="0" applyFont="1" applyFill="1" applyBorder="1" applyAlignment="1">
      <alignment horizontal="center" vertical="center"/>
    </xf>
    <xf numFmtId="0" fontId="67" fillId="39" borderId="89" xfId="0" applyFont="1" applyFill="1" applyBorder="1" applyAlignment="1">
      <alignment horizontal="center" vertical="center"/>
    </xf>
    <xf numFmtId="0" fontId="67" fillId="39" borderId="90" xfId="0" applyFont="1" applyFill="1" applyBorder="1" applyAlignment="1">
      <alignment horizontal="center" vertical="center"/>
    </xf>
    <xf numFmtId="0" fontId="67" fillId="39" borderId="91" xfId="0" applyFont="1" applyFill="1" applyBorder="1" applyAlignment="1">
      <alignment horizontal="center" vertical="center"/>
    </xf>
    <xf numFmtId="0" fontId="67" fillId="39" borderId="92" xfId="0" applyFont="1" applyFill="1" applyBorder="1" applyAlignment="1">
      <alignment horizontal="center" vertical="center"/>
    </xf>
    <xf numFmtId="0" fontId="0" fillId="15" borderId="23" xfId="0" applyFont="1" applyFill="1" applyBorder="1" applyAlignment="1">
      <alignment vertical="center"/>
    </xf>
    <xf numFmtId="0" fontId="1" fillId="15" borderId="23" xfId="0" applyFont="1" applyFill="1" applyBorder="1" applyAlignment="1">
      <alignment vertical="center"/>
    </xf>
    <xf numFmtId="0" fontId="185" fillId="15" borderId="23" xfId="0" applyFont="1" applyFill="1" applyBorder="1" applyAlignment="1">
      <alignment vertical="center"/>
    </xf>
    <xf numFmtId="0" fontId="179" fillId="15" borderId="23" xfId="0" applyFont="1" applyFill="1" applyBorder="1" applyAlignment="1">
      <alignment vertical="center"/>
    </xf>
    <xf numFmtId="0" fontId="2" fillId="15" borderId="23" xfId="0" applyFont="1" applyFill="1" applyBorder="1" applyAlignment="1">
      <alignment vertical="center"/>
    </xf>
    <xf numFmtId="0" fontId="0" fillId="0" borderId="23" xfId="0" applyFont="1" applyBorder="1" applyAlignment="1">
      <alignment vertical="center"/>
    </xf>
    <xf numFmtId="168" fontId="1" fillId="0" borderId="23" xfId="0" applyNumberFormat="1" applyFont="1" applyBorder="1" applyAlignment="1">
      <alignment horizontal="center" vertical="center"/>
    </xf>
    <xf numFmtId="168" fontId="185" fillId="0" borderId="23" xfId="0" applyNumberFormat="1" applyFont="1" applyBorder="1" applyAlignment="1">
      <alignment horizontal="center" vertical="center"/>
    </xf>
    <xf numFmtId="0" fontId="131" fillId="15" borderId="23" xfId="0" applyFont="1" applyFill="1" applyBorder="1" applyAlignment="1">
      <alignment horizontal="center" vertical="center"/>
    </xf>
    <xf numFmtId="164" fontId="149" fillId="15" borderId="23" xfId="0" applyNumberFormat="1" applyFont="1" applyFill="1" applyBorder="1" applyAlignment="1">
      <alignment horizontal="center" vertical="center"/>
    </xf>
    <xf numFmtId="3" fontId="179" fillId="0" borderId="23" xfId="0" applyNumberFormat="1" applyFont="1" applyBorder="1" applyAlignment="1">
      <alignment horizontal="center" vertical="center"/>
    </xf>
    <xf numFmtId="1" fontId="2" fillId="0" borderId="23" xfId="0" applyNumberFormat="1" applyFont="1" applyBorder="1" applyAlignment="1">
      <alignment vertical="center"/>
    </xf>
    <xf numFmtId="0" fontId="2" fillId="0" borderId="23" xfId="0" applyFont="1" applyBorder="1" applyAlignment="1">
      <alignment vertical="center"/>
    </xf>
    <xf numFmtId="0" fontId="185" fillId="0" borderId="23" xfId="0" applyFont="1" applyBorder="1" applyAlignment="1">
      <alignment vertical="center"/>
    </xf>
    <xf numFmtId="0" fontId="131" fillId="0" borderId="34" xfId="0" applyFont="1" applyBorder="1" applyAlignment="1">
      <alignment horizontal="left" vertical="center"/>
    </xf>
    <xf numFmtId="0" fontId="131" fillId="0" borderId="34" xfId="0" applyFont="1" applyBorder="1" applyAlignment="1">
      <alignment horizontal="center" vertical="center"/>
    </xf>
    <xf numFmtId="3" fontId="131" fillId="0" borderId="34" xfId="0" applyNumberFormat="1" applyFont="1" applyBorder="1" applyAlignment="1">
      <alignment horizontal="center" vertical="center"/>
    </xf>
    <xf numFmtId="0" fontId="132" fillId="0" borderId="57" xfId="0" applyFont="1" applyBorder="1" applyAlignment="1">
      <alignment vertical="center"/>
    </xf>
    <xf numFmtId="0" fontId="102" fillId="0" borderId="57" xfId="0" applyFont="1" applyBorder="1" applyAlignment="1">
      <alignment horizontal="left" vertical="center"/>
    </xf>
    <xf numFmtId="0" fontId="131" fillId="0" borderId="57" xfId="0" applyFont="1" applyBorder="1" applyAlignment="1">
      <alignment horizontal="left" vertical="center"/>
    </xf>
    <xf numFmtId="0" fontId="149" fillId="35" borderId="57" xfId="0" applyFont="1" applyFill="1" applyBorder="1" applyAlignment="1">
      <alignment horizontal="right" vertical="center"/>
    </xf>
    <xf numFmtId="0" fontId="67" fillId="35" borderId="57" xfId="0" applyFont="1" applyFill="1" applyBorder="1" applyAlignment="1">
      <alignment horizontal="left" vertical="center"/>
    </xf>
    <xf numFmtId="0" fontId="67" fillId="35" borderId="58" xfId="0" applyFont="1" applyFill="1" applyBorder="1" applyAlignment="1">
      <alignment horizontal="left" vertical="center"/>
    </xf>
    <xf numFmtId="0" fontId="131" fillId="0" borderId="59" xfId="0" applyFont="1" applyBorder="1" applyAlignment="1">
      <alignment vertical="center"/>
    </xf>
    <xf numFmtId="166" fontId="131" fillId="0" borderId="60" xfId="0" applyNumberFormat="1" applyFont="1" applyBorder="1" applyAlignment="1">
      <alignment horizontal="center" vertical="center"/>
    </xf>
    <xf numFmtId="0" fontId="131" fillId="0" borderId="60" xfId="0" applyFont="1" applyBorder="1" applyAlignment="1">
      <alignment horizontal="center" vertical="center"/>
    </xf>
    <xf numFmtId="164" fontId="149" fillId="0" borderId="60" xfId="0" applyNumberFormat="1" applyFont="1" applyBorder="1" applyAlignment="1">
      <alignment horizontal="center" vertical="center"/>
    </xf>
    <xf numFmtId="0" fontId="149" fillId="0" borderId="59" xfId="0" applyFont="1" applyBorder="1" applyAlignment="1">
      <alignment vertical="center"/>
    </xf>
    <xf numFmtId="0" fontId="149" fillId="0" borderId="60" xfId="0" applyFont="1" applyBorder="1" applyAlignment="1">
      <alignment vertical="center"/>
    </xf>
    <xf numFmtId="0" fontId="132" fillId="0" borderId="59" xfId="0" applyFont="1" applyBorder="1" applyAlignment="1">
      <alignment horizontal="center" vertical="center"/>
    </xf>
    <xf numFmtId="0" fontId="131" fillId="0" borderId="59" xfId="0" applyFont="1" applyBorder="1" applyAlignment="1">
      <alignment horizontal="center" vertical="center"/>
    </xf>
    <xf numFmtId="0" fontId="132" fillId="0" borderId="60" xfId="0" applyFont="1" applyBorder="1" applyAlignment="1">
      <alignment vertical="center"/>
    </xf>
    <xf numFmtId="0" fontId="48" fillId="0" borderId="60" xfId="0" applyFont="1" applyBorder="1" applyAlignment="1">
      <alignment vertical="center"/>
    </xf>
    <xf numFmtId="3" fontId="149" fillId="0" borderId="48" xfId="0" applyNumberFormat="1" applyFont="1" applyBorder="1" applyAlignment="1">
      <alignment horizontal="center" vertical="center"/>
    </xf>
    <xf numFmtId="164" fontId="149" fillId="0" borderId="69" xfId="0" applyNumberFormat="1" applyFont="1" applyBorder="1" applyAlignment="1">
      <alignment horizontal="center" vertical="center"/>
    </xf>
    <xf numFmtId="164" fontId="149" fillId="0" borderId="67" xfId="0" applyNumberFormat="1" applyFont="1" applyBorder="1" applyAlignment="1">
      <alignment horizontal="center" vertical="center"/>
    </xf>
    <xf numFmtId="3" fontId="149" fillId="19" borderId="30" xfId="0" applyNumberFormat="1" applyFont="1" applyFill="1" applyBorder="1" applyAlignment="1">
      <alignment horizontal="center" vertical="center"/>
    </xf>
    <xf numFmtId="0" fontId="149" fillId="0" borderId="67" xfId="0" applyFont="1" applyBorder="1" applyAlignment="1">
      <alignment vertical="center"/>
    </xf>
    <xf numFmtId="178" fontId="149" fillId="0" borderId="48" xfId="0" applyNumberFormat="1" applyFont="1" applyBorder="1" applyAlignment="1">
      <alignment horizontal="center" vertical="center"/>
    </xf>
    <xf numFmtId="0" fontId="149" fillId="0" borderId="69" xfId="0" applyFont="1" applyBorder="1" applyAlignment="1">
      <alignment vertical="center"/>
    </xf>
    <xf numFmtId="0" fontId="149" fillId="0" borderId="66" xfId="0" applyFont="1" applyBorder="1" applyAlignment="1">
      <alignment vertical="center"/>
    </xf>
    <xf numFmtId="0" fontId="48" fillId="0" borderId="63" xfId="0" applyFont="1" applyBorder="1" applyAlignment="1">
      <alignment horizontal="center" vertical="center"/>
    </xf>
    <xf numFmtId="0" fontId="149" fillId="0" borderId="23" xfId="0" applyFont="1" applyBorder="1" applyAlignment="1">
      <alignment horizontal="center" vertical="center"/>
    </xf>
    <xf numFmtId="0" fontId="149" fillId="0" borderId="0" xfId="0" applyFont="1" applyAlignment="1">
      <alignment horizontal="center" vertical="center"/>
    </xf>
    <xf numFmtId="0" fontId="22" fillId="39" borderId="87" xfId="0" applyFont="1" applyFill="1" applyBorder="1" applyAlignment="1">
      <alignment horizontal="center" vertical="center"/>
    </xf>
    <xf numFmtId="0" fontId="22" fillId="39" borderId="88" xfId="0" applyFont="1" applyFill="1" applyBorder="1" applyAlignment="1">
      <alignment horizontal="center" vertical="center"/>
    </xf>
    <xf numFmtId="0" fontId="22" fillId="39" borderId="89" xfId="0" applyFont="1" applyFill="1" applyBorder="1" applyAlignment="1">
      <alignment horizontal="center" vertical="center"/>
    </xf>
    <xf numFmtId="0" fontId="22" fillId="39" borderId="90" xfId="0" applyFont="1" applyFill="1" applyBorder="1" applyAlignment="1">
      <alignment horizontal="center" vertical="center"/>
    </xf>
    <xf numFmtId="0" fontId="22" fillId="39" borderId="91" xfId="0" applyFont="1" applyFill="1" applyBorder="1" applyAlignment="1">
      <alignment horizontal="center" vertical="center"/>
    </xf>
    <xf numFmtId="0" fontId="22" fillId="39" borderId="92" xfId="0" applyFont="1" applyFill="1" applyBorder="1" applyAlignment="1">
      <alignment horizontal="center" vertical="center"/>
    </xf>
    <xf numFmtId="0" fontId="45" fillId="0" borderId="23" xfId="0" applyFont="1" applyBorder="1" applyAlignment="1">
      <alignment vertical="center"/>
    </xf>
    <xf numFmtId="0" fontId="46" fillId="0" borderId="78" xfId="0" applyFont="1" applyBorder="1" applyAlignment="1">
      <alignment vertical="center"/>
    </xf>
    <xf numFmtId="0" fontId="132" fillId="0" borderId="79" xfId="0" applyFont="1" applyBorder="1" applyAlignment="1">
      <alignment vertical="center"/>
    </xf>
    <xf numFmtId="0" fontId="178" fillId="38" borderId="61" xfId="0" applyFont="1" applyFill="1" applyBorder="1" applyAlignment="1">
      <alignment horizontal="center" vertical="center"/>
    </xf>
    <xf numFmtId="0" fontId="73" fillId="38" borderId="62" xfId="0" applyFont="1" applyFill="1" applyBorder="1" applyAlignment="1">
      <alignment horizontal="center" vertical="center"/>
    </xf>
    <xf numFmtId="0" fontId="178" fillId="38" borderId="62" xfId="0" applyFont="1" applyFill="1" applyBorder="1" applyAlignment="1">
      <alignment horizontal="center" vertical="center"/>
    </xf>
    <xf numFmtId="0" fontId="149" fillId="15" borderId="97" xfId="0" applyFont="1" applyFill="1" applyBorder="1" applyAlignment="1">
      <alignment vertical="center"/>
    </xf>
    <xf numFmtId="0" fontId="178" fillId="38" borderId="63" xfId="0" applyFont="1" applyFill="1" applyBorder="1" applyAlignment="1">
      <alignment horizontal="center" vertical="center"/>
    </xf>
    <xf numFmtId="0" fontId="179" fillId="0" borderId="23" xfId="0" applyFont="1" applyBorder="1" applyAlignment="1">
      <alignment vertical="center"/>
    </xf>
    <xf numFmtId="0" fontId="132" fillId="0" borderId="41" xfId="0" applyFont="1" applyBorder="1" applyAlignment="1">
      <alignment vertical="center"/>
    </xf>
    <xf numFmtId="0" fontId="131" fillId="0" borderId="44" xfId="0" applyFont="1" applyBorder="1" applyAlignment="1">
      <alignment vertical="center"/>
    </xf>
    <xf numFmtId="0" fontId="149" fillId="0" borderId="78" xfId="0" applyFont="1" applyBorder="1" applyAlignment="1">
      <alignment vertical="center"/>
    </xf>
    <xf numFmtId="0" fontId="149" fillId="0" borderId="79" xfId="0" applyFont="1" applyBorder="1" applyAlignment="1">
      <alignment vertical="center"/>
    </xf>
    <xf numFmtId="0" fontId="48" fillId="0" borderId="59" xfId="0" applyFont="1" applyBorder="1" applyAlignment="1">
      <alignment vertical="center"/>
    </xf>
    <xf numFmtId="0" fontId="131" fillId="0" borderId="76" xfId="0" applyFont="1" applyBorder="1" applyAlignment="1">
      <alignment horizontal="right" vertical="center"/>
    </xf>
    <xf numFmtId="0" fontId="149" fillId="35" borderId="98" xfId="0" applyFont="1" applyFill="1" applyBorder="1" applyAlignment="1">
      <alignment horizontal="center" vertical="center"/>
    </xf>
    <xf numFmtId="0" fontId="185" fillId="15" borderId="23" xfId="0" applyFont="1" applyFill="1" applyBorder="1" applyAlignment="1">
      <alignment horizontal="center" vertical="center"/>
    </xf>
    <xf numFmtId="0" fontId="149" fillId="34" borderId="93" xfId="0" applyFont="1" applyFill="1" applyBorder="1" applyAlignment="1">
      <alignment horizontal="center" vertical="center"/>
    </xf>
    <xf numFmtId="0" fontId="178" fillId="15" borderId="0" xfId="0" applyFont="1" applyFill="1" applyAlignment="1">
      <alignment vertical="center"/>
    </xf>
    <xf numFmtId="0" fontId="149" fillId="19" borderId="93" xfId="0" applyFont="1" applyFill="1" applyBorder="1" applyAlignment="1">
      <alignment horizontal="center" vertical="center"/>
    </xf>
    <xf numFmtId="0" fontId="149" fillId="47" borderId="0" xfId="0" applyFont="1" applyFill="1" applyAlignment="1">
      <alignment horizontal="center" vertical="center"/>
    </xf>
    <xf numFmtId="0" fontId="149" fillId="19" borderId="0" xfId="0" applyFont="1" applyFill="1" applyAlignment="1">
      <alignment horizontal="center" vertical="center"/>
    </xf>
    <xf numFmtId="0" fontId="185" fillId="0" borderId="0" xfId="0" applyFont="1" applyAlignment="1"/>
    <xf numFmtId="0" fontId="68" fillId="0" borderId="102" xfId="0" applyFont="1" applyBorder="1" applyAlignment="1"/>
    <xf numFmtId="0" fontId="68" fillId="0" borderId="103" xfId="0" applyFont="1" applyBorder="1" applyAlignment="1"/>
    <xf numFmtId="0" fontId="68" fillId="0" borderId="104" xfId="0" applyFont="1" applyBorder="1" applyAlignment="1"/>
    <xf numFmtId="0" fontId="68" fillId="0" borderId="105" xfId="0" applyFont="1" applyBorder="1" applyAlignment="1"/>
    <xf numFmtId="0" fontId="73" fillId="40" borderId="106" xfId="0" applyFont="1" applyFill="1" applyBorder="1" applyAlignment="1">
      <alignment horizontal="left" vertical="center"/>
    </xf>
    <xf numFmtId="0" fontId="149" fillId="34" borderId="107" xfId="0" applyFont="1" applyFill="1" applyBorder="1" applyAlignment="1">
      <alignment horizontal="center" vertical="center"/>
    </xf>
    <xf numFmtId="0" fontId="185" fillId="0" borderId="0" xfId="0" applyFont="1" applyAlignment="1">
      <alignment horizontal="center" vertical="center"/>
    </xf>
    <xf numFmtId="0" fontId="175" fillId="15" borderId="0" xfId="0" applyFont="1" applyFill="1" applyAlignment="1">
      <alignment horizontal="center" vertical="center"/>
    </xf>
    <xf numFmtId="0" fontId="175" fillId="0" borderId="0" xfId="0" applyFont="1" applyAlignment="1">
      <alignment horizontal="center" vertical="center"/>
    </xf>
    <xf numFmtId="0" fontId="183" fillId="0" borderId="0" xfId="0" applyFont="1" applyAlignment="1">
      <alignment horizontal="center"/>
    </xf>
    <xf numFmtId="9" fontId="48" fillId="0" borderId="63" xfId="1" applyFont="1" applyBorder="1" applyAlignment="1">
      <alignment horizontal="center" vertical="center"/>
    </xf>
    <xf numFmtId="0" fontId="187" fillId="40" borderId="52" xfId="0" applyFont="1" applyFill="1" applyBorder="1" applyAlignment="1">
      <alignment horizontal="left" vertical="center"/>
    </xf>
    <xf numFmtId="3" fontId="187" fillId="0" borderId="49" xfId="0" applyNumberFormat="1" applyFont="1" applyBorder="1" applyAlignment="1">
      <alignment horizontal="center" vertical="center"/>
    </xf>
    <xf numFmtId="0" fontId="67" fillId="17" borderId="49" xfId="0" applyFont="1" applyFill="1" applyBorder="1" applyAlignment="1">
      <alignment horizontal="right" vertical="center"/>
    </xf>
    <xf numFmtId="0" fontId="0" fillId="0" borderId="0" xfId="0" applyFont="1" applyAlignment="1"/>
    <xf numFmtId="0" fontId="185" fillId="43" borderId="0" xfId="0" applyFont="1" applyFill="1" applyAlignment="1">
      <alignment vertical="center"/>
    </xf>
    <xf numFmtId="0" fontId="23" fillId="43" borderId="0" xfId="0" applyFont="1" applyFill="1" applyAlignment="1">
      <alignment vertical="center"/>
    </xf>
    <xf numFmtId="0" fontId="179" fillId="43" borderId="0" xfId="0" applyFont="1" applyFill="1" applyAlignment="1">
      <alignment vertical="center"/>
    </xf>
    <xf numFmtId="2" fontId="133" fillId="0" borderId="49" xfId="0" applyNumberFormat="1" applyFont="1" applyBorder="1" applyAlignment="1">
      <alignment horizontal="center" vertical="center"/>
    </xf>
    <xf numFmtId="167" fontId="185" fillId="0" borderId="0" xfId="0" applyNumberFormat="1" applyFont="1" applyAlignment="1">
      <alignment horizontal="center" vertical="center"/>
    </xf>
    <xf numFmtId="0" fontId="179" fillId="0" borderId="0" xfId="0" applyFont="1" applyAlignment="1">
      <alignment horizontal="center" vertical="center"/>
    </xf>
    <xf numFmtId="9" fontId="179" fillId="0" borderId="0" xfId="0" applyNumberFormat="1" applyFont="1" applyAlignment="1">
      <alignment horizontal="center" vertical="center"/>
    </xf>
    <xf numFmtId="0" fontId="34" fillId="6" borderId="23" xfId="0" applyFont="1" applyFill="1" applyBorder="1" applyAlignment="1">
      <alignment horizontal="center" vertical="center"/>
    </xf>
    <xf numFmtId="165" fontId="34" fillId="6" borderId="23" xfId="0" applyNumberFormat="1" applyFont="1" applyFill="1" applyBorder="1" applyAlignment="1">
      <alignment horizontal="center" vertical="center"/>
    </xf>
    <xf numFmtId="0" fontId="189" fillId="0" borderId="0" xfId="0" applyFont="1" applyAlignment="1"/>
    <xf numFmtId="0" fontId="189" fillId="0" borderId="0" xfId="0" applyFont="1" applyAlignment="1">
      <alignment vertical="center"/>
    </xf>
    <xf numFmtId="0" fontId="190" fillId="0" borderId="0" xfId="0" applyFont="1" applyAlignment="1">
      <alignment horizontal="center" vertical="center"/>
    </xf>
    <xf numFmtId="0" fontId="190" fillId="0" borderId="0" xfId="0" applyFont="1" applyAlignment="1">
      <alignment vertical="center"/>
    </xf>
    <xf numFmtId="0" fontId="192" fillId="0" borderId="0" xfId="0" applyFont="1" applyAlignment="1"/>
    <xf numFmtId="0" fontId="192" fillId="15" borderId="0" xfId="0" applyFont="1" applyFill="1" applyAlignment="1">
      <alignment vertical="center"/>
    </xf>
    <xf numFmtId="9" fontId="192" fillId="0" borderId="0" xfId="0" applyNumberFormat="1" applyFont="1" applyAlignment="1">
      <alignment horizontal="center" vertical="center"/>
    </xf>
    <xf numFmtId="0" fontId="192" fillId="0" borderId="0" xfId="0" applyFont="1" applyAlignment="1">
      <alignment vertical="center"/>
    </xf>
    <xf numFmtId="0" fontId="192" fillId="10" borderId="5" xfId="0" applyFont="1" applyFill="1" applyBorder="1" applyAlignment="1">
      <alignment horizontal="left" vertical="center"/>
    </xf>
    <xf numFmtId="0" fontId="192" fillId="10" borderId="5" xfId="0" applyFont="1" applyFill="1" applyBorder="1" applyAlignment="1">
      <alignment horizontal="center" vertical="center"/>
    </xf>
    <xf numFmtId="0" fontId="189" fillId="0" borderId="0" xfId="0" applyFont="1" applyAlignment="1">
      <alignment horizontal="center" vertical="center"/>
    </xf>
    <xf numFmtId="0" fontId="192" fillId="0" borderId="0" xfId="0" applyFont="1" applyAlignment="1">
      <alignment horizontal="center" vertical="center"/>
    </xf>
    <xf numFmtId="3" fontId="185" fillId="10" borderId="5" xfId="0" applyNumberFormat="1" applyFont="1" applyFill="1" applyBorder="1" applyAlignment="1">
      <alignment horizontal="center" vertical="center"/>
    </xf>
    <xf numFmtId="1" fontId="185" fillId="10" borderId="5" xfId="0" applyNumberFormat="1" applyFont="1" applyFill="1" applyBorder="1" applyAlignment="1">
      <alignment horizontal="center" vertical="center"/>
    </xf>
    <xf numFmtId="0" fontId="86" fillId="15" borderId="0" xfId="0" applyFont="1" applyFill="1" applyAlignment="1">
      <alignment vertical="center"/>
    </xf>
    <xf numFmtId="0" fontId="35" fillId="15" borderId="23" xfId="0" applyFont="1" applyFill="1" applyBorder="1" applyAlignment="1">
      <alignment vertical="center"/>
    </xf>
    <xf numFmtId="0" fontId="190" fillId="15" borderId="23" xfId="0" applyFont="1" applyFill="1" applyBorder="1" applyAlignment="1">
      <alignment vertical="center"/>
    </xf>
    <xf numFmtId="0" fontId="189" fillId="15" borderId="23" xfId="0" applyFont="1" applyFill="1" applyBorder="1" applyAlignment="1">
      <alignment vertical="center"/>
    </xf>
    <xf numFmtId="0" fontId="35" fillId="6" borderId="23" xfId="0" applyFont="1" applyFill="1" applyBorder="1" applyAlignment="1">
      <alignment horizontal="center" vertical="center"/>
    </xf>
    <xf numFmtId="0" fontId="35" fillId="0" borderId="23" xfId="0" applyFont="1" applyBorder="1" applyAlignment="1">
      <alignment horizontal="center" vertical="center"/>
    </xf>
    <xf numFmtId="0" fontId="190" fillId="0" borderId="23" xfId="0" applyFont="1" applyBorder="1" applyAlignment="1">
      <alignment horizontal="center" vertical="center"/>
    </xf>
    <xf numFmtId="0" fontId="189" fillId="0" borderId="23" xfId="0" applyFont="1" applyBorder="1" applyAlignment="1">
      <alignment horizontal="center" vertical="center"/>
    </xf>
    <xf numFmtId="0" fontId="36" fillId="0" borderId="57" xfId="0" applyFont="1" applyBorder="1" applyAlignment="1">
      <alignment horizontal="left" vertical="center"/>
    </xf>
    <xf numFmtId="0" fontId="34" fillId="0" borderId="57" xfId="0" applyFont="1" applyBorder="1" applyAlignment="1">
      <alignment horizontal="left" vertical="center"/>
    </xf>
    <xf numFmtId="0" fontId="191" fillId="35" borderId="57" xfId="0" applyFont="1" applyFill="1" applyBorder="1" applyAlignment="1">
      <alignment horizontal="right" vertical="center"/>
    </xf>
    <xf numFmtId="0" fontId="186" fillId="35" borderId="57" xfId="0" applyFont="1" applyFill="1" applyBorder="1" applyAlignment="1">
      <alignment horizontal="left" vertical="center"/>
    </xf>
    <xf numFmtId="0" fontId="186" fillId="35" borderId="58" xfId="0" applyFont="1" applyFill="1" applyBorder="1" applyAlignment="1">
      <alignment horizontal="left" vertical="center"/>
    </xf>
    <xf numFmtId="168" fontId="43" fillId="0" borderId="60" xfId="0" applyNumberFormat="1" applyFont="1" applyBorder="1" applyAlignment="1">
      <alignment horizontal="center" vertical="center"/>
    </xf>
    <xf numFmtId="0" fontId="179" fillId="0" borderId="59" xfId="0" applyFont="1" applyBorder="1" applyAlignment="1">
      <alignment horizontal="center" vertical="center"/>
    </xf>
    <xf numFmtId="0" fontId="179" fillId="0" borderId="60" xfId="0" applyFont="1" applyBorder="1" applyAlignment="1">
      <alignment horizontal="center" vertical="center"/>
    </xf>
    <xf numFmtId="0" fontId="185" fillId="0" borderId="0" xfId="0" applyFont="1"/>
    <xf numFmtId="178" fontId="185" fillId="0" borderId="30" xfId="0" applyNumberFormat="1" applyFont="1" applyBorder="1" applyAlignment="1">
      <alignment horizontal="center" vertical="center"/>
    </xf>
    <xf numFmtId="0" fontId="179" fillId="15" borderId="23" xfId="0" applyFont="1" applyFill="1" applyBorder="1" applyAlignment="1"/>
    <xf numFmtId="0" fontId="0" fillId="15" borderId="23" xfId="0" applyFont="1" applyFill="1" applyBorder="1"/>
    <xf numFmtId="0" fontId="2" fillId="15" borderId="23" xfId="0" applyFont="1" applyFill="1" applyBorder="1"/>
    <xf numFmtId="0" fontId="185" fillId="15" borderId="23" xfId="0" applyFont="1" applyFill="1" applyBorder="1"/>
    <xf numFmtId="0" fontId="23" fillId="15" borderId="23" xfId="0" applyFont="1" applyFill="1" applyBorder="1" applyAlignment="1"/>
    <xf numFmtId="0" fontId="34" fillId="15" borderId="23" xfId="0" applyFont="1" applyFill="1" applyBorder="1" applyAlignment="1"/>
    <xf numFmtId="0" fontId="34" fillId="15" borderId="23" xfId="0" applyFont="1" applyFill="1" applyBorder="1"/>
    <xf numFmtId="0" fontId="35" fillId="15" borderId="23" xfId="0" applyFont="1" applyFill="1" applyBorder="1"/>
    <xf numFmtId="0" fontId="179" fillId="0" borderId="23" xfId="0" applyFont="1" applyBorder="1" applyAlignment="1"/>
    <xf numFmtId="0" fontId="0" fillId="0" borderId="23" xfId="0" applyFont="1" applyBorder="1" applyAlignment="1"/>
    <xf numFmtId="0" fontId="0" fillId="0" borderId="23" xfId="0" applyFont="1" applyBorder="1"/>
    <xf numFmtId="0" fontId="2" fillId="0" borderId="23" xfId="0" applyFont="1" applyBorder="1"/>
    <xf numFmtId="0" fontId="185" fillId="0" borderId="23" xfId="0" applyFont="1" applyBorder="1"/>
    <xf numFmtId="0" fontId="23" fillId="0" borderId="23" xfId="0" applyFont="1" applyBorder="1" applyAlignment="1"/>
    <xf numFmtId="0" fontId="36" fillId="0" borderId="57" xfId="0" applyFont="1" applyBorder="1" applyAlignment="1">
      <alignment horizontal="left"/>
    </xf>
    <xf numFmtId="0" fontId="149" fillId="35" borderId="57" xfId="0" applyFont="1" applyFill="1" applyBorder="1" applyAlignment="1">
      <alignment horizontal="right"/>
    </xf>
    <xf numFmtId="0" fontId="34" fillId="0" borderId="76" xfId="0" applyFont="1" applyBorder="1" applyAlignment="1">
      <alignment horizontal="right"/>
    </xf>
    <xf numFmtId="0" fontId="34" fillId="0" borderId="78" xfId="0" applyFont="1" applyBorder="1" applyAlignment="1"/>
    <xf numFmtId="0" fontId="34" fillId="0" borderId="79" xfId="0" applyFont="1" applyBorder="1" applyAlignment="1"/>
    <xf numFmtId="0" fontId="34" fillId="0" borderId="111" xfId="0" applyFont="1" applyBorder="1" applyAlignment="1"/>
    <xf numFmtId="0" fontId="165" fillId="35" borderId="98" xfId="0" applyFont="1" applyFill="1" applyBorder="1" applyAlignment="1">
      <alignment horizontal="center" vertical="center"/>
    </xf>
    <xf numFmtId="168" fontId="0" fillId="0" borderId="23" xfId="0" applyNumberFormat="1" applyFont="1" applyBorder="1" applyAlignment="1">
      <alignment horizontal="center" vertical="center"/>
    </xf>
    <xf numFmtId="3" fontId="0" fillId="0" borderId="23" xfId="0" applyNumberFormat="1" applyFont="1" applyBorder="1" applyAlignment="1">
      <alignment horizontal="center" vertical="center"/>
    </xf>
    <xf numFmtId="179" fontId="0" fillId="0" borderId="23" xfId="0" applyNumberFormat="1" applyFont="1" applyBorder="1" applyAlignment="1">
      <alignment horizontal="center"/>
    </xf>
    <xf numFmtId="177" fontId="0" fillId="0" borderId="23" xfId="0" applyNumberFormat="1" applyFont="1" applyBorder="1" applyAlignment="1">
      <alignment horizontal="center"/>
    </xf>
    <xf numFmtId="0" fontId="34" fillId="0" borderId="44" xfId="0" applyFont="1" applyBorder="1" applyAlignment="1">
      <alignment horizontal="right"/>
    </xf>
    <xf numFmtId="0" fontId="34" fillId="0" borderId="44" xfId="0" applyFont="1" applyBorder="1" applyAlignment="1"/>
    <xf numFmtId="0" fontId="34" fillId="0" borderId="41" xfId="0" applyFont="1" applyBorder="1" applyAlignment="1"/>
    <xf numFmtId="0" fontId="170" fillId="35" borderId="56" xfId="0" applyFont="1" applyFill="1" applyBorder="1" applyAlignment="1">
      <alignment horizontal="center" vertical="center"/>
    </xf>
    <xf numFmtId="0" fontId="35" fillId="0" borderId="57" xfId="0" applyFont="1" applyBorder="1" applyAlignment="1">
      <alignment horizontal="left" vertical="center"/>
    </xf>
    <xf numFmtId="0" fontId="122" fillId="0" borderId="57" xfId="0" applyFont="1" applyBorder="1" applyAlignment="1">
      <alignment horizontal="left" vertical="center"/>
    </xf>
    <xf numFmtId="0" fontId="175" fillId="17" borderId="57" xfId="0" applyFont="1" applyFill="1" applyBorder="1" applyAlignment="1">
      <alignment horizontal="right" vertical="center"/>
    </xf>
    <xf numFmtId="0" fontId="34" fillId="0" borderId="59" xfId="0" applyFont="1" applyBorder="1" applyAlignment="1">
      <alignment vertical="center"/>
    </xf>
    <xf numFmtId="0" fontId="34" fillId="0" borderId="60" xfId="0" applyFont="1" applyBorder="1" applyAlignment="1">
      <alignment vertical="center"/>
    </xf>
    <xf numFmtId="0" fontId="34" fillId="0" borderId="108" xfId="0" applyFont="1" applyBorder="1" applyAlignment="1">
      <alignment vertical="center"/>
    </xf>
    <xf numFmtId="0" fontId="175" fillId="15" borderId="23" xfId="0" applyFont="1" applyFill="1" applyBorder="1"/>
    <xf numFmtId="0" fontId="175" fillId="15" borderId="23" xfId="0" applyFont="1" applyFill="1" applyBorder="1" applyAlignment="1">
      <alignment vertical="center"/>
    </xf>
    <xf numFmtId="168" fontId="175" fillId="0" borderId="23" xfId="0" applyNumberFormat="1" applyFont="1" applyBorder="1" applyAlignment="1">
      <alignment horizontal="center" vertical="center"/>
    </xf>
    <xf numFmtId="168" fontId="175" fillId="0" borderId="0" xfId="0" applyNumberFormat="1" applyFont="1" applyAlignment="1">
      <alignment horizontal="center" vertical="center"/>
    </xf>
    <xf numFmtId="0" fontId="175" fillId="0" borderId="0" xfId="0" applyFont="1"/>
    <xf numFmtId="0" fontId="183" fillId="0" borderId="0" xfId="0" applyFont="1" applyAlignment="1"/>
    <xf numFmtId="0" fontId="165" fillId="31" borderId="113" xfId="0" applyFont="1" applyFill="1" applyBorder="1" applyAlignment="1">
      <alignment vertical="center"/>
    </xf>
    <xf numFmtId="0" fontId="55" fillId="0" borderId="59" xfId="0" applyFont="1" applyBorder="1" applyAlignment="1">
      <alignment vertical="center"/>
    </xf>
    <xf numFmtId="0" fontId="59" fillId="0" borderId="115" xfId="0" applyFont="1" applyBorder="1" applyAlignment="1">
      <alignment vertical="center"/>
    </xf>
    <xf numFmtId="0" fontId="59" fillId="0" borderId="59" xfId="0" applyFont="1" applyBorder="1" applyAlignment="1">
      <alignment horizontal="right" vertical="center"/>
    </xf>
    <xf numFmtId="0" fontId="59" fillId="0" borderId="59" xfId="0" applyFont="1" applyBorder="1" applyAlignment="1">
      <alignment horizontal="left" vertical="center"/>
    </xf>
    <xf numFmtId="0" fontId="55" fillId="0" borderId="61" xfId="0" applyFont="1" applyBorder="1" applyAlignment="1">
      <alignment vertical="center"/>
    </xf>
    <xf numFmtId="0" fontId="55" fillId="0" borderId="61" xfId="0" applyFont="1" applyBorder="1" applyAlignment="1">
      <alignment vertical="center" wrapText="1"/>
    </xf>
    <xf numFmtId="0" fontId="0" fillId="0" borderId="0" xfId="0" applyFont="1" applyAlignment="1">
      <alignment horizontal="center" vertical="center"/>
    </xf>
    <xf numFmtId="0" fontId="34" fillId="0" borderId="30" xfId="0" applyFont="1" applyBorder="1" applyAlignment="1">
      <alignment horizontal="center" vertical="center"/>
    </xf>
    <xf numFmtId="0" fontId="0" fillId="0" borderId="0" xfId="0" applyFont="1" applyAlignment="1">
      <alignment vertical="center"/>
    </xf>
    <xf numFmtId="0" fontId="39" fillId="0" borderId="30" xfId="0" applyFont="1" applyBorder="1" applyAlignment="1">
      <alignment vertical="center"/>
    </xf>
    <xf numFmtId="0" fontId="39" fillId="0" borderId="30" xfId="0" applyFont="1" applyBorder="1" applyAlignment="1">
      <alignment horizontal="center" vertical="center"/>
    </xf>
    <xf numFmtId="3" fontId="39" fillId="0" borderId="30" xfId="0" applyNumberFormat="1" applyFont="1" applyBorder="1" applyAlignment="1">
      <alignment horizontal="center" vertical="center"/>
    </xf>
    <xf numFmtId="0" fontId="0" fillId="15" borderId="0" xfId="0" applyFont="1" applyFill="1" applyAlignment="1">
      <alignment horizontal="center" vertical="center"/>
    </xf>
    <xf numFmtId="0" fontId="1" fillId="15" borderId="0" xfId="0" applyFont="1" applyFill="1" applyAlignment="1">
      <alignment horizontal="center" vertical="center"/>
    </xf>
    <xf numFmtId="0" fontId="187" fillId="15" borderId="0" xfId="0" applyFont="1" applyFill="1" applyAlignment="1">
      <alignment vertical="center"/>
    </xf>
    <xf numFmtId="0" fontId="186" fillId="0" borderId="5" xfId="0" applyFont="1" applyFill="1" applyBorder="1" applyAlignment="1">
      <alignment vertical="center"/>
    </xf>
    <xf numFmtId="0" fontId="28" fillId="15" borderId="0" xfId="0" applyFont="1" applyFill="1" applyAlignment="1">
      <alignment horizontal="right" vertical="center"/>
    </xf>
    <xf numFmtId="3" fontId="34" fillId="0" borderId="30" xfId="0" applyNumberFormat="1" applyFont="1" applyBorder="1" applyAlignment="1">
      <alignment horizontal="right" vertical="center"/>
    </xf>
    <xf numFmtId="9" fontId="36" fillId="0" borderId="30" xfId="0" applyNumberFormat="1" applyFont="1" applyBorder="1" applyAlignment="1">
      <alignment horizontal="right" vertical="center"/>
    </xf>
    <xf numFmtId="1" fontId="34" fillId="0" borderId="30" xfId="0" applyNumberFormat="1" applyFont="1" applyBorder="1" applyAlignment="1">
      <alignment horizontal="right" vertical="center"/>
    </xf>
    <xf numFmtId="1" fontId="90" fillId="0" borderId="30" xfId="0" applyNumberFormat="1" applyFont="1" applyBorder="1" applyAlignment="1">
      <alignment horizontal="right" vertical="center"/>
    </xf>
    <xf numFmtId="0" fontId="34" fillId="0" borderId="30" xfId="0" applyFont="1" applyBorder="1" applyAlignment="1">
      <alignment horizontal="right" vertical="center"/>
    </xf>
    <xf numFmtId="0" fontId="199" fillId="51" borderId="30" xfId="0" applyFont="1" applyFill="1" applyBorder="1" applyAlignment="1">
      <alignment horizontal="right" vertical="center"/>
    </xf>
    <xf numFmtId="165" fontId="12" fillId="2" borderId="129" xfId="0" applyNumberFormat="1" applyFont="1" applyFill="1" applyBorder="1" applyAlignment="1" applyProtection="1">
      <alignment horizontal="center" vertical="center"/>
      <protection locked="0"/>
    </xf>
    <xf numFmtId="0" fontId="12" fillId="0" borderId="130" xfId="0" applyFont="1" applyFill="1" applyBorder="1" applyAlignment="1">
      <alignment horizontal="center" vertical="center"/>
    </xf>
    <xf numFmtId="165" fontId="12" fillId="2" borderId="97" xfId="0" applyNumberFormat="1" applyFont="1" applyFill="1" applyBorder="1" applyAlignment="1" applyProtection="1">
      <alignment horizontal="center" vertical="center"/>
      <protection locked="0"/>
    </xf>
    <xf numFmtId="0" fontId="12" fillId="0" borderId="180" xfId="0" applyFont="1" applyBorder="1" applyAlignment="1">
      <alignment vertical="center"/>
    </xf>
    <xf numFmtId="0" fontId="32" fillId="0" borderId="134" xfId="0" applyFont="1" applyBorder="1" applyAlignment="1">
      <alignment horizontal="right" vertical="center"/>
    </xf>
    <xf numFmtId="0" fontId="12" fillId="0" borderId="112" xfId="0" applyFont="1" applyFill="1" applyBorder="1" applyAlignment="1">
      <alignment horizontal="center" vertical="center"/>
    </xf>
    <xf numFmtId="1" fontId="12" fillId="2" borderId="181" xfId="0" applyNumberFormat="1" applyFont="1" applyFill="1" applyBorder="1" applyAlignment="1" applyProtection="1">
      <alignment horizontal="center" vertical="center"/>
      <protection locked="0"/>
    </xf>
    <xf numFmtId="0" fontId="32" fillId="0" borderId="128" xfId="0" applyFont="1" applyBorder="1" applyAlignment="1">
      <alignment horizontal="right" vertical="center"/>
    </xf>
    <xf numFmtId="0" fontId="32" fillId="0" borderId="179" xfId="0" applyFont="1" applyBorder="1" applyAlignment="1">
      <alignment horizontal="right" vertical="center"/>
    </xf>
    <xf numFmtId="0" fontId="22" fillId="51" borderId="182" xfId="0" applyFont="1" applyFill="1" applyBorder="1" applyAlignment="1">
      <alignment horizontal="right" vertical="center"/>
    </xf>
    <xf numFmtId="165" fontId="25" fillId="2" borderId="183" xfId="0" applyNumberFormat="1" applyFont="1" applyFill="1" applyBorder="1" applyAlignment="1" applyProtection="1">
      <alignment horizontal="center" vertical="center"/>
      <protection locked="0"/>
    </xf>
    <xf numFmtId="0" fontId="25" fillId="0" borderId="120" xfId="0" applyFont="1" applyFill="1" applyBorder="1" applyAlignment="1">
      <alignment horizontal="center" vertical="center"/>
    </xf>
    <xf numFmtId="0" fontId="32" fillId="0" borderId="184" xfId="0" applyFont="1" applyBorder="1" applyAlignment="1">
      <alignment horizontal="right" vertical="center"/>
    </xf>
    <xf numFmtId="165" fontId="12" fillId="2" borderId="185" xfId="0" applyNumberFormat="1" applyFont="1" applyFill="1" applyBorder="1" applyAlignment="1" applyProtection="1">
      <alignment horizontal="center" vertical="center"/>
      <protection locked="0"/>
    </xf>
    <xf numFmtId="0" fontId="12" fillId="0" borderId="186" xfId="0" applyFont="1" applyBorder="1" applyAlignment="1">
      <alignment vertical="center"/>
    </xf>
    <xf numFmtId="0" fontId="22" fillId="51" borderId="187" xfId="0" applyFont="1" applyFill="1" applyBorder="1" applyAlignment="1">
      <alignment horizontal="right" vertical="center"/>
    </xf>
    <xf numFmtId="1" fontId="25" fillId="2" borderId="188" xfId="0" applyNumberFormat="1" applyFont="1" applyFill="1" applyBorder="1" applyAlignment="1" applyProtection="1">
      <alignment horizontal="center" vertical="center"/>
      <protection locked="0"/>
    </xf>
    <xf numFmtId="0" fontId="25" fillId="0" borderId="189" xfId="0" applyFont="1" applyBorder="1" applyAlignment="1">
      <alignment horizontal="center" vertical="center"/>
    </xf>
    <xf numFmtId="0" fontId="206" fillId="0" borderId="0" xfId="0" applyFont="1" applyAlignment="1">
      <alignment vertical="center"/>
    </xf>
    <xf numFmtId="0" fontId="57" fillId="31" borderId="113" xfId="0" applyFont="1" applyFill="1" applyBorder="1" applyAlignment="1">
      <alignment vertical="center"/>
    </xf>
    <xf numFmtId="0" fontId="57" fillId="31" borderId="114" xfId="0" applyFont="1" applyFill="1" applyBorder="1" applyAlignment="1">
      <alignment horizontal="center" vertical="center"/>
    </xf>
    <xf numFmtId="0" fontId="32" fillId="0" borderId="0" xfId="0" applyFont="1" applyAlignment="1">
      <alignment vertical="center"/>
    </xf>
    <xf numFmtId="0" fontId="165" fillId="31" borderId="114" xfId="0" applyFont="1" applyFill="1" applyBorder="1" applyAlignment="1">
      <alignment horizontal="center" vertical="center"/>
    </xf>
    <xf numFmtId="0" fontId="207" fillId="0" borderId="0" xfId="0" applyFont="1" applyAlignment="1">
      <alignment vertical="center"/>
    </xf>
    <xf numFmtId="0" fontId="57" fillId="31" borderId="59" xfId="0" applyFont="1" applyFill="1" applyBorder="1" applyAlignment="1">
      <alignment vertical="center"/>
    </xf>
    <xf numFmtId="0" fontId="165" fillId="31" borderId="113" xfId="0" applyFont="1" applyFill="1" applyBorder="1" applyAlignment="1">
      <alignment vertical="center" wrapText="1"/>
    </xf>
    <xf numFmtId="166" fontId="44" fillId="0" borderId="30" xfId="0" applyNumberFormat="1" applyFont="1" applyFill="1" applyBorder="1" applyAlignment="1">
      <alignment horizontal="center" vertical="center"/>
    </xf>
    <xf numFmtId="0" fontId="161" fillId="56" borderId="0" xfId="0" applyFont="1" applyFill="1" applyAlignment="1">
      <alignment horizontal="left" vertical="center"/>
    </xf>
    <xf numFmtId="166" fontId="59" fillId="0" borderId="30" xfId="1" applyNumberFormat="1" applyFont="1" applyFill="1" applyBorder="1" applyAlignment="1">
      <alignment horizontal="center" vertical="center"/>
    </xf>
    <xf numFmtId="166" fontId="59" fillId="0" borderId="34" xfId="0" applyNumberFormat="1" applyFont="1" applyFill="1" applyBorder="1" applyAlignment="1">
      <alignment horizontal="center" vertical="center" wrapText="1"/>
    </xf>
    <xf numFmtId="0" fontId="165" fillId="31" borderId="113" xfId="0" applyFont="1" applyFill="1" applyBorder="1" applyAlignment="1">
      <alignment horizontal="left" vertical="center"/>
    </xf>
    <xf numFmtId="0" fontId="165" fillId="31" borderId="117" xfId="0" applyFont="1" applyFill="1" applyBorder="1" applyAlignment="1">
      <alignment horizontal="center" vertical="center"/>
    </xf>
    <xf numFmtId="167" fontId="165" fillId="31" borderId="114" xfId="0" applyNumberFormat="1" applyFont="1" applyFill="1" applyBorder="1" applyAlignment="1">
      <alignment horizontal="center" vertical="center"/>
    </xf>
    <xf numFmtId="167" fontId="59" fillId="0" borderId="60" xfId="0" applyNumberFormat="1" applyFont="1" applyBorder="1" applyAlignment="1">
      <alignment horizontal="center" vertical="center"/>
    </xf>
    <xf numFmtId="0" fontId="39" fillId="0" borderId="59" xfId="0" applyFont="1" applyBorder="1" applyAlignment="1">
      <alignment vertical="center"/>
    </xf>
    <xf numFmtId="167" fontId="39" fillId="0" borderId="60" xfId="0" applyNumberFormat="1" applyFont="1" applyBorder="1" applyAlignment="1">
      <alignment horizontal="center" vertical="center"/>
    </xf>
    <xf numFmtId="0" fontId="39" fillId="0" borderId="61" xfId="0" applyFont="1" applyBorder="1" applyAlignment="1">
      <alignment vertical="center"/>
    </xf>
    <xf numFmtId="0" fontId="39" fillId="0" borderId="62" xfId="0" applyFont="1" applyBorder="1" applyAlignment="1">
      <alignment horizontal="center" vertical="center"/>
    </xf>
    <xf numFmtId="0" fontId="168" fillId="17" borderId="113" xfId="0" applyFont="1" applyFill="1" applyBorder="1" applyAlignment="1">
      <alignment horizontal="left" vertical="center"/>
    </xf>
    <xf numFmtId="0" fontId="168" fillId="31" borderId="117" xfId="0" applyFont="1" applyFill="1" applyBorder="1" applyAlignment="1">
      <alignment horizontal="center" vertical="center"/>
    </xf>
    <xf numFmtId="167" fontId="168" fillId="31" borderId="114" xfId="0" applyNumberFormat="1" applyFont="1" applyFill="1" applyBorder="1" applyAlignment="1">
      <alignment horizontal="center" vertical="center"/>
    </xf>
    <xf numFmtId="166" fontId="59" fillId="2" borderId="60" xfId="0" applyNumberFormat="1" applyFont="1" applyFill="1" applyBorder="1" applyAlignment="1" applyProtection="1">
      <alignment horizontal="center" vertical="center"/>
      <protection locked="0"/>
    </xf>
    <xf numFmtId="168" fontId="59" fillId="0" borderId="60" xfId="0" applyNumberFormat="1" applyFont="1" applyBorder="1" applyAlignment="1">
      <alignment horizontal="center" vertical="center"/>
    </xf>
    <xf numFmtId="0" fontId="146" fillId="17" borderId="139" xfId="0" applyFont="1" applyFill="1" applyBorder="1" applyAlignment="1">
      <alignment horizontal="left" vertical="center"/>
    </xf>
    <xf numFmtId="167" fontId="168" fillId="31" borderId="140" xfId="0" applyNumberFormat="1" applyFont="1" applyFill="1" applyBorder="1" applyAlignment="1">
      <alignment horizontal="center" vertical="center"/>
    </xf>
    <xf numFmtId="0" fontId="165" fillId="31" borderId="113" xfId="0" applyFont="1" applyFill="1" applyBorder="1" applyAlignment="1">
      <alignment horizontal="center" vertical="center"/>
    </xf>
    <xf numFmtId="0" fontId="183" fillId="15" borderId="39" xfId="0" applyFont="1" applyFill="1" applyBorder="1" applyAlignment="1">
      <alignment vertical="center"/>
    </xf>
    <xf numFmtId="0" fontId="183" fillId="15" borderId="44" xfId="0" applyFont="1" applyFill="1" applyBorder="1" applyAlignment="1">
      <alignment vertical="center"/>
    </xf>
    <xf numFmtId="0" fontId="22" fillId="31" borderId="113" xfId="0" applyFont="1" applyFill="1" applyBorder="1" applyAlignment="1">
      <alignment horizontal="center" vertical="center"/>
    </xf>
    <xf numFmtId="0" fontId="1" fillId="31" borderId="117" xfId="0" applyFont="1" applyFill="1" applyBorder="1" applyAlignment="1">
      <alignment horizontal="center" vertical="center"/>
    </xf>
    <xf numFmtId="0" fontId="1" fillId="31" borderId="114" xfId="0" applyFont="1" applyFill="1" applyBorder="1" applyAlignment="1">
      <alignment horizontal="center" vertical="center"/>
    </xf>
    <xf numFmtId="169" fontId="37" fillId="3" borderId="60" xfId="0" applyNumberFormat="1" applyFont="1" applyFill="1" applyBorder="1" applyAlignment="1">
      <alignment horizontal="center" vertical="center"/>
    </xf>
    <xf numFmtId="169" fontId="37" fillId="0" borderId="60" xfId="0" applyNumberFormat="1" applyFont="1" applyBorder="1" applyAlignment="1">
      <alignment horizontal="center" vertical="center"/>
    </xf>
    <xf numFmtId="0" fontId="39" fillId="0" borderId="59" xfId="0" applyFont="1" applyBorder="1" applyAlignment="1">
      <alignment horizontal="left" vertical="center"/>
    </xf>
    <xf numFmtId="169" fontId="43" fillId="0" borderId="60" xfId="0" applyNumberFormat="1" applyFont="1" applyBorder="1" applyAlignment="1">
      <alignment horizontal="center" vertical="center"/>
    </xf>
    <xf numFmtId="166" fontId="37" fillId="0" borderId="60" xfId="0" applyNumberFormat="1" applyFont="1" applyBorder="1" applyAlignment="1">
      <alignment horizontal="center" vertical="center"/>
    </xf>
    <xf numFmtId="0" fontId="39" fillId="0" borderId="61" xfId="0" applyFont="1" applyBorder="1" applyAlignment="1">
      <alignment horizontal="left" vertical="center"/>
    </xf>
    <xf numFmtId="3" fontId="43" fillId="0" borderId="62" xfId="0" applyNumberFormat="1" applyFont="1" applyBorder="1" applyAlignment="1">
      <alignment horizontal="center" vertical="center"/>
    </xf>
    <xf numFmtId="166" fontId="43" fillId="0" borderId="63" xfId="0" applyNumberFormat="1" applyFont="1" applyBorder="1" applyAlignment="1">
      <alignment horizontal="center" vertical="center"/>
    </xf>
    <xf numFmtId="0" fontId="57" fillId="31" borderId="113" xfId="0" applyFont="1" applyFill="1" applyBorder="1" applyAlignment="1">
      <alignment horizontal="center" vertical="center"/>
    </xf>
    <xf numFmtId="0" fontId="57" fillId="31" borderId="117" xfId="0" applyFont="1" applyFill="1" applyBorder="1" applyAlignment="1">
      <alignment horizontal="center" vertical="center"/>
    </xf>
    <xf numFmtId="0" fontId="59" fillId="0" borderId="59" xfId="0" applyFont="1" applyBorder="1" applyAlignment="1">
      <alignment vertical="center"/>
    </xf>
    <xf numFmtId="170" fontId="37" fillId="0" borderId="60" xfId="0" applyNumberFormat="1" applyFont="1" applyBorder="1" applyAlignment="1">
      <alignment horizontal="center" vertical="center"/>
    </xf>
    <xf numFmtId="170" fontId="43" fillId="0" borderId="60" xfId="0" applyNumberFormat="1" applyFont="1" applyBorder="1" applyAlignment="1">
      <alignment horizontal="center" vertical="center"/>
    </xf>
    <xf numFmtId="9" fontId="37" fillId="0" borderId="60" xfId="0" applyNumberFormat="1" applyFont="1" applyBorder="1" applyAlignment="1">
      <alignment horizontal="center" vertical="center"/>
    </xf>
    <xf numFmtId="0" fontId="39" fillId="0" borderId="202" xfId="0" applyFont="1" applyBorder="1" applyAlignment="1">
      <alignment vertical="center"/>
    </xf>
    <xf numFmtId="168" fontId="43" fillId="0" borderId="203" xfId="0" applyNumberFormat="1" applyFont="1" applyBorder="1" applyAlignment="1">
      <alignment horizontal="center" vertical="center"/>
    </xf>
    <xf numFmtId="3" fontId="44" fillId="17" borderId="122" xfId="0" applyNumberFormat="1" applyFont="1" applyFill="1" applyBorder="1" applyAlignment="1">
      <alignment horizontal="left" vertical="center"/>
    </xf>
    <xf numFmtId="3" fontId="44" fillId="17" borderId="123" xfId="0" applyNumberFormat="1" applyFont="1" applyFill="1" applyBorder="1" applyAlignment="1">
      <alignment horizontal="center" vertical="center"/>
    </xf>
    <xf numFmtId="168" fontId="37" fillId="0" borderId="124" xfId="0" applyNumberFormat="1" applyFont="1" applyBorder="1" applyAlignment="1" applyProtection="1">
      <alignment horizontal="center" vertical="center"/>
      <protection locked="0"/>
    </xf>
    <xf numFmtId="166" fontId="59" fillId="0" borderId="60" xfId="0" applyNumberFormat="1" applyFont="1" applyBorder="1" applyAlignment="1">
      <alignment horizontal="center" vertical="center"/>
    </xf>
    <xf numFmtId="1" fontId="39" fillId="0" borderId="60" xfId="0" applyNumberFormat="1" applyFont="1" applyBorder="1" applyAlignment="1">
      <alignment horizontal="center" vertical="center"/>
    </xf>
    <xf numFmtId="166" fontId="39" fillId="0" borderId="60" xfId="0" applyNumberFormat="1" applyFont="1" applyBorder="1" applyAlignment="1">
      <alignment horizontal="center" vertical="center"/>
    </xf>
    <xf numFmtId="0" fontId="59" fillId="0" borderId="61" xfId="0" applyFont="1" applyBorder="1" applyAlignment="1">
      <alignment vertical="center"/>
    </xf>
    <xf numFmtId="0" fontId="59" fillId="0" borderId="62" xfId="0" applyFont="1" applyBorder="1" applyAlignment="1">
      <alignment horizontal="center" vertical="center"/>
    </xf>
    <xf numFmtId="9" fontId="59" fillId="0" borderId="63" xfId="0" applyNumberFormat="1" applyFont="1" applyBorder="1" applyAlignment="1">
      <alignment horizontal="center" vertical="center"/>
    </xf>
    <xf numFmtId="0" fontId="57" fillId="46" borderId="113" xfId="0" applyFont="1" applyFill="1" applyBorder="1" applyAlignment="1">
      <alignment horizontal="center" vertical="center"/>
    </xf>
    <xf numFmtId="0" fontId="57" fillId="46" borderId="117" xfId="0" applyFont="1" applyFill="1" applyBorder="1" applyAlignment="1">
      <alignment horizontal="center" vertical="center"/>
    </xf>
    <xf numFmtId="0" fontId="57" fillId="46" borderId="114" xfId="0" applyFont="1" applyFill="1" applyBorder="1" applyAlignment="1">
      <alignment horizontal="center" vertical="center"/>
    </xf>
    <xf numFmtId="3" fontId="59" fillId="2" borderId="60" xfId="0" applyNumberFormat="1" applyFont="1" applyFill="1" applyBorder="1" applyAlignment="1" applyProtection="1">
      <alignment horizontal="center" vertical="center"/>
      <protection locked="0"/>
    </xf>
    <xf numFmtId="9" fontId="39" fillId="2" borderId="60" xfId="0" applyNumberFormat="1" applyFont="1" applyFill="1" applyBorder="1" applyAlignment="1" applyProtection="1">
      <alignment horizontal="center" vertical="center"/>
      <protection locked="0"/>
    </xf>
    <xf numFmtId="170" fontId="39" fillId="0" borderId="59" xfId="0" applyNumberFormat="1" applyFont="1" applyBorder="1" applyAlignment="1">
      <alignment horizontal="left" vertical="center"/>
    </xf>
    <xf numFmtId="166" fontId="39" fillId="2" borderId="60" xfId="0" applyNumberFormat="1" applyFont="1" applyFill="1" applyBorder="1" applyAlignment="1" applyProtection="1">
      <alignment horizontal="center" vertical="center"/>
      <protection locked="0"/>
    </xf>
    <xf numFmtId="168" fontId="39" fillId="2" borderId="60" xfId="0" applyNumberFormat="1" applyFont="1" applyFill="1" applyBorder="1" applyAlignment="1" applyProtection="1">
      <alignment horizontal="center" vertical="center"/>
      <protection locked="0"/>
    </xf>
    <xf numFmtId="170" fontId="22" fillId="0" borderId="61" xfId="0" applyNumberFormat="1" applyFont="1" applyBorder="1" applyAlignment="1">
      <alignment horizontal="left" vertical="center"/>
    </xf>
    <xf numFmtId="0" fontId="22" fillId="0" borderId="62" xfId="0" applyFont="1" applyBorder="1" applyAlignment="1">
      <alignment horizontal="center" vertical="center"/>
    </xf>
    <xf numFmtId="170" fontId="12" fillId="0" borderId="113" xfId="0" applyNumberFormat="1" applyFont="1" applyBorder="1" applyAlignment="1">
      <alignment horizontal="left" vertical="center"/>
    </xf>
    <xf numFmtId="0" fontId="12" fillId="0" borderId="117" xfId="0" applyFont="1" applyBorder="1" applyAlignment="1">
      <alignment horizontal="center" vertical="center"/>
    </xf>
    <xf numFmtId="168" fontId="12" fillId="0" borderId="114" xfId="0" applyNumberFormat="1" applyFont="1" applyBorder="1" applyAlignment="1">
      <alignment horizontal="center" vertical="center"/>
    </xf>
    <xf numFmtId="0" fontId="22" fillId="0" borderId="61" xfId="0" applyFont="1" applyBorder="1" applyAlignment="1">
      <alignment vertical="center"/>
    </xf>
    <xf numFmtId="169" fontId="39" fillId="0" borderId="60" xfId="0" applyNumberFormat="1" applyFont="1" applyBorder="1" applyAlignment="1">
      <alignment horizontal="center" vertical="center"/>
    </xf>
    <xf numFmtId="169" fontId="39" fillId="0" borderId="63" xfId="0" applyNumberFormat="1" applyFont="1" applyBorder="1" applyAlignment="1">
      <alignment horizontal="center" vertical="center"/>
    </xf>
    <xf numFmtId="168" fontId="39" fillId="2" borderId="203" xfId="0" applyNumberFormat="1" applyFont="1" applyFill="1" applyBorder="1" applyAlignment="1" applyProtection="1">
      <alignment horizontal="center" vertical="center"/>
      <protection locked="0"/>
    </xf>
    <xf numFmtId="0" fontId="22" fillId="0" borderId="78" xfId="0" applyFont="1" applyBorder="1" applyAlignment="1">
      <alignment horizontal="left" vertical="center"/>
    </xf>
    <xf numFmtId="0" fontId="22" fillId="0" borderId="34" xfId="0" applyFont="1" applyBorder="1" applyAlignment="1">
      <alignment horizontal="center" vertical="center"/>
    </xf>
    <xf numFmtId="1" fontId="22" fillId="2" borderId="79" xfId="0" applyNumberFormat="1" applyFont="1" applyFill="1" applyBorder="1" applyAlignment="1" applyProtection="1">
      <alignment horizontal="center" vertical="center"/>
      <protection locked="0"/>
    </xf>
    <xf numFmtId="0" fontId="17" fillId="0" borderId="126" xfId="0" applyFont="1" applyBorder="1" applyAlignment="1">
      <alignment horizontal="right" vertical="center"/>
    </xf>
    <xf numFmtId="0" fontId="17" fillId="0" borderId="142" xfId="0" applyFont="1" applyBorder="1" applyAlignment="1">
      <alignment vertical="center"/>
    </xf>
    <xf numFmtId="0" fontId="17" fillId="0" borderId="143" xfId="0" applyFont="1" applyBorder="1" applyAlignment="1">
      <alignment vertical="center"/>
    </xf>
    <xf numFmtId="169" fontId="39" fillId="3" borderId="60" xfId="0" applyNumberFormat="1" applyFont="1" applyFill="1" applyBorder="1" applyAlignment="1">
      <alignment horizontal="center" vertical="center"/>
    </xf>
    <xf numFmtId="172" fontId="39" fillId="3" borderId="60" xfId="0" applyNumberFormat="1" applyFont="1" applyFill="1" applyBorder="1" applyAlignment="1">
      <alignment horizontal="center" vertical="center"/>
    </xf>
    <xf numFmtId="9" fontId="39" fillId="0" borderId="60" xfId="0" applyNumberFormat="1" applyFont="1" applyBorder="1" applyAlignment="1">
      <alignment horizontal="center" vertical="center"/>
    </xf>
    <xf numFmtId="3" fontId="39" fillId="0" borderId="62" xfId="0" applyNumberFormat="1" applyFont="1" applyBorder="1" applyAlignment="1">
      <alignment horizontal="center" vertical="center"/>
    </xf>
    <xf numFmtId="169" fontId="59" fillId="0" borderId="60" xfId="0" applyNumberFormat="1" applyFont="1" applyBorder="1" applyAlignment="1">
      <alignment horizontal="center" vertical="center"/>
    </xf>
    <xf numFmtId="169" fontId="39" fillId="0" borderId="60" xfId="0" applyNumberFormat="1" applyFont="1" applyBorder="1" applyAlignment="1">
      <alignment vertical="center"/>
    </xf>
    <xf numFmtId="2" fontId="44" fillId="17" borderId="61" xfId="0" applyNumberFormat="1" applyFont="1" applyFill="1" applyBorder="1" applyAlignment="1">
      <alignment horizontal="left" vertical="center"/>
    </xf>
    <xf numFmtId="168" fontId="44" fillId="17" borderId="62" xfId="0" applyNumberFormat="1" applyFont="1" applyFill="1" applyBorder="1" applyAlignment="1">
      <alignment horizontal="center" vertical="center"/>
    </xf>
    <xf numFmtId="169" fontId="44" fillId="17" borderId="63" xfId="0" applyNumberFormat="1" applyFont="1" applyFill="1" applyBorder="1" applyAlignment="1">
      <alignment horizontal="center" vertical="center"/>
    </xf>
    <xf numFmtId="0" fontId="43" fillId="0" borderId="62" xfId="0" applyFont="1" applyBorder="1" applyAlignment="1">
      <alignment horizontal="center" vertical="center"/>
    </xf>
    <xf numFmtId="170" fontId="39" fillId="0" borderId="60" xfId="0" applyNumberFormat="1" applyFont="1" applyBorder="1" applyAlignment="1">
      <alignment horizontal="center" vertical="center"/>
    </xf>
    <xf numFmtId="0" fontId="39" fillId="0" borderId="60" xfId="0" applyFont="1" applyBorder="1" applyAlignment="1">
      <alignment vertical="center"/>
    </xf>
    <xf numFmtId="0" fontId="59" fillId="20" borderId="59" xfId="0" applyFont="1" applyFill="1" applyBorder="1" applyAlignment="1">
      <alignment horizontal="left" vertical="center"/>
    </xf>
    <xf numFmtId="170" fontId="37" fillId="20" borderId="60" xfId="0" applyNumberFormat="1" applyFont="1" applyFill="1" applyBorder="1" applyAlignment="1">
      <alignment horizontal="center" vertical="center"/>
    </xf>
    <xf numFmtId="173" fontId="39" fillId="0" borderId="63" xfId="0" applyNumberFormat="1" applyFont="1" applyBorder="1" applyAlignment="1">
      <alignment horizontal="center" vertical="center"/>
    </xf>
    <xf numFmtId="1" fontId="117" fillId="0" borderId="60" xfId="0" applyNumberFormat="1" applyFont="1" applyBorder="1" applyAlignment="1">
      <alignment horizontal="center" vertical="center"/>
    </xf>
    <xf numFmtId="0" fontId="38" fillId="0" borderId="59" xfId="0" applyFont="1" applyBorder="1" applyAlignment="1">
      <alignment horizontal="left" vertical="center"/>
    </xf>
    <xf numFmtId="0" fontId="59" fillId="0" borderId="60" xfId="0" applyFont="1" applyBorder="1" applyAlignment="1">
      <alignment vertical="center"/>
    </xf>
    <xf numFmtId="169" fontId="59" fillId="0" borderId="60" xfId="0" applyNumberFormat="1" applyFont="1" applyBorder="1" applyAlignment="1">
      <alignment vertical="center"/>
    </xf>
    <xf numFmtId="0" fontId="110" fillId="0" borderId="59" xfId="0" applyFont="1" applyBorder="1" applyAlignment="1">
      <alignment horizontal="left" vertical="center"/>
    </xf>
    <xf numFmtId="0" fontId="145" fillId="0" borderId="59" xfId="0" applyFont="1" applyBorder="1" applyAlignment="1">
      <alignment horizontal="left" vertical="center"/>
    </xf>
    <xf numFmtId="170" fontId="145" fillId="0" borderId="60" xfId="0" applyNumberFormat="1" applyFont="1" applyBorder="1" applyAlignment="1">
      <alignment horizontal="center" vertical="center"/>
    </xf>
    <xf numFmtId="0" fontId="37" fillId="20" borderId="59" xfId="0" applyFont="1" applyFill="1" applyBorder="1" applyAlignment="1">
      <alignment vertical="center"/>
    </xf>
    <xf numFmtId="0" fontId="57" fillId="31" borderId="117" xfId="0" applyFont="1" applyFill="1" applyBorder="1" applyAlignment="1">
      <alignment horizontal="center" vertical="center" wrapText="1"/>
    </xf>
    <xf numFmtId="9" fontId="37" fillId="2" borderId="60" xfId="0" applyNumberFormat="1" applyFont="1" applyFill="1" applyBorder="1" applyAlignment="1" applyProtection="1">
      <alignment horizontal="center" vertical="center"/>
      <protection locked="0"/>
    </xf>
    <xf numFmtId="0" fontId="43" fillId="0" borderId="60" xfId="0" applyFont="1" applyBorder="1" applyAlignment="1">
      <alignment vertical="center"/>
    </xf>
    <xf numFmtId="0" fontId="37" fillId="0" borderId="60" xfId="0" applyFont="1" applyBorder="1" applyAlignment="1">
      <alignment vertical="center"/>
    </xf>
    <xf numFmtId="169" fontId="109" fillId="0" borderId="60" xfId="0" applyNumberFormat="1" applyFont="1" applyBorder="1" applyAlignment="1">
      <alignment vertical="center"/>
    </xf>
    <xf numFmtId="169" fontId="43" fillId="0" borderId="60" xfId="0" applyNumberFormat="1" applyFont="1" applyBorder="1" applyAlignment="1">
      <alignment vertical="center"/>
    </xf>
    <xf numFmtId="170" fontId="83" fillId="0" borderId="60" xfId="0" applyNumberFormat="1" applyFont="1" applyBorder="1" applyAlignment="1">
      <alignment vertical="center"/>
    </xf>
    <xf numFmtId="171" fontId="43" fillId="0" borderId="60" xfId="0" applyNumberFormat="1" applyFont="1" applyBorder="1" applyAlignment="1">
      <alignment vertical="center"/>
    </xf>
    <xf numFmtId="0" fontId="57" fillId="46" borderId="117" xfId="0" applyFont="1" applyFill="1" applyBorder="1" applyAlignment="1">
      <alignment horizontal="center" vertical="center" wrapText="1"/>
    </xf>
    <xf numFmtId="171" fontId="39" fillId="2" borderId="60" xfId="0" applyNumberFormat="1" applyFont="1" applyFill="1" applyBorder="1" applyAlignment="1" applyProtection="1">
      <alignment horizontal="center" vertical="center"/>
      <protection locked="0"/>
    </xf>
    <xf numFmtId="2" fontId="39" fillId="2" borderId="60" xfId="0" applyNumberFormat="1" applyFont="1" applyFill="1" applyBorder="1" applyAlignment="1" applyProtection="1">
      <alignment horizontal="center" vertical="center"/>
      <protection locked="0"/>
    </xf>
    <xf numFmtId="169" fontId="39" fillId="2" borderId="60" xfId="0" applyNumberFormat="1" applyFont="1" applyFill="1" applyBorder="1" applyAlignment="1" applyProtection="1">
      <alignment horizontal="center" vertical="center"/>
      <protection locked="0"/>
    </xf>
    <xf numFmtId="0" fontId="57" fillId="46" borderId="59" xfId="0" applyFont="1" applyFill="1" applyBorder="1" applyAlignment="1">
      <alignment horizontal="center" vertical="center"/>
    </xf>
    <xf numFmtId="0" fontId="57" fillId="46" borderId="60" xfId="0" applyFont="1" applyFill="1" applyBorder="1" applyAlignment="1" applyProtection="1">
      <alignment horizontal="center" vertical="center"/>
      <protection locked="0"/>
    </xf>
    <xf numFmtId="171" fontId="39" fillId="2" borderId="63" xfId="0" applyNumberFormat="1" applyFont="1" applyFill="1" applyBorder="1" applyAlignment="1" applyProtection="1">
      <alignment horizontal="center" vertical="center"/>
      <protection locked="0"/>
    </xf>
    <xf numFmtId="169" fontId="43" fillId="2" borderId="60" xfId="0" applyNumberFormat="1" applyFont="1" applyFill="1" applyBorder="1" applyAlignment="1" applyProtection="1">
      <alignment horizontal="center" vertical="center"/>
      <protection locked="0"/>
    </xf>
    <xf numFmtId="169" fontId="39" fillId="0" borderId="60" xfId="0" applyNumberFormat="1" applyFont="1" applyFill="1" applyBorder="1" applyAlignment="1">
      <alignment horizontal="center" vertical="center"/>
    </xf>
    <xf numFmtId="171" fontId="39" fillId="0" borderId="63" xfId="0" applyNumberFormat="1" applyFont="1" applyFill="1" applyBorder="1" applyAlignment="1">
      <alignment horizontal="center" vertical="center"/>
    </xf>
    <xf numFmtId="170" fontId="59" fillId="0" borderId="60" xfId="0" applyNumberFormat="1" applyFont="1" applyBorder="1" applyAlignment="1">
      <alignment horizontal="center" vertical="center"/>
    </xf>
    <xf numFmtId="0" fontId="67" fillId="51" borderId="196" xfId="0" applyFont="1" applyFill="1" applyBorder="1" applyAlignment="1">
      <alignment horizontal="right" vertical="center"/>
    </xf>
    <xf numFmtId="0" fontId="67" fillId="51" borderId="199" xfId="0" applyFont="1" applyFill="1" applyBorder="1" applyAlignment="1">
      <alignment horizontal="right" vertical="center"/>
    </xf>
    <xf numFmtId="3" fontId="39" fillId="0" borderId="30" xfId="0" applyNumberFormat="1" applyFont="1" applyFill="1" applyBorder="1" applyAlignment="1">
      <alignment horizontal="center" vertical="center"/>
    </xf>
    <xf numFmtId="2" fontId="22" fillId="2" borderId="63" xfId="0" applyNumberFormat="1" applyFont="1" applyFill="1" applyBorder="1" applyAlignment="1" applyProtection="1">
      <alignment horizontal="center" vertical="center"/>
      <protection locked="0"/>
    </xf>
    <xf numFmtId="4" fontId="22" fillId="0" borderId="63" xfId="0" applyNumberFormat="1" applyFont="1" applyBorder="1" applyAlignment="1">
      <alignment horizontal="center" vertical="center"/>
    </xf>
    <xf numFmtId="171" fontId="43" fillId="3" borderId="60" xfId="0" applyNumberFormat="1" applyFont="1" applyFill="1" applyBorder="1" applyAlignment="1">
      <alignment horizontal="center" vertical="center"/>
    </xf>
    <xf numFmtId="171" fontId="43" fillId="0" borderId="63" xfId="0" applyNumberFormat="1" applyFont="1" applyBorder="1" applyAlignment="1">
      <alignment horizontal="center" vertical="center"/>
    </xf>
    <xf numFmtId="171" fontId="43" fillId="2" borderId="60" xfId="0" applyNumberFormat="1" applyFont="1" applyFill="1" applyBorder="1" applyAlignment="1" applyProtection="1">
      <alignment horizontal="center" vertical="center"/>
      <protection locked="0"/>
    </xf>
    <xf numFmtId="171" fontId="39" fillId="0" borderId="60" xfId="0" applyNumberFormat="1" applyFont="1" applyBorder="1" applyAlignment="1">
      <alignment horizontal="center" vertical="center"/>
    </xf>
    <xf numFmtId="171" fontId="39" fillId="0" borderId="63" xfId="0" applyNumberFormat="1" applyFont="1" applyBorder="1" applyAlignment="1">
      <alignment horizontal="center" vertical="center"/>
    </xf>
    <xf numFmtId="171" fontId="43" fillId="0" borderId="60" xfId="0" applyNumberFormat="1" applyFont="1" applyBorder="1" applyAlignment="1">
      <alignment horizontal="center" vertical="center"/>
    </xf>
    <xf numFmtId="166" fontId="39" fillId="12" borderId="194" xfId="1" applyNumberFormat="1" applyFont="1" applyFill="1" applyBorder="1" applyAlignment="1" applyProtection="1">
      <alignment horizontal="center" vertical="center"/>
      <protection locked="0"/>
    </xf>
    <xf numFmtId="0" fontId="43" fillId="12" borderId="30" xfId="0" applyFont="1" applyFill="1" applyBorder="1" applyAlignment="1" applyProtection="1">
      <alignment horizontal="center" vertical="center"/>
      <protection locked="0"/>
    </xf>
    <xf numFmtId="165" fontId="90" fillId="61" borderId="30" xfId="0" applyNumberFormat="1" applyFont="1" applyFill="1" applyBorder="1" applyAlignment="1" applyProtection="1">
      <alignment horizontal="center" vertical="center"/>
      <protection locked="0"/>
    </xf>
    <xf numFmtId="165" fontId="39" fillId="12" borderId="30" xfId="0" applyNumberFormat="1" applyFont="1" applyFill="1" applyBorder="1" applyAlignment="1" applyProtection="1">
      <alignment horizontal="center" vertical="center"/>
      <protection locked="0"/>
    </xf>
    <xf numFmtId="165" fontId="43" fillId="12" borderId="30" xfId="0" applyNumberFormat="1" applyFont="1" applyFill="1" applyBorder="1" applyAlignment="1" applyProtection="1">
      <alignment horizontal="center" vertical="center"/>
      <protection locked="0"/>
    </xf>
    <xf numFmtId="0" fontId="62" fillId="15" borderId="23" xfId="0" applyFont="1" applyFill="1" applyBorder="1" applyAlignment="1">
      <alignment vertical="center"/>
    </xf>
    <xf numFmtId="0" fontId="93" fillId="17" borderId="28" xfId="0" applyFont="1" applyFill="1" applyBorder="1" applyAlignment="1">
      <alignment horizontal="left" vertical="center"/>
    </xf>
    <xf numFmtId="9" fontId="45" fillId="0" borderId="23" xfId="1" applyFont="1" applyBorder="1" applyAlignment="1">
      <alignment vertical="center"/>
    </xf>
    <xf numFmtId="9" fontId="186" fillId="0" borderId="49" xfId="1" applyFont="1" applyBorder="1" applyAlignment="1">
      <alignment horizontal="center" vertical="center"/>
    </xf>
    <xf numFmtId="0" fontId="198" fillId="0" borderId="23" xfId="0" applyFont="1" applyFill="1" applyBorder="1" applyAlignment="1">
      <alignment vertical="center"/>
    </xf>
    <xf numFmtId="0" fontId="218" fillId="0" borderId="23" xfId="0" applyFont="1" applyFill="1" applyBorder="1" applyAlignment="1">
      <alignment horizontal="center"/>
    </xf>
    <xf numFmtId="0" fontId="219" fillId="0" borderId="23" xfId="0" applyFont="1" applyFill="1" applyBorder="1" applyAlignment="1">
      <alignment horizontal="center"/>
    </xf>
    <xf numFmtId="0" fontId="201" fillId="0" borderId="23" xfId="0" applyFont="1" applyFill="1" applyBorder="1" applyAlignment="1">
      <alignment vertical="center"/>
    </xf>
    <xf numFmtId="0" fontId="220" fillId="0" borderId="23" xfId="0" applyFont="1" applyFill="1" applyBorder="1" applyAlignment="1">
      <alignment vertical="center"/>
    </xf>
    <xf numFmtId="0" fontId="201" fillId="0" borderId="23" xfId="0" applyFont="1" applyFill="1" applyBorder="1"/>
    <xf numFmtId="0" fontId="221" fillId="0" borderId="23" xfId="0" applyFont="1" applyFill="1" applyBorder="1" applyAlignment="1">
      <alignment vertical="center"/>
    </xf>
    <xf numFmtId="0" fontId="198" fillId="0" borderId="23" xfId="0" applyFont="1" applyFill="1" applyBorder="1" applyAlignment="1"/>
    <xf numFmtId="9" fontId="37" fillId="0" borderId="60" xfId="0" applyNumberFormat="1" applyFont="1" applyFill="1" applyBorder="1" applyAlignment="1" applyProtection="1">
      <alignment horizontal="center" vertical="center"/>
    </xf>
    <xf numFmtId="0" fontId="39" fillId="0" borderId="204" xfId="0" applyFont="1" applyBorder="1" applyAlignment="1">
      <alignment horizontal="left" vertical="center"/>
    </xf>
    <xf numFmtId="0" fontId="21" fillId="0" borderId="23" xfId="0" applyFont="1" applyFill="1" applyBorder="1" applyAlignment="1">
      <alignment horizontal="right" vertical="center"/>
    </xf>
    <xf numFmtId="0" fontId="21" fillId="0" borderId="23" xfId="0" applyFont="1" applyFill="1" applyBorder="1" applyAlignment="1">
      <alignment vertical="center"/>
    </xf>
    <xf numFmtId="0" fontId="33" fillId="0" borderId="0" xfId="0" applyFont="1" applyAlignment="1">
      <alignment horizontal="center"/>
    </xf>
    <xf numFmtId="0" fontId="39" fillId="0" borderId="23" xfId="0" applyFont="1" applyFill="1" applyBorder="1" applyAlignment="1">
      <alignment vertical="center"/>
    </xf>
    <xf numFmtId="0" fontId="21" fillId="0" borderId="0" xfId="0" applyFont="1" applyAlignment="1"/>
    <xf numFmtId="0" fontId="28" fillId="0" borderId="0" xfId="0" applyFont="1" applyAlignment="1"/>
    <xf numFmtId="1" fontId="28" fillId="0" borderId="23" xfId="0" applyNumberFormat="1" applyFont="1" applyFill="1" applyBorder="1" applyAlignment="1"/>
    <xf numFmtId="168" fontId="186" fillId="0" borderId="49" xfId="0" applyNumberFormat="1" applyFont="1" applyBorder="1" applyAlignment="1">
      <alignment horizontal="center" vertical="center"/>
    </xf>
    <xf numFmtId="0" fontId="0" fillId="0" borderId="0" xfId="0" applyFont="1" applyAlignment="1"/>
    <xf numFmtId="0" fontId="55" fillId="0" borderId="30" xfId="0" applyFont="1" applyFill="1" applyBorder="1" applyAlignment="1">
      <alignment horizontal="right" vertical="center"/>
    </xf>
    <xf numFmtId="0" fontId="55" fillId="0" borderId="30" xfId="0" applyFont="1" applyBorder="1" applyAlignment="1">
      <alignment horizontal="right" vertical="center"/>
    </xf>
    <xf numFmtId="0" fontId="96" fillId="17" borderId="30" xfId="0" applyFont="1" applyFill="1" applyBorder="1" applyAlignment="1">
      <alignment horizontal="center" vertical="center"/>
    </xf>
    <xf numFmtId="166" fontId="44" fillId="0" borderId="34" xfId="0" applyNumberFormat="1" applyFont="1" applyFill="1" applyBorder="1" applyAlignment="1">
      <alignment horizontal="center" vertical="center" wrapText="1"/>
    </xf>
    <xf numFmtId="0" fontId="76" fillId="17" borderId="23" xfId="0" applyFont="1" applyFill="1" applyBorder="1" applyAlignment="1">
      <alignment vertical="center"/>
    </xf>
    <xf numFmtId="0" fontId="93" fillId="17" borderId="23" xfId="0" applyFont="1" applyFill="1" applyBorder="1" applyAlignment="1">
      <alignment horizontal="left" vertical="center"/>
    </xf>
    <xf numFmtId="0" fontId="39" fillId="15" borderId="23" xfId="0" applyFont="1" applyFill="1" applyBorder="1" applyAlignment="1">
      <alignment vertical="center"/>
    </xf>
    <xf numFmtId="3" fontId="22" fillId="0" borderId="30" xfId="0" applyNumberFormat="1" applyFont="1" applyBorder="1" applyAlignment="1">
      <alignment horizontal="center" vertical="center"/>
    </xf>
    <xf numFmtId="0" fontId="229" fillId="31" borderId="30" xfId="0" applyFont="1" applyFill="1" applyBorder="1" applyAlignment="1">
      <alignment horizontal="center" vertical="center"/>
    </xf>
    <xf numFmtId="3" fontId="230" fillId="0" borderId="30" xfId="0" applyNumberFormat="1" applyFont="1" applyBorder="1" applyAlignment="1">
      <alignment horizontal="center" vertical="center"/>
    </xf>
    <xf numFmtId="1" fontId="230" fillId="0" borderId="30" xfId="0" applyNumberFormat="1" applyFont="1" applyBorder="1" applyAlignment="1">
      <alignment horizontal="center" vertical="center"/>
    </xf>
    <xf numFmtId="0" fontId="210" fillId="17" borderId="30" xfId="0" applyFont="1" applyFill="1" applyBorder="1" applyAlignment="1">
      <alignment horizontal="center" vertical="center" wrapText="1"/>
    </xf>
    <xf numFmtId="0" fontId="210" fillId="17" borderId="31" xfId="0" applyFont="1" applyFill="1" applyBorder="1" applyAlignment="1">
      <alignment horizontal="center" vertical="center" wrapText="1"/>
    </xf>
    <xf numFmtId="0" fontId="22" fillId="0" borderId="29" xfId="0" applyFont="1" applyBorder="1" applyAlignment="1">
      <alignment horizontal="center" vertical="center" wrapText="1"/>
    </xf>
    <xf numFmtId="0" fontId="22" fillId="2" borderId="30" xfId="0" applyFont="1" applyFill="1" applyBorder="1" applyAlignment="1" applyProtection="1">
      <alignment horizontal="center" vertical="center" wrapText="1"/>
      <protection locked="0"/>
    </xf>
    <xf numFmtId="180" fontId="22" fillId="2" borderId="31" xfId="0" applyNumberFormat="1" applyFont="1" applyFill="1" applyBorder="1" applyAlignment="1" applyProtection="1">
      <alignment horizontal="center" vertical="center" wrapText="1"/>
      <protection locked="0"/>
    </xf>
    <xf numFmtId="0" fontId="32" fillId="15" borderId="44" xfId="0" applyFont="1" applyFill="1" applyBorder="1" applyAlignment="1">
      <alignment vertical="center"/>
    </xf>
    <xf numFmtId="175" fontId="32" fillId="0" borderId="30" xfId="0" applyNumberFormat="1" applyFont="1" applyBorder="1" applyAlignment="1">
      <alignment horizontal="center" vertical="center"/>
    </xf>
    <xf numFmtId="175" fontId="32" fillId="5" borderId="30" xfId="0" applyNumberFormat="1" applyFont="1" applyFill="1" applyBorder="1" applyAlignment="1">
      <alignment horizontal="center" vertical="center"/>
    </xf>
    <xf numFmtId="0" fontId="32" fillId="0" borderId="29" xfId="0" applyFont="1" applyBorder="1" applyAlignment="1">
      <alignment vertical="center"/>
    </xf>
    <xf numFmtId="0" fontId="32" fillId="0" borderId="30" xfId="0" applyFont="1" applyBorder="1" applyAlignment="1">
      <alignment vertical="center"/>
    </xf>
    <xf numFmtId="0" fontId="32" fillId="0" borderId="30" xfId="0" applyFont="1" applyBorder="1" applyAlignment="1">
      <alignment horizontal="center" vertical="center"/>
    </xf>
    <xf numFmtId="0" fontId="57" fillId="31" borderId="31" xfId="0" applyFont="1" applyFill="1" applyBorder="1" applyAlignment="1">
      <alignment horizontal="center" vertical="center" wrapText="1"/>
    </xf>
    <xf numFmtId="0" fontId="22" fillId="0" borderId="30" xfId="0" applyFont="1" applyBorder="1" applyAlignment="1">
      <alignment horizontal="center" vertical="center"/>
    </xf>
    <xf numFmtId="0" fontId="175" fillId="0" borderId="30" xfId="0" applyFont="1" applyBorder="1" applyAlignment="1">
      <alignment horizontal="center" vertical="center"/>
    </xf>
    <xf numFmtId="0" fontId="175" fillId="5" borderId="30" xfId="0" applyFont="1" applyFill="1" applyBorder="1" applyAlignment="1">
      <alignment horizontal="center" vertical="center"/>
    </xf>
    <xf numFmtId="0" fontId="234" fillId="15" borderId="0" xfId="0" applyFont="1" applyFill="1" applyAlignment="1">
      <alignment vertical="center"/>
    </xf>
    <xf numFmtId="0" fontId="235" fillId="15" borderId="0" xfId="0" applyFont="1" applyFill="1" applyAlignment="1">
      <alignment vertical="center"/>
    </xf>
    <xf numFmtId="3" fontId="236" fillId="0" borderId="30" xfId="0" applyNumberFormat="1" applyFont="1" applyBorder="1" applyAlignment="1">
      <alignment horizontal="center" vertical="center"/>
    </xf>
    <xf numFmtId="0" fontId="235" fillId="15" borderId="23" xfId="0" applyFont="1" applyFill="1" applyBorder="1" applyAlignment="1">
      <alignment vertical="center"/>
    </xf>
    <xf numFmtId="0" fontId="234" fillId="15" borderId="27" xfId="0" applyFont="1" applyFill="1" applyBorder="1" applyAlignment="1">
      <alignment vertical="center"/>
    </xf>
    <xf numFmtId="0" fontId="234" fillId="15" borderId="0" xfId="0" applyFont="1" applyFill="1" applyAlignment="1">
      <alignment horizontal="center" vertical="center"/>
    </xf>
    <xf numFmtId="0" fontId="234" fillId="15" borderId="0" xfId="0" applyFont="1" applyFill="1" applyAlignment="1"/>
    <xf numFmtId="0" fontId="234" fillId="0" borderId="0" xfId="0" applyFont="1" applyAlignment="1"/>
    <xf numFmtId="0" fontId="234" fillId="0" borderId="0" xfId="0" applyFont="1" applyAlignment="1">
      <alignment vertical="center"/>
    </xf>
    <xf numFmtId="0" fontId="234" fillId="15" borderId="23" xfId="0" applyFont="1" applyFill="1" applyBorder="1" applyAlignment="1">
      <alignment vertical="center"/>
    </xf>
    <xf numFmtId="0" fontId="22" fillId="0" borderId="30" xfId="0" applyFont="1" applyBorder="1" applyAlignment="1">
      <alignment horizontal="center" vertical="center" wrapText="1"/>
    </xf>
    <xf numFmtId="180" fontId="22" fillId="0" borderId="31" xfId="0" applyNumberFormat="1" applyFont="1" applyBorder="1" applyAlignment="1">
      <alignment horizontal="center" vertical="center" wrapText="1"/>
    </xf>
    <xf numFmtId="175" fontId="32" fillId="0" borderId="29" xfId="0" applyNumberFormat="1" applyFont="1" applyBorder="1" applyAlignment="1">
      <alignment horizontal="center" vertical="center"/>
    </xf>
    <xf numFmtId="0" fontId="175" fillId="0" borderId="29" xfId="0" applyFont="1" applyBorder="1" applyAlignment="1">
      <alignment horizontal="center" vertical="center"/>
    </xf>
    <xf numFmtId="167" fontId="22" fillId="0" borderId="60" xfId="0" applyNumberFormat="1" applyFont="1" applyBorder="1" applyAlignment="1">
      <alignment horizontal="center" vertical="center"/>
    </xf>
    <xf numFmtId="3" fontId="32" fillId="0" borderId="60" xfId="0" applyNumberFormat="1" applyFont="1" applyBorder="1" applyAlignment="1">
      <alignment horizontal="center" vertical="center"/>
    </xf>
    <xf numFmtId="0" fontId="22" fillId="2" borderId="60" xfId="0" applyFont="1" applyFill="1" applyBorder="1" applyAlignment="1" applyProtection="1">
      <alignment horizontal="center" vertical="center"/>
      <protection locked="0"/>
    </xf>
    <xf numFmtId="0" fontId="32" fillId="0" borderId="30" xfId="0" applyFont="1" applyBorder="1" applyAlignment="1">
      <alignment horizontal="center" vertical="center" wrapText="1"/>
    </xf>
    <xf numFmtId="167" fontId="32" fillId="0" borderId="60" xfId="0" applyNumberFormat="1" applyFont="1" applyBorder="1" applyAlignment="1">
      <alignment horizontal="center" vertical="center"/>
    </xf>
    <xf numFmtId="0" fontId="32" fillId="0" borderId="62" xfId="0" applyFont="1" applyBorder="1" applyAlignment="1">
      <alignment horizontal="center" vertical="center"/>
    </xf>
    <xf numFmtId="167" fontId="32" fillId="0" borderId="63" xfId="0" applyNumberFormat="1" applyFont="1" applyBorder="1" applyAlignment="1">
      <alignment horizontal="center" vertical="center"/>
    </xf>
    <xf numFmtId="9" fontId="22" fillId="2" borderId="60" xfId="0" applyNumberFormat="1" applyFont="1" applyFill="1" applyBorder="1" applyAlignment="1" applyProtection="1">
      <alignment horizontal="center" vertical="center"/>
      <protection locked="0"/>
    </xf>
    <xf numFmtId="168" fontId="32" fillId="0" borderId="60" xfId="0" applyNumberFormat="1" applyFont="1" applyBorder="1" applyAlignment="1">
      <alignment horizontal="center" vertical="center"/>
    </xf>
    <xf numFmtId="166" fontId="22" fillId="2" borderId="60" xfId="0" applyNumberFormat="1" applyFont="1" applyFill="1" applyBorder="1" applyAlignment="1" applyProtection="1">
      <alignment horizontal="center" vertical="center"/>
      <protection locked="0"/>
    </xf>
    <xf numFmtId="0" fontId="237" fillId="0" borderId="30" xfId="0" applyFont="1" applyBorder="1" applyAlignment="1">
      <alignment horizontal="center" vertical="center"/>
    </xf>
    <xf numFmtId="166" fontId="237" fillId="12" borderId="60" xfId="1" applyNumberFormat="1" applyFont="1" applyFill="1" applyBorder="1" applyAlignment="1" applyProtection="1">
      <alignment horizontal="center" vertical="center"/>
      <protection locked="0"/>
    </xf>
    <xf numFmtId="168" fontId="22" fillId="0" borderId="60" xfId="0" applyNumberFormat="1" applyFont="1" applyBorder="1" applyAlignment="1">
      <alignment horizontal="center" vertical="center"/>
    </xf>
    <xf numFmtId="166" fontId="22" fillId="2" borderId="60" xfId="0" applyNumberFormat="1" applyFont="1" applyFill="1" applyBorder="1" applyAlignment="1" applyProtection="1">
      <alignment horizontal="center" vertical="center" wrapText="1"/>
      <protection locked="0"/>
    </xf>
    <xf numFmtId="10" fontId="32" fillId="0" borderId="60" xfId="0" applyNumberFormat="1" applyFont="1" applyBorder="1" applyAlignment="1">
      <alignment horizontal="center" vertical="center"/>
    </xf>
    <xf numFmtId="3" fontId="22" fillId="2" borderId="30" xfId="0" applyNumberFormat="1" applyFont="1" applyFill="1" applyBorder="1" applyAlignment="1" applyProtection="1">
      <alignment horizontal="center" vertical="center"/>
      <protection locked="0"/>
    </xf>
    <xf numFmtId="3" fontId="22" fillId="0" borderId="62" xfId="0" applyNumberFormat="1" applyFont="1" applyBorder="1" applyAlignment="1">
      <alignment horizontal="center" vertical="center"/>
    </xf>
    <xf numFmtId="10" fontId="32" fillId="0" borderId="63" xfId="0" applyNumberFormat="1" applyFont="1" applyBorder="1" applyAlignment="1">
      <alignment horizontal="center" vertical="center"/>
    </xf>
    <xf numFmtId="3" fontId="22" fillId="0" borderId="60" xfId="0" applyNumberFormat="1" applyFont="1" applyBorder="1" applyAlignment="1">
      <alignment horizontal="center" vertical="center"/>
    </xf>
    <xf numFmtId="3" fontId="22" fillId="0" borderId="63" xfId="0" applyNumberFormat="1" applyFont="1" applyBorder="1" applyAlignment="1">
      <alignment horizontal="center" vertical="center"/>
    </xf>
    <xf numFmtId="0" fontId="32" fillId="0" borderId="59" xfId="0" applyFont="1" applyBorder="1" applyAlignment="1">
      <alignment vertical="center"/>
    </xf>
    <xf numFmtId="0" fontId="22" fillId="0" borderId="61" xfId="0" applyFont="1" applyBorder="1" applyAlignment="1">
      <alignment horizontal="left" vertical="center"/>
    </xf>
    <xf numFmtId="0" fontId="32" fillId="0" borderId="59" xfId="0" applyFont="1" applyBorder="1" applyAlignment="1">
      <alignment vertical="center" wrapText="1"/>
    </xf>
    <xf numFmtId="0" fontId="32" fillId="0" borderId="61" xfId="0" applyFont="1" applyBorder="1" applyAlignment="1">
      <alignment vertical="center" wrapText="1"/>
    </xf>
    <xf numFmtId="0" fontId="237" fillId="0" borderId="59" xfId="0" applyFont="1" applyBorder="1" applyAlignment="1">
      <alignment vertical="center"/>
    </xf>
    <xf numFmtId="0" fontId="32" fillId="0" borderId="61" xfId="0" applyFont="1" applyBorder="1" applyAlignment="1">
      <alignment vertical="center"/>
    </xf>
    <xf numFmtId="0" fontId="237" fillId="0" borderId="59" xfId="0" applyFont="1" applyBorder="1" applyAlignment="1">
      <alignment vertical="center" wrapText="1"/>
    </xf>
    <xf numFmtId="0" fontId="239" fillId="0" borderId="59" xfId="0" applyFont="1" applyBorder="1" applyAlignment="1">
      <alignment vertical="center" wrapText="1"/>
    </xf>
    <xf numFmtId="1" fontId="48" fillId="0" borderId="59" xfId="0" applyNumberFormat="1" applyFont="1" applyBorder="1" applyAlignment="1">
      <alignment horizontal="center" vertical="center"/>
    </xf>
    <xf numFmtId="178" fontId="48" fillId="19" borderId="30" xfId="0" applyNumberFormat="1" applyFont="1" applyFill="1" applyBorder="1" applyAlignment="1">
      <alignment horizontal="center" vertical="center"/>
    </xf>
    <xf numFmtId="166" fontId="48" fillId="0" borderId="60" xfId="0" applyNumberFormat="1" applyFont="1" applyBorder="1" applyAlignment="1">
      <alignment horizontal="center" vertical="center"/>
    </xf>
    <xf numFmtId="3" fontId="48" fillId="0" borderId="59" xfId="0" applyNumberFormat="1" applyFont="1" applyBorder="1" applyAlignment="1">
      <alignment horizontal="center" vertical="center"/>
    </xf>
    <xf numFmtId="9" fontId="48" fillId="0" borderId="60" xfId="0" applyNumberFormat="1" applyFont="1" applyBorder="1" applyAlignment="1">
      <alignment horizontal="center" vertical="center"/>
    </xf>
    <xf numFmtId="177" fontId="48" fillId="0" borderId="59" xfId="0" applyNumberFormat="1" applyFont="1" applyBorder="1" applyAlignment="1">
      <alignment horizontal="center" vertical="center"/>
    </xf>
    <xf numFmtId="3" fontId="48" fillId="0" borderId="60" xfId="0" applyNumberFormat="1" applyFont="1" applyBorder="1" applyAlignment="1">
      <alignment horizontal="center" vertical="center"/>
    </xf>
    <xf numFmtId="166" fontId="48" fillId="0" borderId="61" xfId="0" applyNumberFormat="1" applyFont="1" applyBorder="1" applyAlignment="1">
      <alignment horizontal="center" vertical="center"/>
    </xf>
    <xf numFmtId="9" fontId="48" fillId="0" borderId="61" xfId="0" applyNumberFormat="1" applyFont="1" applyBorder="1" applyAlignment="1">
      <alignment horizontal="center" vertical="center"/>
    </xf>
    <xf numFmtId="0" fontId="183" fillId="0" borderId="34" xfId="0" applyFont="1" applyBorder="1" applyAlignment="1">
      <alignment horizontal="center" vertical="center"/>
    </xf>
    <xf numFmtId="3" fontId="183" fillId="0" borderId="34" xfId="0" applyNumberFormat="1" applyFont="1" applyBorder="1" applyAlignment="1">
      <alignment horizontal="center" vertical="center"/>
    </xf>
    <xf numFmtId="0" fontId="48" fillId="0" borderId="30" xfId="0" applyFont="1" applyBorder="1" applyAlignment="1">
      <alignment vertical="center"/>
    </xf>
    <xf numFmtId="9" fontId="48" fillId="0" borderId="30" xfId="0" applyNumberFormat="1" applyFont="1" applyBorder="1" applyAlignment="1">
      <alignment horizontal="center" vertical="center"/>
    </xf>
    <xf numFmtId="0" fontId="48" fillId="0" borderId="30" xfId="0" applyFont="1" applyBorder="1" applyAlignment="1">
      <alignment horizontal="center" vertical="center"/>
    </xf>
    <xf numFmtId="0" fontId="48" fillId="15" borderId="44" xfId="0" applyFont="1" applyFill="1" applyBorder="1" applyAlignment="1">
      <alignment horizontal="center" vertical="center"/>
    </xf>
    <xf numFmtId="0" fontId="48" fillId="15" borderId="44" xfId="0" applyFont="1" applyFill="1" applyBorder="1" applyAlignment="1">
      <alignment vertical="center"/>
    </xf>
    <xf numFmtId="165" fontId="48" fillId="0" borderId="30" xfId="0" applyNumberFormat="1" applyFont="1" applyBorder="1" applyAlignment="1">
      <alignment horizontal="center" vertical="center"/>
    </xf>
    <xf numFmtId="9" fontId="183" fillId="0" borderId="30" xfId="0" applyNumberFormat="1" applyFont="1" applyBorder="1" applyAlignment="1">
      <alignment horizontal="center" vertical="center"/>
    </xf>
    <xf numFmtId="168" fontId="183" fillId="0" borderId="30" xfId="0" applyNumberFormat="1" applyFont="1" applyBorder="1" applyAlignment="1">
      <alignment horizontal="center" vertical="center"/>
    </xf>
    <xf numFmtId="0" fontId="183" fillId="0" borderId="30" xfId="0" applyFont="1" applyBorder="1" applyAlignment="1">
      <alignment vertical="center"/>
    </xf>
    <xf numFmtId="0" fontId="48" fillId="0" borderId="39" xfId="0" applyFont="1" applyBorder="1" applyAlignment="1">
      <alignment vertical="center"/>
    </xf>
    <xf numFmtId="0" fontId="183" fillId="15" borderId="23" xfId="0" applyFont="1" applyFill="1" applyBorder="1" applyAlignment="1">
      <alignment vertical="center"/>
    </xf>
    <xf numFmtId="0" fontId="48" fillId="0" borderId="80" xfId="0" applyFont="1" applyBorder="1" applyAlignment="1">
      <alignment vertical="center"/>
    </xf>
    <xf numFmtId="0" fontId="48" fillId="0" borderId="34" xfId="0" applyFont="1" applyBorder="1" applyAlignment="1">
      <alignment vertical="center"/>
    </xf>
    <xf numFmtId="0" fontId="48" fillId="0" borderId="81" xfId="0" applyFont="1" applyBorder="1" applyAlignment="1">
      <alignment vertical="center"/>
    </xf>
    <xf numFmtId="3" fontId="48" fillId="0" borderId="48" xfId="0" applyNumberFormat="1" applyFont="1" applyBorder="1" applyAlignment="1">
      <alignment horizontal="center" vertical="center"/>
    </xf>
    <xf numFmtId="164" fontId="48" fillId="0" borderId="69" xfId="0" applyNumberFormat="1" applyFont="1" applyBorder="1" applyAlignment="1">
      <alignment horizontal="center" vertical="center"/>
    </xf>
    <xf numFmtId="164" fontId="48" fillId="15" borderId="23" xfId="0" applyNumberFormat="1" applyFont="1" applyFill="1" applyBorder="1" applyAlignment="1">
      <alignment horizontal="center" vertical="center"/>
    </xf>
    <xf numFmtId="164" fontId="48" fillId="0" borderId="66" xfId="0" applyNumberFormat="1" applyFont="1" applyBorder="1" applyAlignment="1">
      <alignment horizontal="center" vertical="center"/>
    </xf>
    <xf numFmtId="3" fontId="48" fillId="0" borderId="30" xfId="0" applyNumberFormat="1" applyFont="1" applyBorder="1" applyAlignment="1">
      <alignment horizontal="center" vertical="center"/>
    </xf>
    <xf numFmtId="164" fontId="48" fillId="0" borderId="67" xfId="0" applyNumberFormat="1" applyFont="1" applyBorder="1" applyAlignment="1">
      <alignment horizontal="center" vertical="center"/>
    </xf>
    <xf numFmtId="0" fontId="48" fillId="15" borderId="23" xfId="0" applyFont="1" applyFill="1" applyBorder="1" applyAlignment="1">
      <alignment horizontal="center" vertical="center"/>
    </xf>
    <xf numFmtId="3" fontId="48" fillId="19" borderId="30" xfId="0" applyNumberFormat="1" applyFont="1" applyFill="1" applyBorder="1" applyAlignment="1">
      <alignment horizontal="center" vertical="center"/>
    </xf>
    <xf numFmtId="0" fontId="48" fillId="0" borderId="67" xfId="0" applyFont="1" applyBorder="1" applyAlignment="1">
      <alignment vertical="center"/>
    </xf>
    <xf numFmtId="167" fontId="48" fillId="0" borderId="66" xfId="0" applyNumberFormat="1" applyFont="1" applyBorder="1" applyAlignment="1">
      <alignment horizontal="center" vertical="center"/>
    </xf>
    <xf numFmtId="167" fontId="48" fillId="0" borderId="30" xfId="0" applyNumberFormat="1" applyFont="1" applyBorder="1" applyAlignment="1">
      <alignment horizontal="center" vertical="center"/>
    </xf>
    <xf numFmtId="167" fontId="48" fillId="0" borderId="67" xfId="0" applyNumberFormat="1" applyFont="1" applyBorder="1" applyAlignment="1">
      <alignment horizontal="center" vertical="center"/>
    </xf>
    <xf numFmtId="0" fontId="48" fillId="0" borderId="67" xfId="0" applyFont="1" applyBorder="1" applyAlignment="1">
      <alignment horizontal="center" vertical="center"/>
    </xf>
    <xf numFmtId="1" fontId="48" fillId="0" borderId="67" xfId="0" applyNumberFormat="1" applyFont="1" applyBorder="1" applyAlignment="1">
      <alignment horizontal="center" vertical="center"/>
    </xf>
    <xf numFmtId="1" fontId="48" fillId="15" borderId="23" xfId="0" applyNumberFormat="1" applyFont="1" applyFill="1" applyBorder="1" applyAlignment="1">
      <alignment horizontal="center" vertical="center"/>
    </xf>
    <xf numFmtId="1" fontId="48" fillId="0" borderId="66" xfId="0" applyNumberFormat="1" applyFont="1" applyBorder="1" applyAlignment="1">
      <alignment horizontal="center" vertical="center"/>
    </xf>
    <xf numFmtId="1" fontId="48" fillId="0" borderId="30" xfId="0" applyNumberFormat="1" applyFont="1" applyBorder="1" applyAlignment="1">
      <alignment horizontal="center" vertical="center"/>
    </xf>
    <xf numFmtId="0" fontId="48" fillId="0" borderId="66" xfId="0" applyFont="1" applyBorder="1" applyAlignment="1">
      <alignment horizontal="center" vertical="center"/>
    </xf>
    <xf numFmtId="3" fontId="48" fillId="0" borderId="39" xfId="0" applyNumberFormat="1" applyFont="1" applyBorder="1" applyAlignment="1">
      <alignment horizontal="center" vertical="center"/>
    </xf>
    <xf numFmtId="0" fontId="48" fillId="0" borderId="34" xfId="0" applyFont="1" applyBorder="1" applyAlignment="1">
      <alignment horizontal="center" vertical="center"/>
    </xf>
    <xf numFmtId="164" fontId="48" fillId="0" borderId="39" xfId="0" applyNumberFormat="1" applyFont="1" applyBorder="1" applyAlignment="1">
      <alignment horizontal="center" vertical="center"/>
    </xf>
    <xf numFmtId="164" fontId="48" fillId="0" borderId="30" xfId="0" applyNumberFormat="1" applyFont="1" applyBorder="1" applyAlignment="1">
      <alignment horizontal="center" vertical="center"/>
    </xf>
    <xf numFmtId="166" fontId="48" fillId="0" borderId="34" xfId="0" applyNumberFormat="1" applyFont="1" applyBorder="1" applyAlignment="1">
      <alignment horizontal="center" vertical="center"/>
    </xf>
    <xf numFmtId="166" fontId="48" fillId="0" borderId="30" xfId="0" applyNumberFormat="1" applyFont="1" applyBorder="1" applyAlignment="1">
      <alignment horizontal="center" vertical="center"/>
    </xf>
    <xf numFmtId="9" fontId="48" fillId="0" borderId="68" xfId="0" applyNumberFormat="1" applyFont="1" applyBorder="1" applyAlignment="1">
      <alignment horizontal="center" vertical="center"/>
    </xf>
    <xf numFmtId="3" fontId="48" fillId="9" borderId="48" xfId="0" applyNumberFormat="1" applyFont="1" applyFill="1" applyBorder="1" applyAlignment="1">
      <alignment horizontal="center" vertical="center"/>
    </xf>
    <xf numFmtId="9" fontId="48" fillId="0" borderId="66" xfId="0" applyNumberFormat="1" applyFont="1" applyBorder="1" applyAlignment="1">
      <alignment horizontal="center" vertical="center"/>
    </xf>
    <xf numFmtId="3" fontId="48" fillId="9" borderId="30" xfId="0" applyNumberFormat="1" applyFont="1" applyFill="1" applyBorder="1" applyAlignment="1">
      <alignment horizontal="center" vertical="center"/>
    </xf>
    <xf numFmtId="3" fontId="48" fillId="37" borderId="30" xfId="0" applyNumberFormat="1" applyFont="1" applyFill="1" applyBorder="1" applyAlignment="1">
      <alignment horizontal="center" vertical="center"/>
    </xf>
    <xf numFmtId="3" fontId="48" fillId="0" borderId="34" xfId="0" applyNumberFormat="1" applyFont="1" applyBorder="1" applyAlignment="1">
      <alignment horizontal="center" vertical="center"/>
    </xf>
    <xf numFmtId="9" fontId="48" fillId="0" borderId="39" xfId="0" applyNumberFormat="1" applyFont="1" applyBorder="1" applyAlignment="1">
      <alignment horizontal="center" vertical="center"/>
    </xf>
    <xf numFmtId="164" fontId="48" fillId="0" borderId="48" xfId="0" applyNumberFormat="1" applyFont="1" applyBorder="1" applyAlignment="1">
      <alignment horizontal="center" vertical="center"/>
    </xf>
    <xf numFmtId="164" fontId="48" fillId="19" borderId="30" xfId="0" applyNumberFormat="1" applyFont="1" applyFill="1" applyBorder="1" applyAlignment="1">
      <alignment horizontal="center" vertical="center"/>
    </xf>
    <xf numFmtId="178" fontId="48" fillId="0" borderId="48" xfId="0" applyNumberFormat="1" applyFont="1" applyBorder="1" applyAlignment="1">
      <alignment horizontal="center" vertical="center"/>
    </xf>
    <xf numFmtId="0" fontId="48" fillId="0" borderId="69" xfId="0" applyFont="1" applyBorder="1" applyAlignment="1">
      <alignment vertical="center"/>
    </xf>
    <xf numFmtId="178" fontId="48" fillId="0" borderId="30" xfId="0" applyNumberFormat="1" applyFont="1" applyBorder="1" applyAlignment="1">
      <alignment horizontal="center" vertical="center"/>
    </xf>
    <xf numFmtId="0" fontId="48" fillId="0" borderId="70" xfId="0" applyFont="1" applyBorder="1" applyAlignment="1">
      <alignment vertical="center"/>
    </xf>
    <xf numFmtId="177" fontId="48" fillId="0" borderId="71" xfId="0" applyNumberFormat="1" applyFont="1" applyBorder="1" applyAlignment="1">
      <alignment horizontal="center" vertical="center"/>
    </xf>
    <xf numFmtId="0" fontId="48" fillId="0" borderId="72" xfId="0" applyFont="1" applyBorder="1" applyAlignment="1">
      <alignment vertical="center"/>
    </xf>
    <xf numFmtId="0" fontId="48" fillId="0" borderId="73" xfId="0" applyFont="1" applyBorder="1" applyAlignment="1">
      <alignment vertical="center"/>
    </xf>
    <xf numFmtId="177" fontId="48" fillId="0" borderId="74" xfId="0" applyNumberFormat="1" applyFont="1" applyBorder="1" applyAlignment="1">
      <alignment horizontal="center" vertical="center"/>
    </xf>
    <xf numFmtId="0" fontId="48" fillId="0" borderId="75" xfId="0" applyFont="1" applyBorder="1" applyAlignment="1">
      <alignment vertical="center"/>
    </xf>
    <xf numFmtId="177" fontId="48" fillId="19" borderId="74" xfId="0" applyNumberFormat="1" applyFont="1" applyFill="1" applyBorder="1" applyAlignment="1">
      <alignment horizontal="center" vertical="center"/>
    </xf>
    <xf numFmtId="165" fontId="48" fillId="0" borderId="59" xfId="0" applyNumberFormat="1" applyFont="1" applyBorder="1" applyAlignment="1">
      <alignment horizontal="center" vertical="center"/>
    </xf>
    <xf numFmtId="0" fontId="149" fillId="15" borderId="23" xfId="0" applyFont="1" applyFill="1" applyBorder="1" applyAlignment="1">
      <alignment horizontal="center" vertical="center"/>
    </xf>
    <xf numFmtId="167" fontId="48" fillId="0" borderId="59" xfId="0" applyNumberFormat="1" applyFont="1" applyBorder="1" applyAlignment="1">
      <alignment horizontal="center" vertical="center"/>
    </xf>
    <xf numFmtId="177" fontId="149" fillId="0" borderId="30" xfId="0" applyNumberFormat="1" applyFont="1" applyBorder="1" applyAlignment="1">
      <alignment horizontal="center" vertical="center"/>
    </xf>
    <xf numFmtId="168" fontId="48" fillId="0" borderId="30" xfId="0" applyNumberFormat="1" applyFont="1" applyBorder="1" applyAlignment="1">
      <alignment horizontal="center" vertical="center"/>
    </xf>
    <xf numFmtId="0" fontId="149" fillId="0" borderId="59" xfId="0" applyFont="1" applyBorder="1" applyAlignment="1">
      <alignment horizontal="center" vertical="center"/>
    </xf>
    <xf numFmtId="0" fontId="48" fillId="0" borderId="60" xfId="0" applyFont="1" applyBorder="1" applyAlignment="1">
      <alignment horizontal="center" vertical="center"/>
    </xf>
    <xf numFmtId="0" fontId="48" fillId="0" borderId="59" xfId="0" applyFont="1" applyBorder="1" applyAlignment="1">
      <alignment horizontal="center" vertical="center"/>
    </xf>
    <xf numFmtId="0" fontId="149" fillId="0" borderId="60" xfId="0" applyFont="1" applyBorder="1" applyAlignment="1">
      <alignment horizontal="center" vertical="center"/>
    </xf>
    <xf numFmtId="1" fontId="48" fillId="0" borderId="60" xfId="0" applyNumberFormat="1" applyFont="1" applyBorder="1" applyAlignment="1">
      <alignment horizontal="center" vertical="center"/>
    </xf>
    <xf numFmtId="9" fontId="48" fillId="0" borderId="59" xfId="0" applyNumberFormat="1" applyFont="1" applyBorder="1" applyAlignment="1">
      <alignment vertical="center"/>
    </xf>
    <xf numFmtId="2" fontId="48" fillId="0" borderId="30" xfId="0" applyNumberFormat="1" applyFont="1" applyBorder="1" applyAlignment="1">
      <alignment horizontal="center" vertical="center"/>
    </xf>
    <xf numFmtId="9" fontId="48" fillId="0" borderId="59" xfId="0" applyNumberFormat="1" applyFont="1" applyBorder="1" applyAlignment="1">
      <alignment horizontal="center" vertical="center"/>
    </xf>
    <xf numFmtId="164" fontId="48" fillId="0" borderId="60" xfId="0" applyNumberFormat="1" applyFont="1" applyBorder="1" applyAlignment="1">
      <alignment horizontal="center" vertical="center"/>
    </xf>
    <xf numFmtId="164" fontId="48" fillId="0" borderId="59" xfId="0" applyNumberFormat="1" applyFont="1" applyBorder="1" applyAlignment="1">
      <alignment horizontal="center" vertical="center"/>
    </xf>
    <xf numFmtId="166" fontId="48" fillId="15" borderId="23" xfId="0" applyNumberFormat="1" applyFont="1" applyFill="1" applyBorder="1" applyAlignment="1">
      <alignment horizontal="center" vertical="center"/>
    </xf>
    <xf numFmtId="166" fontId="48" fillId="0" borderId="59" xfId="0" applyNumberFormat="1" applyFont="1" applyBorder="1" applyAlignment="1">
      <alignment horizontal="center" vertical="center"/>
    </xf>
    <xf numFmtId="1" fontId="149" fillId="0" borderId="30" xfId="0" applyNumberFormat="1" applyFont="1" applyBorder="1" applyAlignment="1">
      <alignment horizontal="center" vertical="center"/>
    </xf>
    <xf numFmtId="1" fontId="149" fillId="19" borderId="30" xfId="0" applyNumberFormat="1" applyFont="1" applyFill="1" applyBorder="1" applyAlignment="1">
      <alignment horizontal="center" vertical="center"/>
    </xf>
    <xf numFmtId="0" fontId="149" fillId="0" borderId="61" xfId="0" applyFont="1" applyBorder="1" applyAlignment="1">
      <alignment vertical="center"/>
    </xf>
    <xf numFmtId="177" fontId="149" fillId="0" borderId="62" xfId="0" applyNumberFormat="1" applyFont="1" applyBorder="1" applyAlignment="1">
      <alignment horizontal="center" vertical="center"/>
    </xf>
    <xf numFmtId="0" fontId="149" fillId="0" borderId="63" xfId="0" applyFont="1" applyBorder="1" applyAlignment="1">
      <alignment vertical="center"/>
    </xf>
    <xf numFmtId="177" fontId="149" fillId="19" borderId="62" xfId="0" applyNumberFormat="1" applyFont="1" applyFill="1" applyBorder="1" applyAlignment="1">
      <alignment horizontal="center" vertical="center"/>
    </xf>
    <xf numFmtId="0" fontId="32" fillId="15" borderId="23" xfId="0" applyFont="1" applyFill="1" applyBorder="1" applyAlignment="1">
      <alignment vertical="center"/>
    </xf>
    <xf numFmtId="9" fontId="149" fillId="0" borderId="60" xfId="1" applyFont="1" applyBorder="1" applyAlignment="1">
      <alignment horizontal="center" vertical="center"/>
    </xf>
    <xf numFmtId="9" fontId="48" fillId="0" borderId="60" xfId="1" applyFont="1" applyBorder="1" applyAlignment="1">
      <alignment vertical="center"/>
    </xf>
    <xf numFmtId="166" fontId="179" fillId="0" borderId="30" xfId="0" applyNumberFormat="1" applyFont="1" applyBorder="1" applyAlignment="1">
      <alignment horizontal="center" vertical="center"/>
    </xf>
    <xf numFmtId="3" fontId="179" fillId="0" borderId="30" xfId="0" applyNumberFormat="1" applyFont="1" applyBorder="1" applyAlignment="1">
      <alignment horizontal="center" vertical="center"/>
    </xf>
    <xf numFmtId="0" fontId="179" fillId="15" borderId="44" xfId="0" applyFont="1" applyFill="1" applyBorder="1" applyAlignment="1">
      <alignment horizontal="center" vertical="center"/>
    </xf>
    <xf numFmtId="0" fontId="179" fillId="0" borderId="30" xfId="0" applyFont="1" applyBorder="1" applyAlignment="1">
      <alignment horizontal="center" vertical="center"/>
    </xf>
    <xf numFmtId="0" fontId="185" fillId="15" borderId="44" xfId="0" applyFont="1" applyFill="1" applyBorder="1" applyAlignment="1">
      <alignment horizontal="center" vertical="center"/>
    </xf>
    <xf numFmtId="3" fontId="185" fillId="0" borderId="30" xfId="0" applyNumberFormat="1" applyFont="1" applyBorder="1" applyAlignment="1">
      <alignment horizontal="center" vertical="center"/>
    </xf>
    <xf numFmtId="9" fontId="179" fillId="0" borderId="60" xfId="0" applyNumberFormat="1" applyFont="1" applyBorder="1" applyAlignment="1">
      <alignment horizontal="center" vertical="center"/>
    </xf>
    <xf numFmtId="164" fontId="185" fillId="15" borderId="23" xfId="0" applyNumberFormat="1" applyFont="1" applyFill="1" applyBorder="1" applyAlignment="1">
      <alignment horizontal="center" vertical="center"/>
    </xf>
    <xf numFmtId="164" fontId="179" fillId="0" borderId="59" xfId="0" applyNumberFormat="1" applyFont="1" applyBorder="1" applyAlignment="1">
      <alignment horizontal="center" vertical="center"/>
    </xf>
    <xf numFmtId="166" fontId="179" fillId="0" borderId="59" xfId="0" applyNumberFormat="1" applyFont="1" applyBorder="1" applyAlignment="1">
      <alignment horizontal="center" vertical="center"/>
    </xf>
    <xf numFmtId="166" fontId="179" fillId="0" borderId="60" xfId="0" applyNumberFormat="1" applyFont="1" applyBorder="1" applyAlignment="1">
      <alignment horizontal="center" vertical="center"/>
    </xf>
    <xf numFmtId="164" fontId="179" fillId="15" borderId="23" xfId="0" applyNumberFormat="1" applyFont="1" applyFill="1" applyBorder="1" applyAlignment="1">
      <alignment horizontal="center" vertical="center"/>
    </xf>
    <xf numFmtId="3" fontId="179" fillId="0" borderId="59" xfId="0" applyNumberFormat="1" applyFont="1" applyBorder="1" applyAlignment="1">
      <alignment horizontal="center" vertical="center"/>
    </xf>
    <xf numFmtId="3" fontId="179" fillId="0" borderId="60" xfId="0" applyNumberFormat="1" applyFont="1" applyBorder="1" applyAlignment="1">
      <alignment horizontal="center" vertical="center"/>
    </xf>
    <xf numFmtId="168" fontId="179" fillId="0" borderId="60" xfId="0" applyNumberFormat="1" applyFont="1" applyBorder="1" applyAlignment="1">
      <alignment horizontal="center" vertical="center"/>
    </xf>
    <xf numFmtId="164" fontId="179" fillId="0" borderId="60" xfId="0" applyNumberFormat="1" applyFont="1" applyBorder="1" applyAlignment="1">
      <alignment horizontal="center" vertical="center"/>
    </xf>
    <xf numFmtId="9" fontId="179" fillId="0" borderId="59" xfId="0" applyNumberFormat="1" applyFont="1" applyBorder="1" applyAlignment="1">
      <alignment horizontal="center" vertical="center"/>
    </xf>
    <xf numFmtId="9" fontId="179" fillId="0" borderId="30" xfId="0" applyNumberFormat="1" applyFont="1" applyBorder="1" applyAlignment="1">
      <alignment horizontal="center" vertical="center"/>
    </xf>
    <xf numFmtId="165" fontId="179" fillId="0" borderId="59" xfId="0" applyNumberFormat="1" applyFont="1" applyBorder="1" applyAlignment="1">
      <alignment horizontal="center" vertical="center"/>
    </xf>
    <xf numFmtId="164" fontId="179" fillId="0" borderId="30" xfId="0" applyNumberFormat="1" applyFont="1" applyFill="1" applyBorder="1" applyAlignment="1">
      <alignment horizontal="center" vertical="center"/>
    </xf>
    <xf numFmtId="164" fontId="179" fillId="0" borderId="30" xfId="0" applyNumberFormat="1" applyFont="1" applyBorder="1" applyAlignment="1">
      <alignment horizontal="center" vertical="center"/>
    </xf>
    <xf numFmtId="2" fontId="179" fillId="0" borderId="59" xfId="0" applyNumberFormat="1" applyFont="1" applyBorder="1" applyAlignment="1">
      <alignment horizontal="center" vertical="center"/>
    </xf>
    <xf numFmtId="2" fontId="179" fillId="0" borderId="30" xfId="0" applyNumberFormat="1" applyFont="1" applyFill="1" applyBorder="1" applyAlignment="1">
      <alignment horizontal="center" vertical="center"/>
    </xf>
    <xf numFmtId="2" fontId="179" fillId="0" borderId="60" xfId="0" applyNumberFormat="1" applyFont="1" applyBorder="1" applyAlignment="1">
      <alignment horizontal="center" vertical="center"/>
    </xf>
    <xf numFmtId="9" fontId="179" fillId="0" borderId="30" xfId="0" applyNumberFormat="1" applyFont="1" applyFill="1" applyBorder="1" applyAlignment="1">
      <alignment horizontal="center" vertical="center"/>
    </xf>
    <xf numFmtId="9" fontId="179" fillId="0" borderId="60" xfId="1" applyFont="1" applyBorder="1" applyAlignment="1">
      <alignment horizontal="center" vertical="center"/>
    </xf>
    <xf numFmtId="9" fontId="179" fillId="0" borderId="59" xfId="1" applyFont="1" applyBorder="1" applyAlignment="1">
      <alignment horizontal="center" vertical="center"/>
    </xf>
    <xf numFmtId="3" fontId="185" fillId="19" borderId="30" xfId="0" applyNumberFormat="1" applyFont="1" applyFill="1" applyBorder="1" applyAlignment="1">
      <alignment horizontal="center" vertical="center"/>
    </xf>
    <xf numFmtId="178" fontId="185" fillId="19" borderId="30" xfId="0" applyNumberFormat="1" applyFont="1" applyFill="1" applyBorder="1" applyAlignment="1">
      <alignment horizontal="center" vertical="center"/>
    </xf>
    <xf numFmtId="0" fontId="179" fillId="0" borderId="59" xfId="0" applyFont="1" applyBorder="1" applyAlignment="1">
      <alignment vertical="center"/>
    </xf>
    <xf numFmtId="178" fontId="179" fillId="19" borderId="30" xfId="0" applyNumberFormat="1" applyFont="1" applyFill="1" applyBorder="1" applyAlignment="1">
      <alignment horizontal="center" vertical="center"/>
    </xf>
    <xf numFmtId="0" fontId="179" fillId="0" borderId="60" xfId="0" applyFont="1" applyBorder="1" applyAlignment="1">
      <alignment vertical="center"/>
    </xf>
    <xf numFmtId="178" fontId="179" fillId="0" borderId="30" xfId="0" applyNumberFormat="1" applyFont="1" applyBorder="1" applyAlignment="1">
      <alignment horizontal="center" vertical="center"/>
    </xf>
    <xf numFmtId="0" fontId="179" fillId="0" borderId="61" xfId="0" applyFont="1" applyBorder="1" applyAlignment="1">
      <alignment vertical="center"/>
    </xf>
    <xf numFmtId="177" fontId="179" fillId="19" borderId="62" xfId="0" applyNumberFormat="1" applyFont="1" applyFill="1" applyBorder="1" applyAlignment="1">
      <alignment horizontal="center" vertical="center"/>
    </xf>
    <xf numFmtId="0" fontId="179" fillId="0" borderId="63" xfId="0" applyFont="1" applyBorder="1" applyAlignment="1">
      <alignment vertical="center"/>
    </xf>
    <xf numFmtId="177" fontId="179" fillId="0" borderId="62" xfId="0" applyNumberFormat="1" applyFont="1" applyBorder="1" applyAlignment="1">
      <alignment horizontal="center" vertical="center"/>
    </xf>
    <xf numFmtId="0" fontId="241" fillId="0" borderId="57" xfId="0" applyFont="1" applyBorder="1" applyAlignment="1">
      <alignment horizontal="left" vertical="center"/>
    </xf>
    <xf numFmtId="0" fontId="241" fillId="0" borderId="58" xfId="0" applyFont="1" applyBorder="1" applyAlignment="1">
      <alignment horizontal="left" vertical="center"/>
    </xf>
    <xf numFmtId="0" fontId="242" fillId="0" borderId="57" xfId="0" applyFont="1" applyBorder="1" applyAlignment="1">
      <alignment horizontal="left"/>
    </xf>
    <xf numFmtId="0" fontId="179" fillId="0" borderId="108" xfId="0" applyFont="1" applyBorder="1" applyAlignment="1">
      <alignment vertical="center"/>
    </xf>
    <xf numFmtId="167" fontId="179" fillId="0" borderId="59" xfId="0" applyNumberFormat="1" applyFont="1" applyBorder="1" applyAlignment="1">
      <alignment horizontal="center" vertical="center"/>
    </xf>
    <xf numFmtId="168" fontId="179" fillId="0" borderId="108" xfId="0" applyNumberFormat="1" applyFont="1" applyBorder="1" applyAlignment="1">
      <alignment horizontal="center" vertical="center"/>
    </xf>
    <xf numFmtId="4" fontId="179" fillId="0" borderId="59" xfId="0" applyNumberFormat="1" applyFont="1" applyBorder="1" applyAlignment="1">
      <alignment horizontal="center" vertical="center"/>
    </xf>
    <xf numFmtId="4" fontId="179" fillId="0" borderId="60" xfId="0" applyNumberFormat="1" applyFont="1" applyBorder="1" applyAlignment="1">
      <alignment horizontal="center" vertical="center"/>
    </xf>
    <xf numFmtId="4" fontId="179" fillId="0" borderId="108" xfId="0" applyNumberFormat="1" applyFont="1" applyBorder="1" applyAlignment="1">
      <alignment horizontal="center" vertical="center"/>
    </xf>
    <xf numFmtId="0" fontId="183" fillId="0" borderId="59" xfId="0" applyFont="1" applyBorder="1" applyAlignment="1">
      <alignment horizontal="center" vertical="center"/>
    </xf>
    <xf numFmtId="0" fontId="183" fillId="0" borderId="60" xfId="0" applyFont="1" applyBorder="1" applyAlignment="1">
      <alignment horizontal="center" vertical="center"/>
    </xf>
    <xf numFmtId="0" fontId="183" fillId="0" borderId="59" xfId="0" applyFont="1" applyBorder="1" applyAlignment="1">
      <alignment vertical="center"/>
    </xf>
    <xf numFmtId="0" fontId="183" fillId="0" borderId="60" xfId="0" applyFont="1" applyBorder="1" applyAlignment="1">
      <alignment vertical="center"/>
    </xf>
    <xf numFmtId="0" fontId="183" fillId="0" borderId="108" xfId="0" applyFont="1" applyBorder="1" applyAlignment="1">
      <alignment vertical="center"/>
    </xf>
    <xf numFmtId="167" fontId="179" fillId="0" borderId="61" xfId="0" applyNumberFormat="1" applyFont="1" applyBorder="1" applyAlignment="1">
      <alignment horizontal="center" vertical="center"/>
    </xf>
    <xf numFmtId="168" fontId="179" fillId="0" borderId="63" xfId="0" applyNumberFormat="1" applyFont="1" applyBorder="1" applyAlignment="1">
      <alignment horizontal="center" vertical="center"/>
    </xf>
    <xf numFmtId="168" fontId="179" fillId="0" borderId="112" xfId="0" applyNumberFormat="1" applyFont="1" applyBorder="1" applyAlignment="1">
      <alignment horizontal="center" vertical="center"/>
    </xf>
    <xf numFmtId="0" fontId="179" fillId="0" borderId="59" xfId="0" applyFont="1" applyBorder="1"/>
    <xf numFmtId="164" fontId="179" fillId="0" borderId="60" xfId="0" applyNumberFormat="1" applyFont="1" applyBorder="1" applyAlignment="1">
      <alignment horizontal="center"/>
    </xf>
    <xf numFmtId="164" fontId="179" fillId="15" borderId="23" xfId="0" applyNumberFormat="1" applyFont="1" applyFill="1" applyBorder="1" applyAlignment="1">
      <alignment horizontal="center"/>
    </xf>
    <xf numFmtId="164" fontId="179" fillId="0" borderId="59" xfId="0" applyNumberFormat="1" applyFont="1" applyBorder="1" applyAlignment="1">
      <alignment horizontal="center"/>
    </xf>
    <xf numFmtId="0" fontId="179" fillId="0" borderId="109" xfId="0" applyFont="1" applyBorder="1"/>
    <xf numFmtId="0" fontId="179" fillId="0" borderId="60" xfId="0" applyFont="1" applyBorder="1"/>
    <xf numFmtId="0" fontId="179" fillId="15" borderId="23" xfId="0" applyFont="1" applyFill="1" applyBorder="1"/>
    <xf numFmtId="0" fontId="179" fillId="0" borderId="59" xfId="0" applyFont="1" applyBorder="1" applyAlignment="1"/>
    <xf numFmtId="0" fontId="179" fillId="0" borderId="60" xfId="0" applyFont="1" applyBorder="1" applyAlignment="1"/>
    <xf numFmtId="0" fontId="179" fillId="0" borderId="108" xfId="0" applyFont="1" applyBorder="1" applyAlignment="1"/>
    <xf numFmtId="3" fontId="179" fillId="0" borderId="59" xfId="0" applyNumberFormat="1" applyFont="1" applyBorder="1" applyAlignment="1">
      <alignment horizontal="center"/>
    </xf>
    <xf numFmtId="168" fontId="179" fillId="0" borderId="30" xfId="0" applyNumberFormat="1" applyFont="1" applyBorder="1" applyAlignment="1">
      <alignment horizontal="center"/>
    </xf>
    <xf numFmtId="3" fontId="179" fillId="0" borderId="60" xfId="0" applyNumberFormat="1" applyFont="1" applyBorder="1" applyAlignment="1">
      <alignment horizontal="center"/>
    </xf>
    <xf numFmtId="0" fontId="179" fillId="15" borderId="23" xfId="0" applyFont="1" applyFill="1" applyBorder="1" applyAlignment="1">
      <alignment horizontal="center"/>
    </xf>
    <xf numFmtId="3" fontId="179" fillId="0" borderId="109" xfId="0" applyNumberFormat="1" applyFont="1" applyBorder="1" applyAlignment="1">
      <alignment horizontal="center"/>
    </xf>
    <xf numFmtId="9" fontId="179" fillId="0" borderId="59" xfId="0" applyNumberFormat="1" applyFont="1" applyBorder="1" applyAlignment="1">
      <alignment horizontal="center"/>
    </xf>
    <xf numFmtId="0" fontId="179" fillId="0" borderId="109" xfId="0" applyFont="1" applyBorder="1" applyAlignment="1"/>
    <xf numFmtId="178" fontId="179" fillId="0" borderId="62" xfId="0" applyNumberFormat="1" applyFont="1" applyBorder="1" applyAlignment="1">
      <alignment horizontal="center" vertical="center"/>
    </xf>
    <xf numFmtId="0" fontId="179" fillId="0" borderId="63" xfId="0" applyFont="1" applyBorder="1" applyAlignment="1"/>
    <xf numFmtId="0" fontId="165" fillId="17" borderId="39" xfId="0" applyFont="1" applyFill="1" applyBorder="1" applyAlignment="1">
      <alignment vertical="center"/>
    </xf>
    <xf numFmtId="0" fontId="165" fillId="31" borderId="30" xfId="0" applyFont="1" applyFill="1" applyBorder="1" applyAlignment="1">
      <alignment horizontal="left" vertical="center"/>
    </xf>
    <xf numFmtId="0" fontId="165" fillId="31" borderId="30" xfId="0" applyFont="1" applyFill="1" applyBorder="1" applyAlignment="1">
      <alignment vertical="center"/>
    </xf>
    <xf numFmtId="0" fontId="183" fillId="0" borderId="0" xfId="0" applyFont="1" applyAlignment="1">
      <alignment vertical="center"/>
    </xf>
    <xf numFmtId="0" fontId="183" fillId="0" borderId="0" xfId="0" applyFont="1" applyAlignment="1" applyProtection="1">
      <alignment vertical="center"/>
    </xf>
    <xf numFmtId="0" fontId="183" fillId="0" borderId="0" xfId="0" applyFont="1" applyAlignment="1" applyProtection="1">
      <alignment horizontal="center" vertical="center"/>
    </xf>
    <xf numFmtId="0" fontId="243" fillId="0" borderId="0" xfId="0" applyFont="1" applyAlignment="1">
      <alignment vertical="center"/>
    </xf>
    <xf numFmtId="0" fontId="243" fillId="0" borderId="0" xfId="0" applyFont="1" applyAlignment="1" applyProtection="1">
      <alignment vertical="center"/>
      <protection locked="0"/>
    </xf>
    <xf numFmtId="0" fontId="243" fillId="0" borderId="0" xfId="0" applyFont="1" applyAlignment="1" applyProtection="1">
      <alignment vertical="center" wrapText="1"/>
    </xf>
    <xf numFmtId="0" fontId="243" fillId="0" borderId="0" xfId="0" applyFont="1" applyAlignment="1" applyProtection="1">
      <alignment vertical="center"/>
    </xf>
    <xf numFmtId="0" fontId="243" fillId="0" borderId="23" xfId="0" applyFont="1" applyBorder="1" applyAlignment="1" applyProtection="1">
      <alignment vertical="center"/>
      <protection locked="0"/>
    </xf>
    <xf numFmtId="0" fontId="244" fillId="0" borderId="23" xfId="0" applyFont="1" applyFill="1" applyBorder="1" applyAlignment="1" applyProtection="1">
      <alignment vertical="center"/>
      <protection locked="0"/>
    </xf>
    <xf numFmtId="0" fontId="164" fillId="0" borderId="125" xfId="0" applyFont="1" applyFill="1" applyBorder="1" applyAlignment="1" applyProtection="1">
      <alignment vertical="center"/>
      <protection locked="0"/>
    </xf>
    <xf numFmtId="0" fontId="243" fillId="0" borderId="23" xfId="0" applyFont="1" applyBorder="1" applyAlignment="1" applyProtection="1">
      <alignment horizontal="center" vertical="center"/>
      <protection locked="0"/>
    </xf>
    <xf numFmtId="0" fontId="165" fillId="31" borderId="132" xfId="0" applyFont="1" applyFill="1" applyBorder="1" applyAlignment="1" applyProtection="1">
      <alignment vertical="center"/>
    </xf>
    <xf numFmtId="0" fontId="165" fillId="31" borderId="131" xfId="0" applyFont="1" applyFill="1" applyBorder="1" applyAlignment="1" applyProtection="1">
      <alignment horizontal="center" vertical="center"/>
    </xf>
    <xf numFmtId="0" fontId="165" fillId="31" borderId="135" xfId="0" applyFont="1" applyFill="1" applyBorder="1" applyAlignment="1" applyProtection="1">
      <alignment horizontal="center" vertical="center"/>
    </xf>
    <xf numFmtId="0" fontId="183" fillId="0" borderId="0" xfId="0" applyFont="1" applyAlignment="1" applyProtection="1">
      <alignment vertical="center"/>
      <protection locked="0"/>
    </xf>
    <xf numFmtId="170" fontId="183" fillId="0" borderId="0" xfId="0" applyNumberFormat="1" applyFont="1" applyAlignment="1" applyProtection="1">
      <alignment vertical="center"/>
      <protection locked="0"/>
    </xf>
    <xf numFmtId="0" fontId="183" fillId="0" borderId="0" xfId="0" applyFont="1" applyAlignment="1" applyProtection="1">
      <alignment horizontal="center" vertical="center"/>
      <protection locked="0"/>
    </xf>
    <xf numFmtId="10" fontId="243" fillId="0" borderId="60" xfId="0" applyNumberFormat="1" applyFont="1" applyBorder="1" applyAlignment="1">
      <alignment horizontal="center" vertical="center"/>
    </xf>
    <xf numFmtId="0" fontId="245" fillId="8" borderId="133" xfId="0" applyFont="1" applyFill="1" applyBorder="1" applyAlignment="1" applyProtection="1">
      <alignment vertical="center"/>
    </xf>
    <xf numFmtId="176" fontId="246" fillId="8" borderId="136" xfId="0" applyNumberFormat="1" applyFont="1" applyFill="1" applyBorder="1" applyAlignment="1" applyProtection="1">
      <alignment horizontal="center" vertical="center"/>
      <protection locked="0"/>
    </xf>
    <xf numFmtId="176" fontId="246" fillId="8" borderId="111" xfId="0" applyNumberFormat="1" applyFont="1" applyFill="1" applyBorder="1" applyAlignment="1" applyProtection="1">
      <alignment horizontal="center" vertical="center"/>
      <protection locked="0"/>
    </xf>
    <xf numFmtId="0" fontId="243" fillId="0" borderId="0" xfId="0" applyFont="1" applyAlignment="1" applyProtection="1">
      <alignment horizontal="center" vertical="center"/>
      <protection locked="0"/>
    </xf>
    <xf numFmtId="9" fontId="243" fillId="0" borderId="60" xfId="0" applyNumberFormat="1" applyFont="1" applyBorder="1" applyAlignment="1">
      <alignment horizontal="center" vertical="center"/>
    </xf>
    <xf numFmtId="0" fontId="245" fillId="3" borderId="121" xfId="0" applyFont="1" applyFill="1" applyBorder="1" applyAlignment="1" applyProtection="1">
      <alignment horizontal="left" vertical="center"/>
    </xf>
    <xf numFmtId="166" fontId="246" fillId="3" borderId="137" xfId="0" applyNumberFormat="1" applyFont="1" applyFill="1" applyBorder="1" applyAlignment="1" applyProtection="1">
      <alignment horizontal="center" vertical="center"/>
      <protection locked="0"/>
    </xf>
    <xf numFmtId="166" fontId="246" fillId="3" borderId="108" xfId="0" applyNumberFormat="1" applyFont="1" applyFill="1" applyBorder="1" applyAlignment="1" applyProtection="1">
      <alignment horizontal="center" vertical="center"/>
      <protection locked="0"/>
    </xf>
    <xf numFmtId="165" fontId="243" fillId="0" borderId="0" xfId="0" applyNumberFormat="1" applyFont="1" applyAlignment="1" applyProtection="1">
      <alignment horizontal="center" vertical="center"/>
      <protection locked="0"/>
    </xf>
    <xf numFmtId="9" fontId="243" fillId="0" borderId="116" xfId="0" applyNumberFormat="1" applyFont="1" applyBorder="1" applyAlignment="1">
      <alignment horizontal="center" vertical="center"/>
    </xf>
    <xf numFmtId="0" fontId="245" fillId="8" borderId="121" xfId="0" applyFont="1" applyFill="1" applyBorder="1" applyAlignment="1" applyProtection="1">
      <alignment horizontal="left" vertical="center"/>
    </xf>
    <xf numFmtId="166" fontId="246" fillId="8" borderId="137" xfId="0" applyNumberFormat="1" applyFont="1" applyFill="1" applyBorder="1" applyAlignment="1" applyProtection="1">
      <alignment horizontal="center" vertical="center"/>
      <protection locked="0"/>
    </xf>
    <xf numFmtId="166" fontId="246" fillId="8" borderId="108" xfId="0" applyNumberFormat="1" applyFont="1" applyFill="1" applyBorder="1" applyAlignment="1" applyProtection="1">
      <alignment horizontal="center" vertical="center"/>
      <protection locked="0"/>
    </xf>
    <xf numFmtId="166" fontId="243" fillId="0" borderId="0" xfId="0" applyNumberFormat="1" applyFont="1" applyAlignment="1" applyProtection="1">
      <alignment horizontal="center" vertical="center"/>
      <protection locked="0"/>
    </xf>
    <xf numFmtId="176" fontId="246" fillId="8" borderId="137" xfId="0" applyNumberFormat="1" applyFont="1" applyFill="1" applyBorder="1" applyAlignment="1" applyProtection="1">
      <alignment horizontal="center" vertical="center"/>
      <protection locked="0"/>
    </xf>
    <xf numFmtId="176" fontId="246" fillId="8" borderId="108" xfId="0" applyNumberFormat="1" applyFont="1" applyFill="1" applyBorder="1" applyAlignment="1" applyProtection="1">
      <alignment horizontal="center" vertical="center"/>
      <protection locked="0"/>
    </xf>
    <xf numFmtId="0" fontId="165" fillId="31" borderId="60" xfId="0" applyFont="1" applyFill="1" applyBorder="1" applyAlignment="1">
      <alignment horizontal="center" vertical="center"/>
    </xf>
    <xf numFmtId="166" fontId="243" fillId="2" borderId="60" xfId="0" applyNumberFormat="1" applyFont="1" applyFill="1" applyBorder="1" applyAlignment="1" applyProtection="1">
      <alignment horizontal="center" vertical="center"/>
      <protection locked="0"/>
    </xf>
    <xf numFmtId="0" fontId="245" fillId="3" borderId="121" xfId="0" applyFont="1" applyFill="1" applyBorder="1" applyAlignment="1" applyProtection="1">
      <alignment horizontal="left" vertical="center" wrapText="1"/>
    </xf>
    <xf numFmtId="165" fontId="246" fillId="3" borderId="137" xfId="0" applyNumberFormat="1" applyFont="1" applyFill="1" applyBorder="1" applyAlignment="1" applyProtection="1">
      <alignment horizontal="center" vertical="center"/>
      <protection locked="0"/>
    </xf>
    <xf numFmtId="165" fontId="246" fillId="3" borderId="108" xfId="0" applyNumberFormat="1" applyFont="1" applyFill="1" applyBorder="1" applyAlignment="1" applyProtection="1">
      <alignment horizontal="center" vertical="center"/>
      <protection locked="0"/>
    </xf>
    <xf numFmtId="10" fontId="243" fillId="2" borderId="63" xfId="0" applyNumberFormat="1" applyFont="1" applyFill="1" applyBorder="1" applyAlignment="1" applyProtection="1">
      <alignment horizontal="center" vertical="center"/>
      <protection locked="0"/>
    </xf>
    <xf numFmtId="0" fontId="245" fillId="8" borderId="134" xfId="0" applyFont="1" applyFill="1" applyBorder="1" applyAlignment="1" applyProtection="1">
      <alignment horizontal="left" vertical="center"/>
    </xf>
    <xf numFmtId="9" fontId="243" fillId="8" borderId="138" xfId="0" applyNumberFormat="1" applyFont="1" applyFill="1" applyBorder="1" applyAlignment="1" applyProtection="1">
      <alignment horizontal="center" vertical="center"/>
      <protection locked="0"/>
    </xf>
    <xf numFmtId="9" fontId="243" fillId="8" borderId="112" xfId="0" applyNumberFormat="1" applyFont="1" applyFill="1" applyBorder="1" applyAlignment="1" applyProtection="1">
      <alignment horizontal="center" vertical="center"/>
      <protection locked="0"/>
    </xf>
    <xf numFmtId="0" fontId="243" fillId="0" borderId="116" xfId="0" applyFont="1" applyBorder="1" applyAlignment="1">
      <alignment vertical="center"/>
    </xf>
    <xf numFmtId="0" fontId="246" fillId="0" borderId="115" xfId="0" applyFont="1" applyBorder="1" applyAlignment="1" applyProtection="1">
      <alignment horizontal="left" vertical="center"/>
      <protection locked="0"/>
    </xf>
    <xf numFmtId="9" fontId="243" fillId="0" borderId="23" xfId="0" applyNumberFormat="1" applyFont="1" applyBorder="1" applyAlignment="1" applyProtection="1">
      <alignment horizontal="center" vertical="center"/>
      <protection locked="0"/>
    </xf>
    <xf numFmtId="9" fontId="243" fillId="0" borderId="116" xfId="0" applyNumberFormat="1" applyFont="1" applyBorder="1" applyAlignment="1" applyProtection="1">
      <alignment horizontal="center" vertical="center"/>
      <protection locked="0"/>
    </xf>
    <xf numFmtId="0" fontId="165" fillId="31" borderId="141" xfId="0" applyFont="1" applyFill="1" applyBorder="1" applyAlignment="1" applyProtection="1">
      <alignment horizontal="center" vertical="center"/>
    </xf>
    <xf numFmtId="0" fontId="165" fillId="31" borderId="140" xfId="0" applyFont="1" applyFill="1" applyBorder="1" applyAlignment="1" applyProtection="1">
      <alignment horizontal="center" vertical="center"/>
    </xf>
    <xf numFmtId="165" fontId="183" fillId="0" borderId="0" xfId="0" applyNumberFormat="1" applyFont="1" applyAlignment="1" applyProtection="1">
      <alignment horizontal="center" vertical="center"/>
      <protection locked="0"/>
    </xf>
    <xf numFmtId="166" fontId="243" fillId="0" borderId="60" xfId="0" applyNumberFormat="1" applyFont="1" applyBorder="1" applyAlignment="1">
      <alignment horizontal="center" vertical="center"/>
    </xf>
    <xf numFmtId="9" fontId="246" fillId="0" borderId="60" xfId="0" applyNumberFormat="1" applyFont="1" applyBorder="1" applyAlignment="1">
      <alignment horizontal="center" vertical="center"/>
    </xf>
    <xf numFmtId="1" fontId="246" fillId="0" borderId="60" xfId="0" applyNumberFormat="1" applyFont="1" applyBorder="1" applyAlignment="1">
      <alignment horizontal="center" vertical="center"/>
    </xf>
    <xf numFmtId="10" fontId="246" fillId="0" borderId="60" xfId="0" applyNumberFormat="1" applyFont="1" applyBorder="1" applyAlignment="1">
      <alignment horizontal="center" vertical="center"/>
    </xf>
    <xf numFmtId="10" fontId="247" fillId="0" borderId="137" xfId="0" applyNumberFormat="1" applyFont="1" applyBorder="1" applyAlignment="1" applyProtection="1">
      <alignment horizontal="center" vertical="center"/>
      <protection locked="0"/>
    </xf>
    <xf numFmtId="10" fontId="247" fillId="0" borderId="108" xfId="0" applyNumberFormat="1" applyFont="1" applyBorder="1" applyAlignment="1" applyProtection="1">
      <alignment horizontal="center" vertical="center"/>
      <protection locked="0"/>
    </xf>
    <xf numFmtId="0" fontId="247" fillId="0" borderId="137" xfId="0" applyFont="1" applyBorder="1" applyAlignment="1" applyProtection="1">
      <alignment horizontal="center" vertical="center"/>
      <protection locked="0"/>
    </xf>
    <xf numFmtId="0" fontId="247" fillId="0" borderId="108" xfId="0" applyFont="1" applyBorder="1" applyAlignment="1" applyProtection="1">
      <alignment horizontal="center" vertical="center"/>
      <protection locked="0"/>
    </xf>
    <xf numFmtId="10" fontId="247" fillId="0" borderId="138" xfId="0" applyNumberFormat="1" applyFont="1" applyBorder="1" applyAlignment="1" applyProtection="1">
      <alignment horizontal="center" vertical="center"/>
      <protection locked="0"/>
    </xf>
    <xf numFmtId="10" fontId="247" fillId="0" borderId="112" xfId="0" applyNumberFormat="1" applyFont="1" applyBorder="1" applyAlignment="1" applyProtection="1">
      <alignment horizontal="center" vertical="center"/>
      <protection locked="0"/>
    </xf>
    <xf numFmtId="9" fontId="243" fillId="2" borderId="60" xfId="0" applyNumberFormat="1" applyFont="1" applyFill="1" applyBorder="1" applyAlignment="1" applyProtection="1">
      <alignment horizontal="center" vertical="center"/>
      <protection locked="0"/>
    </xf>
    <xf numFmtId="9" fontId="243" fillId="2" borderId="63" xfId="0" applyNumberFormat="1" applyFont="1" applyFill="1" applyBorder="1" applyAlignment="1" applyProtection="1">
      <alignment horizontal="center" vertical="center"/>
      <protection locked="0"/>
    </xf>
    <xf numFmtId="1" fontId="246" fillId="0" borderId="117" xfId="0" applyNumberFormat="1" applyFont="1" applyBorder="1" applyAlignment="1" applyProtection="1">
      <alignment horizontal="center" vertical="center"/>
      <protection locked="0"/>
    </xf>
    <xf numFmtId="0" fontId="246" fillId="0" borderId="118" xfId="0" applyFont="1" applyBorder="1" applyAlignment="1" applyProtection="1">
      <alignment vertical="center"/>
    </xf>
    <xf numFmtId="0" fontId="243" fillId="0" borderId="118" xfId="0" applyFont="1" applyBorder="1" applyAlignment="1" applyProtection="1">
      <alignment vertical="center"/>
    </xf>
    <xf numFmtId="164" fontId="246" fillId="0" borderId="117" xfId="0" applyNumberFormat="1" applyFont="1" applyBorder="1" applyAlignment="1" applyProtection="1">
      <alignment horizontal="center" vertical="center"/>
      <protection locked="0"/>
    </xf>
    <xf numFmtId="9" fontId="246" fillId="0" borderId="117" xfId="0" applyNumberFormat="1" applyFont="1" applyBorder="1" applyAlignment="1" applyProtection="1">
      <alignment horizontal="center" vertical="center"/>
      <protection locked="0"/>
    </xf>
    <xf numFmtId="0" fontId="246" fillId="0" borderId="120" xfId="0" applyFont="1" applyBorder="1" applyAlignment="1" applyProtection="1">
      <alignment vertical="center"/>
    </xf>
    <xf numFmtId="1" fontId="246" fillId="0" borderId="30" xfId="0" applyNumberFormat="1" applyFont="1" applyBorder="1" applyAlignment="1" applyProtection="1">
      <alignment horizontal="center" vertical="center"/>
      <protection locked="0"/>
    </xf>
    <xf numFmtId="0" fontId="246" fillId="0" borderId="23" xfId="0" applyFont="1" applyBorder="1" applyAlignment="1" applyProtection="1">
      <alignment vertical="center"/>
    </xf>
    <xf numFmtId="0" fontId="243" fillId="0" borderId="23" xfId="0" applyFont="1" applyBorder="1" applyAlignment="1" applyProtection="1">
      <alignment vertical="center"/>
    </xf>
    <xf numFmtId="166" fontId="246" fillId="0" borderId="30" xfId="0" applyNumberFormat="1" applyFont="1" applyBorder="1" applyAlignment="1" applyProtection="1">
      <alignment horizontal="center" vertical="center"/>
      <protection locked="0"/>
    </xf>
    <xf numFmtId="0" fontId="243" fillId="0" borderId="23" xfId="0" applyFont="1" applyBorder="1" applyAlignment="1" applyProtection="1">
      <alignment vertical="center" wrapText="1"/>
    </xf>
    <xf numFmtId="0" fontId="179" fillId="0" borderId="23" xfId="0" applyFont="1" applyBorder="1" applyAlignment="1" applyProtection="1">
      <alignment vertical="center"/>
    </xf>
    <xf numFmtId="0" fontId="179" fillId="0" borderId="116" xfId="0" applyFont="1" applyBorder="1" applyAlignment="1" applyProtection="1">
      <alignment vertical="center"/>
    </xf>
    <xf numFmtId="10" fontId="246" fillId="0" borderId="63" xfId="0" applyNumberFormat="1" applyFont="1" applyBorder="1" applyAlignment="1">
      <alignment horizontal="center" vertical="center"/>
    </xf>
    <xf numFmtId="1" fontId="246" fillId="0" borderId="62" xfId="0" applyNumberFormat="1" applyFont="1" applyBorder="1" applyAlignment="1" applyProtection="1">
      <alignment horizontal="center" vertical="center"/>
      <protection locked="0"/>
    </xf>
    <xf numFmtId="0" fontId="246" fillId="0" borderId="123" xfId="0" applyFont="1" applyBorder="1" applyAlignment="1" applyProtection="1">
      <alignment horizontal="left" vertical="center"/>
    </xf>
    <xf numFmtId="0" fontId="243" fillId="0" borderId="123" xfId="0" applyFont="1" applyBorder="1" applyAlignment="1" applyProtection="1">
      <alignment vertical="center"/>
    </xf>
    <xf numFmtId="165" fontId="246" fillId="0" borderId="62" xfId="0" applyNumberFormat="1" applyFont="1" applyBorder="1" applyAlignment="1" applyProtection="1">
      <alignment horizontal="center" vertical="center"/>
      <protection locked="0"/>
    </xf>
    <xf numFmtId="0" fontId="246" fillId="0" borderId="123" xfId="0" applyFont="1" applyBorder="1" applyAlignment="1" applyProtection="1">
      <alignment vertical="center"/>
    </xf>
    <xf numFmtId="0" fontId="179" fillId="0" borderId="124" xfId="0" applyFont="1" applyBorder="1" applyAlignment="1" applyProtection="1">
      <alignment vertical="center"/>
    </xf>
    <xf numFmtId="0" fontId="243" fillId="0" borderId="0" xfId="0" applyFont="1" applyAlignment="1">
      <alignment horizontal="center" vertical="center"/>
    </xf>
    <xf numFmtId="0" fontId="243" fillId="0" borderId="23" xfId="0" applyFont="1" applyBorder="1" applyAlignment="1">
      <alignment horizontal="center" vertical="center"/>
    </xf>
    <xf numFmtId="3" fontId="246" fillId="0" borderId="29" xfId="0" applyNumberFormat="1" applyFont="1" applyBorder="1" applyAlignment="1">
      <alignment horizontal="center" vertical="center"/>
    </xf>
    <xf numFmtId="3" fontId="246" fillId="0" borderId="30" xfId="0" applyNumberFormat="1" applyFont="1" applyBorder="1" applyAlignment="1">
      <alignment horizontal="center" vertical="center"/>
    </xf>
    <xf numFmtId="0" fontId="243" fillId="0" borderId="0" xfId="0" applyFont="1" applyAlignment="1">
      <alignment horizontal="left" vertical="center"/>
    </xf>
    <xf numFmtId="0" fontId="246" fillId="0" borderId="0" xfId="0" applyFont="1" applyAlignment="1">
      <alignment horizontal="center" vertical="center"/>
    </xf>
    <xf numFmtId="0" fontId="246" fillId="0" borderId="0" xfId="0" applyFont="1" applyAlignment="1">
      <alignment vertical="center"/>
    </xf>
    <xf numFmtId="0" fontId="243" fillId="0" borderId="0" xfId="0" applyFont="1" applyAlignment="1">
      <alignment horizontal="right" vertical="center"/>
    </xf>
    <xf numFmtId="0" fontId="243" fillId="0" borderId="0" xfId="0" applyFont="1" applyAlignment="1">
      <alignment vertical="center" wrapText="1"/>
    </xf>
    <xf numFmtId="3" fontId="243" fillId="0" borderId="0" xfId="0" applyNumberFormat="1" applyFont="1" applyAlignment="1">
      <alignment horizontal="center" vertical="center"/>
    </xf>
    <xf numFmtId="0" fontId="243" fillId="0" borderId="23" xfId="0" applyFont="1" applyBorder="1" applyAlignment="1">
      <alignment vertical="center"/>
    </xf>
    <xf numFmtId="9" fontId="243" fillId="0" borderId="30" xfId="0" applyNumberFormat="1" applyFont="1" applyBorder="1" applyAlignment="1">
      <alignment horizontal="center" vertical="center"/>
    </xf>
    <xf numFmtId="9" fontId="243" fillId="0" borderId="31" xfId="0" applyNumberFormat="1" applyFont="1" applyBorder="1" applyAlignment="1">
      <alignment horizontal="center" vertical="center"/>
    </xf>
    <xf numFmtId="164" fontId="243" fillId="0" borderId="30" xfId="0" applyNumberFormat="1" applyFont="1" applyBorder="1" applyAlignment="1">
      <alignment horizontal="center" vertical="center"/>
    </xf>
    <xf numFmtId="164" fontId="243" fillId="0" borderId="31" xfId="0" applyNumberFormat="1" applyFont="1" applyBorder="1" applyAlignment="1">
      <alignment horizontal="center" vertical="center"/>
    </xf>
    <xf numFmtId="168" fontId="243" fillId="0" borderId="30" xfId="0" applyNumberFormat="1" applyFont="1" applyBorder="1" applyAlignment="1">
      <alignment horizontal="center" vertical="center"/>
    </xf>
    <xf numFmtId="0" fontId="243" fillId="0" borderId="28" xfId="0" applyFont="1" applyBorder="1" applyAlignment="1">
      <alignment vertical="center"/>
    </xf>
    <xf numFmtId="0" fontId="243" fillId="0" borderId="29" xfId="0" applyFont="1" applyBorder="1" applyAlignment="1">
      <alignment vertical="center"/>
    </xf>
    <xf numFmtId="3" fontId="243" fillId="0" borderId="30" xfId="0" applyNumberFormat="1" applyFont="1" applyBorder="1" applyAlignment="1">
      <alignment horizontal="center" vertical="center"/>
    </xf>
    <xf numFmtId="3" fontId="243" fillId="0" borderId="31" xfId="0" applyNumberFormat="1" applyFont="1" applyBorder="1" applyAlignment="1">
      <alignment horizontal="center" vertical="center"/>
    </xf>
    <xf numFmtId="168" fontId="243" fillId="0" borderId="0" xfId="0" applyNumberFormat="1" applyFont="1" applyAlignment="1">
      <alignment horizontal="center" vertical="center"/>
    </xf>
    <xf numFmtId="168" fontId="246" fillId="0" borderId="30" xfId="0" applyNumberFormat="1" applyFont="1" applyBorder="1" applyAlignment="1">
      <alignment horizontal="center" vertical="center"/>
    </xf>
    <xf numFmtId="168" fontId="243" fillId="0" borderId="31" xfId="0" applyNumberFormat="1" applyFont="1" applyBorder="1" applyAlignment="1">
      <alignment horizontal="center" vertical="center"/>
    </xf>
    <xf numFmtId="9" fontId="243" fillId="0" borderId="29" xfId="0" applyNumberFormat="1" applyFont="1" applyBorder="1" applyAlignment="1">
      <alignment horizontal="center" vertical="center"/>
    </xf>
    <xf numFmtId="168" fontId="243" fillId="0" borderId="29" xfId="0" applyNumberFormat="1" applyFont="1" applyBorder="1" applyAlignment="1">
      <alignment horizontal="center" vertical="center"/>
    </xf>
    <xf numFmtId="164" fontId="243" fillId="0" borderId="0" xfId="0" applyNumberFormat="1" applyFont="1" applyAlignment="1">
      <alignment horizontal="center" vertical="center"/>
    </xf>
    <xf numFmtId="0" fontId="243" fillId="0" borderId="41" xfId="0" applyFont="1" applyBorder="1" applyAlignment="1">
      <alignment vertical="center"/>
    </xf>
    <xf numFmtId="170" fontId="243" fillId="0" borderId="0" xfId="0" applyNumberFormat="1" applyFont="1" applyAlignment="1">
      <alignment horizontal="center" vertical="center"/>
    </xf>
    <xf numFmtId="170" fontId="243" fillId="0" borderId="0" xfId="0" applyNumberFormat="1" applyFont="1" applyAlignment="1">
      <alignment vertical="center"/>
    </xf>
    <xf numFmtId="170" fontId="243" fillId="0" borderId="0" xfId="0" applyNumberFormat="1" applyFont="1" applyFill="1" applyAlignment="1">
      <alignment horizontal="center" vertical="center"/>
    </xf>
    <xf numFmtId="170" fontId="243" fillId="0" borderId="5" xfId="0" applyNumberFormat="1" applyFont="1" applyFill="1" applyBorder="1" applyAlignment="1">
      <alignment horizontal="center" vertical="center"/>
    </xf>
    <xf numFmtId="173" fontId="243" fillId="0" borderId="0" xfId="0" applyNumberFormat="1" applyFont="1" applyFill="1" applyAlignment="1">
      <alignment horizontal="center" vertical="center"/>
    </xf>
    <xf numFmtId="9" fontId="243" fillId="0" borderId="0" xfId="0" applyNumberFormat="1" applyFont="1" applyFill="1" applyAlignment="1">
      <alignment horizontal="center" vertical="center"/>
    </xf>
    <xf numFmtId="0" fontId="246" fillId="0" borderId="0" xfId="0" applyFont="1" applyFill="1" applyAlignment="1">
      <alignment horizontal="center" vertical="center"/>
    </xf>
    <xf numFmtId="0" fontId="243" fillId="0" borderId="0" xfId="0" applyFont="1" applyFill="1" applyAlignment="1">
      <alignment horizontal="center" vertical="center"/>
    </xf>
    <xf numFmtId="170" fontId="243" fillId="0" borderId="0" xfId="0" applyNumberFormat="1" applyFont="1" applyFill="1" applyAlignment="1">
      <alignment vertical="center"/>
    </xf>
    <xf numFmtId="173" fontId="243" fillId="9" borderId="5" xfId="0" applyNumberFormat="1" applyFont="1" applyFill="1" applyBorder="1" applyAlignment="1">
      <alignment horizontal="center" vertical="center"/>
    </xf>
    <xf numFmtId="173" fontId="243" fillId="0" borderId="0" xfId="0" applyNumberFormat="1" applyFont="1" applyAlignment="1">
      <alignment horizontal="center" vertical="center"/>
    </xf>
    <xf numFmtId="9" fontId="243" fillId="0" borderId="0" xfId="0" applyNumberFormat="1" applyFont="1" applyAlignment="1">
      <alignment horizontal="center" vertical="center"/>
    </xf>
    <xf numFmtId="9" fontId="183" fillId="0" borderId="0" xfId="0" applyNumberFormat="1" applyFont="1" applyAlignment="1">
      <alignment horizontal="center" vertical="center"/>
    </xf>
    <xf numFmtId="170" fontId="183" fillId="0" borderId="0" xfId="0" applyNumberFormat="1" applyFont="1" applyAlignment="1">
      <alignment vertical="center"/>
    </xf>
    <xf numFmtId="170" fontId="183" fillId="0" borderId="0" xfId="0" applyNumberFormat="1" applyFont="1" applyAlignment="1">
      <alignment horizontal="center" vertical="center"/>
    </xf>
    <xf numFmtId="0" fontId="183" fillId="0" borderId="0" xfId="0" applyFont="1" applyAlignment="1">
      <alignment horizontal="center" vertical="center"/>
    </xf>
    <xf numFmtId="165" fontId="250" fillId="57" borderId="158" xfId="0" applyNumberFormat="1" applyFont="1" applyFill="1" applyBorder="1" applyAlignment="1">
      <alignment horizontal="center" vertical="center"/>
    </xf>
    <xf numFmtId="9" fontId="250" fillId="57" borderId="159" xfId="0" applyNumberFormat="1" applyFont="1" applyFill="1" applyBorder="1" applyAlignment="1">
      <alignment horizontal="center" vertical="center"/>
    </xf>
    <xf numFmtId="165" fontId="250" fillId="57" borderId="30" xfId="0" applyNumberFormat="1" applyFont="1" applyFill="1" applyBorder="1" applyAlignment="1">
      <alignment horizontal="center" vertical="center"/>
    </xf>
    <xf numFmtId="9" fontId="250" fillId="57" borderId="67" xfId="0" applyNumberFormat="1" applyFont="1" applyFill="1" applyBorder="1" applyAlignment="1">
      <alignment horizontal="center" vertical="center"/>
    </xf>
    <xf numFmtId="9" fontId="250" fillId="57" borderId="30" xfId="0" applyNumberFormat="1" applyFont="1" applyFill="1" applyBorder="1" applyAlignment="1">
      <alignment horizontal="center" vertical="center"/>
    </xf>
    <xf numFmtId="0" fontId="251" fillId="15" borderId="147" xfId="0" applyFont="1" applyFill="1" applyBorder="1" applyAlignment="1">
      <alignment horizontal="right" vertical="center"/>
    </xf>
    <xf numFmtId="0" fontId="251" fillId="15" borderId="23" xfId="0" applyFont="1" applyFill="1" applyBorder="1" applyAlignment="1">
      <alignment horizontal="right" vertical="center"/>
    </xf>
    <xf numFmtId="0" fontId="251" fillId="15" borderId="23" xfId="0" applyFont="1" applyFill="1" applyBorder="1" applyAlignment="1">
      <alignment horizontal="left" vertical="center"/>
    </xf>
    <xf numFmtId="0" fontId="251" fillId="15" borderId="23" xfId="0" applyFont="1" applyFill="1" applyBorder="1" applyAlignment="1">
      <alignment vertical="center"/>
    </xf>
    <xf numFmtId="0" fontId="251" fillId="15" borderId="148" xfId="0" applyFont="1" applyFill="1" applyBorder="1" applyAlignment="1">
      <alignment vertical="center"/>
    </xf>
    <xf numFmtId="165" fontId="250" fillId="57" borderId="170" xfId="0" applyNumberFormat="1" applyFont="1" applyFill="1" applyBorder="1" applyAlignment="1">
      <alignment horizontal="center" vertical="center"/>
    </xf>
    <xf numFmtId="9" fontId="250" fillId="57" borderId="171" xfId="0" applyNumberFormat="1" applyFont="1" applyFill="1" applyBorder="1" applyAlignment="1">
      <alignment horizontal="center" vertical="center"/>
    </xf>
    <xf numFmtId="9" fontId="250" fillId="57" borderId="177" xfId="0" applyNumberFormat="1" applyFont="1" applyFill="1" applyBorder="1" applyAlignment="1">
      <alignment horizontal="center" vertical="center"/>
    </xf>
    <xf numFmtId="9" fontId="250" fillId="57" borderId="178" xfId="0" applyNumberFormat="1" applyFont="1" applyFill="1" applyBorder="1" applyAlignment="1">
      <alignment horizontal="center" vertical="center"/>
    </xf>
    <xf numFmtId="9" fontId="250" fillId="57" borderId="74" xfId="0" applyNumberFormat="1" applyFont="1" applyFill="1" applyBorder="1" applyAlignment="1">
      <alignment horizontal="center" vertical="center"/>
    </xf>
    <xf numFmtId="9" fontId="250" fillId="57" borderId="75" xfId="0" applyNumberFormat="1" applyFont="1" applyFill="1" applyBorder="1" applyAlignment="1">
      <alignment horizontal="center" vertical="center"/>
    </xf>
    <xf numFmtId="0" fontId="179" fillId="15" borderId="0" xfId="0" applyFont="1" applyFill="1" applyAlignment="1">
      <alignment horizontal="right" vertical="center"/>
    </xf>
    <xf numFmtId="0" fontId="179" fillId="15" borderId="0" xfId="0" applyFont="1" applyFill="1" applyAlignment="1">
      <alignment horizontal="left" vertical="center"/>
    </xf>
    <xf numFmtId="165" fontId="183" fillId="58" borderId="158" xfId="0" applyNumberFormat="1" applyFont="1" applyFill="1" applyBorder="1" applyAlignment="1">
      <alignment horizontal="center" vertical="center"/>
    </xf>
    <xf numFmtId="9" fontId="183" fillId="58" borderId="159" xfId="0" applyNumberFormat="1" applyFont="1" applyFill="1" applyBorder="1" applyAlignment="1">
      <alignment horizontal="center" vertical="center"/>
    </xf>
    <xf numFmtId="165" fontId="183" fillId="58" borderId="30" xfId="0" applyNumberFormat="1" applyFont="1" applyFill="1" applyBorder="1" applyAlignment="1">
      <alignment horizontal="center" vertical="center"/>
    </xf>
    <xf numFmtId="9" fontId="183" fillId="58" borderId="67" xfId="0" applyNumberFormat="1" applyFont="1" applyFill="1" applyBorder="1" applyAlignment="1">
      <alignment horizontal="center" vertical="center"/>
    </xf>
    <xf numFmtId="9" fontId="183" fillId="58" borderId="30" xfId="0" applyNumberFormat="1" applyFont="1" applyFill="1" applyBorder="1" applyAlignment="1">
      <alignment horizontal="center" vertical="center"/>
    </xf>
    <xf numFmtId="0" fontId="183" fillId="15" borderId="147" xfId="0" applyFont="1" applyFill="1" applyBorder="1" applyAlignment="1">
      <alignment horizontal="right" vertical="center"/>
    </xf>
    <xf numFmtId="0" fontId="183" fillId="15" borderId="23" xfId="0" applyFont="1" applyFill="1" applyBorder="1" applyAlignment="1">
      <alignment horizontal="right" vertical="center"/>
    </xf>
    <xf numFmtId="0" fontId="183" fillId="15" borderId="148" xfId="0" applyFont="1" applyFill="1" applyBorder="1" applyAlignment="1">
      <alignment vertical="center"/>
    </xf>
    <xf numFmtId="165" fontId="183" fillId="58" borderId="170" xfId="0" applyNumberFormat="1" applyFont="1" applyFill="1" applyBorder="1" applyAlignment="1">
      <alignment horizontal="center" vertical="center"/>
    </xf>
    <xf numFmtId="9" fontId="183" fillId="58" borderId="171" xfId="0" applyNumberFormat="1" applyFont="1" applyFill="1" applyBorder="1" applyAlignment="1">
      <alignment horizontal="center" vertical="center"/>
    </xf>
    <xf numFmtId="9" fontId="183" fillId="58" borderId="177" xfId="0" applyNumberFormat="1" applyFont="1" applyFill="1" applyBorder="1" applyAlignment="1">
      <alignment horizontal="center" vertical="center"/>
    </xf>
    <xf numFmtId="9" fontId="183" fillId="58" borderId="178" xfId="0" applyNumberFormat="1" applyFont="1" applyFill="1" applyBorder="1" applyAlignment="1">
      <alignment horizontal="center" vertical="center"/>
    </xf>
    <xf numFmtId="9" fontId="183" fillId="58" borderId="74" xfId="0" applyNumberFormat="1" applyFont="1" applyFill="1" applyBorder="1" applyAlignment="1">
      <alignment horizontal="center" vertical="center"/>
    </xf>
    <xf numFmtId="9" fontId="183" fillId="58" borderId="75" xfId="0" applyNumberFormat="1" applyFont="1" applyFill="1" applyBorder="1" applyAlignment="1">
      <alignment horizontal="center" vertical="center"/>
    </xf>
    <xf numFmtId="0" fontId="208" fillId="57" borderId="153" xfId="0" applyFont="1" applyFill="1" applyBorder="1" applyAlignment="1">
      <alignment horizontal="center" vertical="center"/>
    </xf>
    <xf numFmtId="0" fontId="208" fillId="57" borderId="154" xfId="0" applyFont="1" applyFill="1" applyBorder="1" applyAlignment="1">
      <alignment horizontal="center" vertical="center"/>
    </xf>
    <xf numFmtId="0" fontId="175" fillId="0" borderId="29" xfId="0" applyFont="1" applyBorder="1" applyAlignment="1">
      <alignment horizontal="center" vertical="center" wrapText="1"/>
    </xf>
    <xf numFmtId="0" fontId="175" fillId="2" borderId="30" xfId="0" applyFont="1" applyFill="1" applyBorder="1" applyAlignment="1" applyProtection="1">
      <alignment horizontal="center" vertical="center" wrapText="1"/>
      <protection locked="0"/>
    </xf>
    <xf numFmtId="180" fontId="175" fillId="2" borderId="31" xfId="0" applyNumberFormat="1" applyFont="1" applyFill="1" applyBorder="1" applyAlignment="1" applyProtection="1">
      <alignment horizontal="center" vertical="center" wrapText="1"/>
      <protection locked="0"/>
    </xf>
    <xf numFmtId="175" fontId="183" fillId="0" borderId="30" xfId="0" applyNumberFormat="1" applyFont="1" applyBorder="1" applyAlignment="1">
      <alignment horizontal="center" vertical="center"/>
    </xf>
    <xf numFmtId="175" fontId="183" fillId="5" borderId="30" xfId="0" applyNumberFormat="1" applyFont="1" applyFill="1" applyBorder="1" applyAlignment="1">
      <alignment horizontal="center" vertical="center"/>
    </xf>
    <xf numFmtId="3" fontId="24" fillId="0" borderId="30" xfId="0" applyNumberFormat="1" applyFont="1" applyBorder="1" applyAlignment="1">
      <alignment horizontal="center" vertical="center"/>
    </xf>
    <xf numFmtId="0" fontId="254" fillId="15" borderId="0" xfId="0" applyFont="1" applyFill="1" applyAlignment="1">
      <alignment vertical="center"/>
    </xf>
    <xf numFmtId="0" fontId="254" fillId="0" borderId="44" xfId="0" applyFont="1" applyBorder="1" applyAlignment="1">
      <alignment vertical="center"/>
    </xf>
    <xf numFmtId="0" fontId="30" fillId="15" borderId="0" xfId="0" applyFont="1" applyFill="1" applyAlignment="1">
      <alignment vertical="center"/>
    </xf>
    <xf numFmtId="3" fontId="175" fillId="0" borderId="30" xfId="0" applyNumberFormat="1" applyFont="1" applyBorder="1" applyAlignment="1">
      <alignment horizontal="center" vertical="center"/>
    </xf>
    <xf numFmtId="0" fontId="259" fillId="3" borderId="30" xfId="0" applyFont="1" applyFill="1" applyBorder="1" applyAlignment="1" applyProtection="1">
      <alignment horizontal="center" vertical="center"/>
      <protection locked="0"/>
    </xf>
    <xf numFmtId="0" fontId="257" fillId="0" borderId="0" xfId="0" applyFont="1" applyFill="1" applyAlignment="1">
      <alignment horizontal="left" vertical="top"/>
    </xf>
    <xf numFmtId="0" fontId="125" fillId="0" borderId="0" xfId="0" applyFont="1" applyFill="1" applyAlignment="1">
      <alignment vertical="center"/>
    </xf>
    <xf numFmtId="0" fontId="139" fillId="0" borderId="0" xfId="0" applyFont="1" applyFill="1" applyAlignment="1">
      <alignment vertical="center"/>
    </xf>
    <xf numFmtId="0" fontId="125" fillId="0" borderId="0" xfId="0" applyFont="1" applyFill="1" applyAlignment="1">
      <alignment horizontal="center" vertical="center"/>
    </xf>
    <xf numFmtId="0" fontId="34" fillId="62" borderId="0" xfId="0" applyFont="1" applyFill="1" applyAlignment="1"/>
    <xf numFmtId="0" fontId="35" fillId="62" borderId="0" xfId="0" applyFont="1" applyFill="1"/>
    <xf numFmtId="0" fontId="256" fillId="62" borderId="0" xfId="0" applyFont="1" applyFill="1" applyAlignment="1">
      <alignment vertical="top"/>
    </xf>
    <xf numFmtId="0" fontId="88" fillId="62" borderId="0" xfId="0" applyFont="1" applyFill="1" applyAlignment="1"/>
    <xf numFmtId="0" fontId="97" fillId="62" borderId="0" xfId="0" applyFont="1" applyFill="1" applyAlignment="1"/>
    <xf numFmtId="0" fontId="35" fillId="62" borderId="205" xfId="0" applyFont="1" applyFill="1" applyBorder="1"/>
    <xf numFmtId="0" fontId="34" fillId="62" borderId="205" xfId="0" applyFont="1" applyFill="1" applyBorder="1" applyAlignment="1"/>
    <xf numFmtId="0" fontId="260" fillId="0" borderId="0" xfId="2" applyAlignment="1">
      <alignment vertical="top"/>
    </xf>
    <xf numFmtId="0" fontId="35" fillId="0" borderId="0" xfId="0" applyFont="1" applyFill="1" applyAlignment="1">
      <alignment horizontal="right"/>
    </xf>
    <xf numFmtId="0" fontId="59" fillId="0" borderId="0" xfId="0" applyFont="1" applyFill="1" applyAlignment="1">
      <alignment horizontal="right"/>
    </xf>
    <xf numFmtId="0" fontId="46" fillId="62" borderId="0" xfId="0" applyFont="1" applyFill="1" applyAlignment="1">
      <alignment horizontal="right" vertical="center"/>
    </xf>
    <xf numFmtId="0" fontId="46" fillId="62" borderId="0" xfId="0" applyFont="1" applyFill="1" applyAlignment="1">
      <alignment horizontal="right" wrapText="1"/>
    </xf>
    <xf numFmtId="0" fontId="40" fillId="0" borderId="0" xfId="0" applyFont="1" applyFill="1"/>
    <xf numFmtId="0" fontId="261" fillId="0" borderId="0" xfId="2" applyFont="1" applyAlignment="1">
      <alignment vertical="top"/>
    </xf>
    <xf numFmtId="0" fontId="262" fillId="0" borderId="0" xfId="2" applyFont="1" applyAlignment="1">
      <alignment vertical="top"/>
    </xf>
    <xf numFmtId="0" fontId="35" fillId="0" borderId="23" xfId="0" applyFont="1" applyBorder="1"/>
    <xf numFmtId="0" fontId="34" fillId="0" borderId="23" xfId="0" applyFont="1" applyBorder="1" applyAlignment="1"/>
    <xf numFmtId="0" fontId="34" fillId="0" borderId="206" xfId="0" applyFont="1" applyBorder="1" applyAlignment="1"/>
    <xf numFmtId="0" fontId="36" fillId="0" borderId="206" xfId="0" applyFont="1" applyBorder="1" applyAlignment="1"/>
    <xf numFmtId="0" fontId="159" fillId="62" borderId="0" xfId="0" applyFont="1" applyFill="1" applyAlignment="1">
      <alignment horizontal="left" vertical="center"/>
    </xf>
    <xf numFmtId="0" fontId="159" fillId="62" borderId="0" xfId="0" applyFont="1" applyFill="1" applyAlignment="1">
      <alignment horizontal="left" vertical="top"/>
    </xf>
    <xf numFmtId="0" fontId="159" fillId="62" borderId="0" xfId="0" applyFont="1" applyFill="1" applyAlignment="1">
      <alignment vertical="top"/>
    </xf>
    <xf numFmtId="0" fontId="159" fillId="62" borderId="0" xfId="0" applyFont="1" applyFill="1" applyAlignment="1">
      <alignment horizontal="left"/>
    </xf>
    <xf numFmtId="0" fontId="258" fillId="0" borderId="0" xfId="0" applyFont="1"/>
    <xf numFmtId="0" fontId="258" fillId="0" borderId="0" xfId="0" applyFont="1" applyAlignment="1">
      <alignment wrapText="1"/>
    </xf>
    <xf numFmtId="0" fontId="261" fillId="62" borderId="0" xfId="2" applyFont="1" applyFill="1" applyAlignment="1">
      <alignment horizontal="left" vertical="center"/>
    </xf>
    <xf numFmtId="0" fontId="46" fillId="0" borderId="0" xfId="0" applyFont="1" applyFill="1" applyAlignment="1">
      <alignment horizontal="right" vertical="center"/>
    </xf>
    <xf numFmtId="0" fontId="45" fillId="0" borderId="0" xfId="0" applyFont="1" applyFill="1" applyAlignment="1">
      <alignment horizontal="right"/>
    </xf>
    <xf numFmtId="0" fontId="46" fillId="0" borderId="0" xfId="0" applyFont="1" applyFill="1" applyAlignment="1">
      <alignment horizontal="right"/>
    </xf>
    <xf numFmtId="0" fontId="37" fillId="0" borderId="0" xfId="0" applyFont="1" applyFill="1" applyAlignment="1">
      <alignment horizontal="right"/>
    </xf>
    <xf numFmtId="0" fontId="43" fillId="0" borderId="0" xfId="0" applyFont="1" applyFill="1"/>
    <xf numFmtId="0" fontId="43" fillId="0" borderId="0" xfId="0" applyFont="1" applyFill="1" applyAlignment="1"/>
    <xf numFmtId="0" fontId="159" fillId="0" borderId="0" xfId="0" applyFont="1" applyFill="1" applyAlignment="1">
      <alignment horizontal="left" vertical="top"/>
    </xf>
    <xf numFmtId="0" fontId="159" fillId="0" borderId="0" xfId="0" applyFont="1" applyFill="1" applyAlignment="1">
      <alignment vertical="top"/>
    </xf>
    <xf numFmtId="0" fontId="46" fillId="0" borderId="0" xfId="0" applyFont="1" applyFill="1" applyAlignment="1">
      <alignment horizontal="right" vertical="center" wrapText="1"/>
    </xf>
    <xf numFmtId="0" fontId="159" fillId="0" borderId="0" xfId="0" applyFont="1" applyFill="1" applyAlignment="1">
      <alignment horizontal="left" vertical="center"/>
    </xf>
    <xf numFmtId="0" fontId="46" fillId="0" borderId="0" xfId="0" applyFont="1" applyFill="1" applyAlignment="1">
      <alignment horizontal="right" wrapText="1"/>
    </xf>
    <xf numFmtId="0" fontId="159" fillId="0" borderId="0" xfId="0" applyFont="1" applyFill="1" applyAlignment="1">
      <alignment horizontal="left"/>
    </xf>
    <xf numFmtId="0" fontId="39" fillId="0" borderId="0" xfId="0" applyFont="1" applyFill="1"/>
    <xf numFmtId="0" fontId="45" fillId="0" borderId="0" xfId="0" applyFont="1" applyFill="1" applyAlignment="1"/>
    <xf numFmtId="0" fontId="159" fillId="0" borderId="0" xfId="0" applyFont="1" applyFill="1" applyAlignment="1">
      <alignment vertical="center"/>
    </xf>
    <xf numFmtId="0" fontId="261" fillId="0" borderId="0" xfId="2" applyFont="1" applyFill="1" applyAlignment="1">
      <alignment horizontal="left" vertical="center"/>
    </xf>
    <xf numFmtId="0" fontId="255" fillId="0" borderId="0" xfId="0" applyFont="1" applyAlignment="1"/>
    <xf numFmtId="0" fontId="55" fillId="0" borderId="23" xfId="0" applyFont="1" applyBorder="1" applyAlignment="1">
      <alignment horizontal="right" vertical="top"/>
    </xf>
    <xf numFmtId="0" fontId="55" fillId="0" borderId="0" xfId="0" applyFont="1" applyAlignment="1">
      <alignment horizontal="right" vertical="top"/>
    </xf>
    <xf numFmtId="0" fontId="35" fillId="62" borderId="0" xfId="0" applyFont="1" applyFill="1" applyAlignment="1">
      <alignment horizontal="right"/>
    </xf>
    <xf numFmtId="0" fontId="46" fillId="62" borderId="23" xfId="0" applyFont="1" applyFill="1" applyBorder="1" applyAlignment="1"/>
    <xf numFmtId="0" fontId="46" fillId="62" borderId="23" xfId="0" applyFont="1" applyFill="1" applyBorder="1" applyAlignment="1">
      <alignment vertical="center" wrapText="1"/>
    </xf>
    <xf numFmtId="0" fontId="265" fillId="62" borderId="0" xfId="0" applyFont="1" applyFill="1" applyAlignment="1"/>
    <xf numFmtId="167" fontId="185" fillId="0" borderId="30" xfId="0" applyNumberFormat="1" applyFont="1" applyBorder="1" applyAlignment="1">
      <alignment horizontal="center" vertical="center"/>
    </xf>
    <xf numFmtId="167" fontId="175" fillId="0" borderId="30" xfId="0" applyNumberFormat="1" applyFont="1" applyBorder="1" applyAlignment="1">
      <alignment horizontal="center" vertical="center"/>
    </xf>
    <xf numFmtId="165" fontId="185" fillId="0" borderId="30" xfId="0" applyNumberFormat="1" applyFont="1" applyBorder="1" applyAlignment="1">
      <alignment horizontal="center" vertical="center"/>
    </xf>
    <xf numFmtId="167" fontId="185" fillId="0" borderId="62" xfId="0" applyNumberFormat="1" applyFont="1" applyBorder="1" applyAlignment="1">
      <alignment horizontal="center" vertical="center"/>
    </xf>
    <xf numFmtId="0" fontId="34" fillId="0" borderId="44" xfId="0" applyFont="1" applyBorder="1"/>
    <xf numFmtId="0" fontId="34" fillId="0" borderId="34" xfId="0" applyFont="1" applyBorder="1"/>
    <xf numFmtId="3" fontId="185" fillId="0" borderId="30" xfId="0" applyNumberFormat="1" applyFont="1" applyBorder="1" applyAlignment="1">
      <alignment horizontal="center"/>
    </xf>
    <xf numFmtId="0" fontId="46" fillId="62" borderId="23" xfId="0" applyFont="1" applyFill="1" applyBorder="1" applyAlignment="1">
      <alignment horizontal="right" vertical="center"/>
    </xf>
    <xf numFmtId="0" fontId="255" fillId="0" borderId="0" xfId="0" applyFont="1" applyAlignment="1">
      <alignment horizontal="center"/>
    </xf>
    <xf numFmtId="0" fontId="261" fillId="0" borderId="0" xfId="2" applyFont="1" applyAlignment="1">
      <alignment horizontal="center" vertical="top"/>
    </xf>
    <xf numFmtId="0" fontId="255" fillId="0" borderId="23" xfId="0" applyFont="1" applyBorder="1" applyAlignment="1">
      <alignment horizontal="center"/>
    </xf>
    <xf numFmtId="0" fontId="261" fillId="0" borderId="23" xfId="2" applyFont="1" applyBorder="1" applyAlignment="1">
      <alignment horizontal="center" vertical="top"/>
    </xf>
    <xf numFmtId="0" fontId="258" fillId="0" borderId="23" xfId="0" applyFont="1" applyBorder="1" applyAlignment="1">
      <alignment horizontal="left" vertical="top" wrapText="1"/>
    </xf>
    <xf numFmtId="0" fontId="46" fillId="62" borderId="23" xfId="0" applyFont="1" applyFill="1" applyBorder="1" applyAlignment="1">
      <alignment horizontal="right"/>
    </xf>
    <xf numFmtId="0" fontId="258" fillId="0" borderId="0" xfId="0" applyFont="1" applyAlignment="1">
      <alignment horizontal="left" vertical="top" wrapText="1"/>
    </xf>
    <xf numFmtId="0" fontId="258" fillId="0" borderId="0" xfId="0" applyFont="1" applyAlignment="1"/>
    <xf numFmtId="0" fontId="137" fillId="62" borderId="0" xfId="0" applyFont="1" applyFill="1" applyAlignment="1">
      <alignment horizontal="center"/>
    </xf>
    <xf numFmtId="0" fontId="138" fillId="62" borderId="0" xfId="0" applyFont="1" applyFill="1" applyAlignment="1"/>
    <xf numFmtId="0" fontId="137" fillId="62" borderId="205" xfId="0" applyFont="1" applyFill="1" applyBorder="1" applyAlignment="1">
      <alignment horizontal="center" vertical="top" wrapText="1"/>
    </xf>
    <xf numFmtId="0" fontId="138" fillId="62" borderId="205" xfId="0" applyFont="1" applyFill="1" applyBorder="1" applyAlignment="1">
      <alignment vertical="top"/>
    </xf>
    <xf numFmtId="0" fontId="45" fillId="25" borderId="31" xfId="0" applyFont="1" applyFill="1" applyBorder="1" applyAlignment="1" applyProtection="1">
      <alignment horizontal="left" vertical="center"/>
      <protection locked="0"/>
    </xf>
    <xf numFmtId="0" fontId="45" fillId="24" borderId="28" xfId="0" applyFont="1" applyFill="1" applyBorder="1" applyProtection="1">
      <protection locked="0"/>
    </xf>
    <xf numFmtId="0" fontId="45" fillId="24" borderId="29" xfId="0" applyFont="1" applyFill="1" applyBorder="1" applyProtection="1">
      <protection locked="0"/>
    </xf>
    <xf numFmtId="0" fontId="46" fillId="23" borderId="37" xfId="0" applyFont="1" applyFill="1" applyBorder="1" applyAlignment="1">
      <alignment horizontal="center" vertical="center" wrapText="1"/>
    </xf>
    <xf numFmtId="0" fontId="46" fillId="24" borderId="35" xfId="0" applyFont="1" applyFill="1" applyBorder="1" applyAlignment="1">
      <alignment vertical="center"/>
    </xf>
    <xf numFmtId="0" fontId="46" fillId="24" borderId="36" xfId="0" applyFont="1" applyFill="1" applyBorder="1" applyAlignment="1">
      <alignment vertical="center"/>
    </xf>
    <xf numFmtId="0" fontId="46" fillId="24" borderId="40" xfId="0" applyFont="1" applyFill="1" applyBorder="1" applyAlignment="1">
      <alignment vertical="center"/>
    </xf>
    <xf numFmtId="0" fontId="46" fillId="24" borderId="27" xfId="0" applyFont="1" applyFill="1" applyBorder="1" applyAlignment="1">
      <alignment vertical="center"/>
    </xf>
    <xf numFmtId="0" fontId="46" fillId="24" borderId="33" xfId="0" applyFont="1" applyFill="1" applyBorder="1" applyAlignment="1">
      <alignment vertical="center"/>
    </xf>
    <xf numFmtId="0" fontId="67" fillId="21" borderId="30" xfId="0" applyFont="1" applyFill="1" applyBorder="1" applyAlignment="1">
      <alignment horizontal="center" vertical="center"/>
    </xf>
    <xf numFmtId="0" fontId="68" fillId="17" borderId="30" xfId="0" applyFont="1" applyFill="1" applyBorder="1"/>
    <xf numFmtId="0" fontId="67" fillId="21" borderId="30" xfId="0" applyFont="1" applyFill="1" applyBorder="1" applyAlignment="1">
      <alignment horizontal="center" vertical="center" wrapText="1"/>
    </xf>
    <xf numFmtId="0" fontId="67" fillId="17" borderId="30" xfId="0" applyFont="1" applyFill="1" applyBorder="1" applyAlignment="1">
      <alignment horizontal="center" vertical="center"/>
    </xf>
    <xf numFmtId="0" fontId="50" fillId="16" borderId="0" xfId="0" applyFont="1" applyFill="1" applyAlignment="1">
      <alignment horizontal="center" vertical="center"/>
    </xf>
    <xf numFmtId="0" fontId="51" fillId="16" borderId="0" xfId="0" applyFont="1" applyFill="1" applyAlignment="1">
      <alignment horizontal="center"/>
    </xf>
    <xf numFmtId="0" fontId="52" fillId="16" borderId="0" xfId="0" applyFont="1" applyFill="1" applyAlignment="1">
      <alignment horizontal="center" vertical="center"/>
    </xf>
    <xf numFmtId="0" fontId="57" fillId="17" borderId="30" xfId="0" applyFont="1" applyFill="1" applyBorder="1" applyAlignment="1">
      <alignment horizontal="center" vertical="center"/>
    </xf>
    <xf numFmtId="0" fontId="58" fillId="17" borderId="30" xfId="0" applyFont="1" applyFill="1" applyBorder="1"/>
    <xf numFmtId="0" fontId="67" fillId="17" borderId="30" xfId="0" applyFont="1" applyFill="1" applyBorder="1" applyAlignment="1">
      <alignment horizontal="center" vertical="center" wrapText="1"/>
    </xf>
    <xf numFmtId="165" fontId="45" fillId="20" borderId="30" xfId="0" applyNumberFormat="1" applyFont="1" applyFill="1" applyBorder="1" applyAlignment="1">
      <alignment horizontal="center" vertical="center"/>
    </xf>
    <xf numFmtId="0" fontId="45" fillId="19" borderId="30" xfId="0" applyFont="1" applyFill="1" applyBorder="1" applyAlignment="1">
      <alignment horizontal="center" vertical="center"/>
    </xf>
    <xf numFmtId="0" fontId="45" fillId="0" borderId="30" xfId="0" applyFont="1" applyBorder="1" applyAlignment="1">
      <alignment horizontal="center" vertical="center"/>
    </xf>
    <xf numFmtId="0" fontId="45" fillId="0" borderId="30" xfId="0" applyFont="1" applyBorder="1"/>
    <xf numFmtId="0" fontId="54" fillId="16" borderId="0" xfId="0" applyFont="1" applyFill="1" applyAlignment="1">
      <alignment vertical="center"/>
    </xf>
    <xf numFmtId="0" fontId="0" fillId="0" borderId="0" xfId="0" applyFont="1" applyAlignment="1"/>
    <xf numFmtId="166" fontId="57" fillId="17" borderId="30" xfId="0" applyNumberFormat="1" applyFont="1" applyFill="1" applyBorder="1" applyAlignment="1">
      <alignment horizontal="center" vertical="center"/>
    </xf>
    <xf numFmtId="0" fontId="45" fillId="0" borderId="30" xfId="0" applyFont="1" applyBorder="1" applyAlignment="1">
      <alignment horizontal="center" vertical="center" wrapText="1"/>
    </xf>
    <xf numFmtId="0" fontId="58" fillId="17" borderId="30" xfId="0" applyFont="1" applyFill="1" applyBorder="1" applyAlignment="1">
      <alignment horizontal="center"/>
    </xf>
    <xf numFmtId="0" fontId="57" fillId="17" borderId="34" xfId="0" applyFont="1" applyFill="1" applyBorder="1" applyAlignment="1">
      <alignment horizontal="center" vertical="center"/>
    </xf>
    <xf numFmtId="0" fontId="58" fillId="17" borderId="34" xfId="0" applyFont="1" applyFill="1" applyBorder="1" applyAlignment="1">
      <alignment horizontal="center" vertical="center"/>
    </xf>
    <xf numFmtId="0" fontId="57" fillId="17" borderId="34" xfId="0" applyFont="1" applyFill="1" applyBorder="1" applyAlignment="1">
      <alignment horizontal="center" vertical="center" wrapText="1"/>
    </xf>
    <xf numFmtId="0" fontId="57" fillId="17" borderId="30" xfId="0" applyFont="1" applyFill="1" applyBorder="1" applyAlignment="1">
      <alignment horizontal="center" vertical="center" wrapText="1"/>
    </xf>
    <xf numFmtId="0" fontId="45" fillId="53" borderId="49" xfId="0" applyFont="1" applyFill="1" applyBorder="1" applyAlignment="1">
      <alignment vertical="center"/>
    </xf>
    <xf numFmtId="0" fontId="0" fillId="53" borderId="49" xfId="0" applyFont="1" applyFill="1" applyBorder="1" applyAlignment="1"/>
    <xf numFmtId="0" fontId="57" fillId="17" borderId="51" xfId="0" applyFont="1" applyFill="1" applyBorder="1" applyAlignment="1">
      <alignment vertical="center"/>
    </xf>
    <xf numFmtId="0" fontId="0" fillId="0" borderId="52" xfId="0" applyFont="1" applyBorder="1" applyAlignment="1">
      <alignment vertical="center"/>
    </xf>
    <xf numFmtId="0" fontId="73" fillId="17" borderId="31" xfId="0" applyFont="1" applyFill="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62" fillId="0" borderId="0" xfId="0" applyFont="1" applyAlignment="1">
      <alignment horizontal="center" vertical="center" wrapText="1"/>
    </xf>
    <xf numFmtId="0" fontId="61" fillId="0" borderId="0" xfId="0" applyFont="1" applyAlignment="1">
      <alignment vertical="center"/>
    </xf>
    <xf numFmtId="0" fontId="22" fillId="17" borderId="30" xfId="0" applyFont="1" applyFill="1" applyBorder="1" applyAlignment="1">
      <alignment horizontal="center" vertical="center"/>
    </xf>
    <xf numFmtId="0" fontId="32" fillId="17" borderId="30" xfId="0" applyFont="1" applyFill="1" applyBorder="1" applyAlignment="1">
      <alignment vertical="center"/>
    </xf>
    <xf numFmtId="0" fontId="45" fillId="3" borderId="30" xfId="0" applyFont="1" applyFill="1" applyBorder="1" applyAlignment="1" applyProtection="1">
      <alignment horizontal="center" vertical="center"/>
      <protection locked="0"/>
    </xf>
    <xf numFmtId="0" fontId="45" fillId="0" borderId="30" xfId="0" applyFont="1" applyBorder="1" applyAlignment="1" applyProtection="1">
      <alignment vertical="center"/>
      <protection locked="0"/>
    </xf>
    <xf numFmtId="166" fontId="22" fillId="17" borderId="30" xfId="0" applyNumberFormat="1" applyFont="1" applyFill="1" applyBorder="1" applyAlignment="1">
      <alignment horizontal="center" vertical="center"/>
    </xf>
    <xf numFmtId="0" fontId="22" fillId="17" borderId="30" xfId="0" applyFont="1" applyFill="1" applyBorder="1" applyAlignment="1">
      <alignment horizontal="center" vertical="center" wrapText="1"/>
    </xf>
    <xf numFmtId="0" fontId="32" fillId="17" borderId="30" xfId="0" applyFont="1" applyFill="1" applyBorder="1" applyAlignment="1">
      <alignment vertical="center" wrapText="1"/>
    </xf>
    <xf numFmtId="166" fontId="67" fillId="17" borderId="30" xfId="0" applyNumberFormat="1" applyFont="1" applyFill="1" applyBorder="1" applyAlignment="1">
      <alignment horizontal="center" vertical="center"/>
    </xf>
    <xf numFmtId="0" fontId="46" fillId="23" borderId="35" xfId="0" applyFont="1" applyFill="1" applyBorder="1" applyAlignment="1">
      <alignment horizontal="center" vertical="center" wrapText="1"/>
    </xf>
    <xf numFmtId="0" fontId="46" fillId="23" borderId="36" xfId="0" applyFont="1" applyFill="1" applyBorder="1" applyAlignment="1">
      <alignment horizontal="center" vertical="center" wrapText="1"/>
    </xf>
    <xf numFmtId="0" fontId="46" fillId="23" borderId="40" xfId="0" applyFont="1" applyFill="1" applyBorder="1" applyAlignment="1">
      <alignment horizontal="center" vertical="center" wrapText="1"/>
    </xf>
    <xf numFmtId="0" fontId="46" fillId="23" borderId="27" xfId="0" applyFont="1" applyFill="1" applyBorder="1" applyAlignment="1">
      <alignment horizontal="center" vertical="center" wrapText="1"/>
    </xf>
    <xf numFmtId="0" fontId="46" fillId="23" borderId="33" xfId="0" applyFont="1" applyFill="1" applyBorder="1" applyAlignment="1">
      <alignment horizontal="center" vertical="center" wrapText="1"/>
    </xf>
    <xf numFmtId="0" fontId="58" fillId="17" borderId="30" xfId="0" applyFont="1" applyFill="1" applyBorder="1" applyAlignment="1">
      <alignment vertical="center"/>
    </xf>
    <xf numFmtId="0" fontId="62" fillId="15" borderId="23" xfId="0" applyFont="1" applyFill="1" applyBorder="1" applyAlignment="1">
      <alignment horizontal="center" vertical="center" wrapText="1"/>
    </xf>
    <xf numFmtId="0" fontId="61" fillId="15" borderId="23" xfId="0" applyFont="1" applyFill="1" applyBorder="1"/>
    <xf numFmtId="0" fontId="58" fillId="17" borderId="30" xfId="0" applyFont="1" applyFill="1" applyBorder="1" applyAlignment="1">
      <alignment vertical="center" wrapText="1"/>
    </xf>
    <xf numFmtId="0" fontId="0" fillId="0" borderId="0" xfId="0" applyFont="1" applyAlignment="1">
      <alignment horizontal="center"/>
    </xf>
    <xf numFmtId="0" fontId="70" fillId="16" borderId="0" xfId="0" applyFont="1" applyFill="1" applyAlignment="1">
      <alignment horizontal="left" vertical="center"/>
    </xf>
    <xf numFmtId="0" fontId="39" fillId="53" borderId="49" xfId="0" applyFont="1" applyFill="1" applyBorder="1" applyAlignment="1">
      <alignment horizontal="left" vertical="center"/>
    </xf>
    <xf numFmtId="0" fontId="0" fillId="53" borderId="49" xfId="0" applyFont="1" applyFill="1" applyBorder="1" applyAlignment="1">
      <alignment vertical="center"/>
    </xf>
    <xf numFmtId="0" fontId="151" fillId="16" borderId="0" xfId="0" applyFont="1" applyFill="1" applyAlignment="1">
      <alignment horizontal="center" vertical="center"/>
    </xf>
    <xf numFmtId="0" fontId="0" fillId="0" borderId="0" xfId="0" applyFont="1" applyAlignment="1">
      <alignment horizontal="center" vertical="center"/>
    </xf>
    <xf numFmtId="0" fontId="55" fillId="0" borderId="30" xfId="0" applyFont="1" applyBorder="1" applyAlignment="1">
      <alignment horizontal="right" vertical="center" wrapText="1"/>
    </xf>
    <xf numFmtId="0" fontId="55" fillId="0" borderId="30" xfId="0" applyFont="1" applyBorder="1" applyAlignment="1">
      <alignment vertical="center"/>
    </xf>
    <xf numFmtId="0" fontId="100" fillId="17" borderId="30" xfId="0" applyFont="1" applyFill="1" applyBorder="1" applyAlignment="1">
      <alignment horizontal="center" vertical="center"/>
    </xf>
    <xf numFmtId="0" fontId="100" fillId="17" borderId="30" xfId="0" applyFont="1" applyFill="1" applyBorder="1" applyAlignment="1">
      <alignment vertical="center"/>
    </xf>
    <xf numFmtId="0" fontId="95" fillId="0" borderId="30" xfId="0" applyFont="1" applyBorder="1" applyAlignment="1">
      <alignment horizontal="right" vertical="center"/>
    </xf>
    <xf numFmtId="0" fontId="102" fillId="0" borderId="30" xfId="0" applyFont="1" applyBorder="1" applyAlignment="1">
      <alignment vertical="center"/>
    </xf>
    <xf numFmtId="0" fontId="55" fillId="0" borderId="30" xfId="0" applyFont="1" applyBorder="1" applyAlignment="1">
      <alignment horizontal="right" vertical="center"/>
    </xf>
    <xf numFmtId="0" fontId="23" fillId="17" borderId="30" xfId="0" applyFont="1" applyFill="1" applyBorder="1" applyAlignment="1">
      <alignment horizontal="right" vertical="center"/>
    </xf>
    <xf numFmtId="0" fontId="34" fillId="0" borderId="30" xfId="0" applyFont="1" applyBorder="1" applyAlignment="1">
      <alignment horizontal="center" vertical="center"/>
    </xf>
    <xf numFmtId="0" fontId="36" fillId="0" borderId="30" xfId="0" applyFont="1" applyBorder="1" applyAlignment="1">
      <alignment vertical="center"/>
    </xf>
    <xf numFmtId="0" fontId="55" fillId="0" borderId="30" xfId="0" applyFont="1" applyFill="1" applyBorder="1" applyAlignment="1">
      <alignment horizontal="right" vertical="center"/>
    </xf>
    <xf numFmtId="0" fontId="55" fillId="0" borderId="30" xfId="0" applyFont="1" applyFill="1" applyBorder="1" applyAlignment="1">
      <alignment vertical="center"/>
    </xf>
    <xf numFmtId="0" fontId="58" fillId="17" borderId="30" xfId="0" applyFont="1" applyFill="1" applyBorder="1" applyAlignment="1">
      <alignment horizontal="center" vertical="center"/>
    </xf>
    <xf numFmtId="0" fontId="93" fillId="17" borderId="31" xfId="0" applyFont="1" applyFill="1" applyBorder="1" applyAlignment="1">
      <alignment horizontal="center" vertical="center"/>
    </xf>
    <xf numFmtId="0" fontId="93" fillId="17" borderId="28" xfId="0" applyFont="1" applyFill="1" applyBorder="1" applyAlignment="1">
      <alignment horizontal="center" vertical="center"/>
    </xf>
    <xf numFmtId="0" fontId="93" fillId="17" borderId="29" xfId="0" applyFont="1" applyFill="1" applyBorder="1" applyAlignment="1">
      <alignment horizontal="center" vertical="center"/>
    </xf>
    <xf numFmtId="0" fontId="39" fillId="17" borderId="30" xfId="0" applyFont="1" applyFill="1" applyBorder="1" applyAlignment="1">
      <alignment horizontal="center" vertical="center" wrapText="1"/>
    </xf>
    <xf numFmtId="0" fontId="39" fillId="17" borderId="30" xfId="0" applyFont="1" applyFill="1" applyBorder="1" applyAlignment="1">
      <alignment vertical="center"/>
    </xf>
    <xf numFmtId="0" fontId="39" fillId="17" borderId="37" xfId="0" applyFont="1" applyFill="1" applyBorder="1" applyAlignment="1">
      <alignment horizontal="center" vertical="center"/>
    </xf>
    <xf numFmtId="0" fontId="39" fillId="17" borderId="36" xfId="0" applyFont="1" applyFill="1" applyBorder="1" applyAlignment="1">
      <alignment horizontal="center" vertical="center"/>
    </xf>
    <xf numFmtId="0" fontId="39" fillId="17" borderId="38" xfId="0" applyFont="1" applyFill="1" applyBorder="1" applyAlignment="1">
      <alignment horizontal="center" vertical="center"/>
    </xf>
    <xf numFmtId="0" fontId="39" fillId="17" borderId="41" xfId="0" applyFont="1" applyFill="1" applyBorder="1" applyAlignment="1">
      <alignment horizontal="center" vertical="center"/>
    </xf>
    <xf numFmtId="0" fontId="39" fillId="17" borderId="40" xfId="0" applyFont="1" applyFill="1" applyBorder="1" applyAlignment="1">
      <alignment horizontal="center" vertical="center"/>
    </xf>
    <xf numFmtId="0" fontId="39" fillId="17" borderId="33" xfId="0" applyFont="1" applyFill="1" applyBorder="1" applyAlignment="1">
      <alignment horizontal="center" vertical="center"/>
    </xf>
    <xf numFmtId="0" fontId="94" fillId="17" borderId="30" xfId="0" applyFont="1" applyFill="1" applyBorder="1" applyAlignment="1">
      <alignment horizontal="center" vertical="center"/>
    </xf>
    <xf numFmtId="0" fontId="96" fillId="17" borderId="30" xfId="0" applyFont="1" applyFill="1" applyBorder="1" applyAlignment="1">
      <alignment vertical="center"/>
    </xf>
    <xf numFmtId="0" fontId="23" fillId="17" borderId="30" xfId="0" applyFont="1" applyFill="1" applyBorder="1" applyAlignment="1">
      <alignment horizontal="center" vertical="center" wrapText="1"/>
    </xf>
    <xf numFmtId="0" fontId="58" fillId="17" borderId="30" xfId="0" applyFont="1" applyFill="1" applyBorder="1" applyAlignment="1">
      <alignment horizontal="center" vertical="center" wrapText="1"/>
    </xf>
    <xf numFmtId="0" fontId="23" fillId="17" borderId="30" xfId="0" applyFont="1" applyFill="1" applyBorder="1" applyAlignment="1">
      <alignment horizontal="center" vertical="center"/>
    </xf>
    <xf numFmtId="164" fontId="37" fillId="5" borderId="17" xfId="0" applyNumberFormat="1" applyFont="1" applyFill="1" applyBorder="1" applyAlignment="1">
      <alignment horizontal="center" vertical="center"/>
    </xf>
    <xf numFmtId="0" fontId="59" fillId="0" borderId="16" xfId="0" applyFont="1" applyBorder="1" applyAlignment="1">
      <alignment vertical="center"/>
    </xf>
    <xf numFmtId="164" fontId="34" fillId="3" borderId="1" xfId="0" applyNumberFormat="1" applyFont="1" applyFill="1" applyBorder="1" applyAlignment="1">
      <alignment horizontal="center" vertical="center"/>
    </xf>
    <xf numFmtId="0" fontId="36" fillId="0" borderId="2" xfId="0" applyFont="1" applyBorder="1" applyAlignment="1">
      <alignment vertical="center"/>
    </xf>
    <xf numFmtId="0" fontId="36" fillId="0" borderId="3" xfId="0" applyFont="1" applyBorder="1" applyAlignment="1">
      <alignment vertical="center"/>
    </xf>
    <xf numFmtId="0" fontId="85" fillId="7" borderId="17" xfId="0" applyFont="1" applyFill="1" applyBorder="1" applyAlignment="1">
      <alignment vertical="center"/>
    </xf>
    <xf numFmtId="0" fontId="36" fillId="0" borderId="15" xfId="0" applyFont="1" applyBorder="1" applyAlignment="1">
      <alignment vertical="center"/>
    </xf>
    <xf numFmtId="0" fontId="36" fillId="0" borderId="16" xfId="0" applyFont="1" applyBorder="1" applyAlignment="1">
      <alignment vertical="center"/>
    </xf>
    <xf numFmtId="0" fontId="85" fillId="7" borderId="17" xfId="0" applyFont="1" applyFill="1" applyBorder="1" applyAlignment="1">
      <alignment horizontal="center" vertical="center" wrapText="1"/>
    </xf>
    <xf numFmtId="164" fontId="36" fillId="3" borderId="1" xfId="0" applyNumberFormat="1" applyFont="1" applyFill="1" applyBorder="1" applyAlignment="1">
      <alignment horizontal="center" vertical="center"/>
    </xf>
    <xf numFmtId="4" fontId="85" fillId="7" borderId="21" xfId="0" applyNumberFormat="1" applyFont="1" applyFill="1" applyBorder="1" applyAlignment="1">
      <alignment horizontal="center" vertical="center" wrapText="1"/>
    </xf>
    <xf numFmtId="0" fontId="36" fillId="0" borderId="22" xfId="0" applyFont="1" applyBorder="1" applyAlignment="1">
      <alignment vertical="center"/>
    </xf>
    <xf numFmtId="0" fontId="36" fillId="0" borderId="23" xfId="0" applyFont="1" applyBorder="1" applyAlignment="1">
      <alignment vertical="center"/>
    </xf>
    <xf numFmtId="0" fontId="36" fillId="0" borderId="22" xfId="0" applyFont="1" applyBorder="1" applyAlignment="1">
      <alignment horizontal="center" vertical="center"/>
    </xf>
    <xf numFmtId="0" fontId="36" fillId="0" borderId="23" xfId="0" applyFont="1" applyBorder="1" applyAlignment="1">
      <alignment horizontal="center" vertical="center"/>
    </xf>
    <xf numFmtId="0" fontId="132" fillId="54" borderId="12" xfId="0" applyFont="1" applyFill="1" applyBorder="1" applyAlignment="1">
      <alignment horizontal="right" vertical="center"/>
    </xf>
    <xf numFmtId="0" fontId="131" fillId="53" borderId="9" xfId="0" applyFont="1" applyFill="1" applyBorder="1" applyAlignment="1">
      <alignment horizontal="right" vertical="center"/>
    </xf>
    <xf numFmtId="0" fontId="85" fillId="7" borderId="17" xfId="0" applyFont="1" applyFill="1" applyBorder="1" applyAlignment="1">
      <alignment vertical="center" wrapText="1"/>
    </xf>
    <xf numFmtId="0" fontId="0" fillId="0" borderId="0" xfId="0" applyFont="1" applyAlignment="1">
      <alignment vertical="center"/>
    </xf>
    <xf numFmtId="0" fontId="35" fillId="5" borderId="17" xfId="0" applyFont="1" applyFill="1" applyBorder="1" applyAlignment="1">
      <alignment horizontal="center" vertical="center"/>
    </xf>
    <xf numFmtId="0" fontId="36" fillId="0" borderId="18" xfId="0" applyFont="1" applyBorder="1" applyAlignment="1">
      <alignment vertical="center"/>
    </xf>
    <xf numFmtId="0" fontId="132" fillId="54" borderId="12" xfId="0" applyFont="1" applyFill="1" applyBorder="1" applyAlignment="1">
      <alignment horizontal="left" vertical="center"/>
    </xf>
    <xf numFmtId="0" fontId="131" fillId="53" borderId="9" xfId="0" applyFont="1" applyFill="1" applyBorder="1" applyAlignment="1">
      <alignment vertical="center"/>
    </xf>
    <xf numFmtId="0" fontId="131" fillId="53" borderId="10" xfId="0" applyFont="1" applyFill="1" applyBorder="1" applyAlignment="1">
      <alignment vertical="center"/>
    </xf>
    <xf numFmtId="0" fontId="35" fillId="5" borderId="14" xfId="0" applyFont="1" applyFill="1" applyBorder="1" applyAlignment="1">
      <alignment horizontal="center" vertical="center"/>
    </xf>
    <xf numFmtId="0" fontId="98" fillId="16" borderId="0" xfId="0" applyFont="1" applyFill="1" applyAlignment="1">
      <alignment horizontal="center" vertical="top"/>
    </xf>
    <xf numFmtId="0" fontId="152" fillId="16" borderId="0" xfId="0" applyFont="1" applyFill="1" applyAlignment="1">
      <alignment horizontal="center" vertical="top"/>
    </xf>
    <xf numFmtId="0" fontId="7" fillId="0" borderId="0" xfId="0" applyFont="1" applyAlignment="1">
      <alignment horizontal="center"/>
    </xf>
    <xf numFmtId="0" fontId="54" fillId="27" borderId="8" xfId="0" applyFont="1" applyFill="1" applyBorder="1" applyAlignment="1">
      <alignment horizontal="left" vertical="center" wrapText="1"/>
    </xf>
    <xf numFmtId="0" fontId="56" fillId="16" borderId="12" xfId="0" applyFont="1" applyFill="1" applyBorder="1" applyAlignment="1">
      <alignment horizontal="left" vertical="center"/>
    </xf>
    <xf numFmtId="0" fontId="0" fillId="0" borderId="12" xfId="0" applyFont="1" applyBorder="1" applyAlignment="1">
      <alignment vertical="center"/>
    </xf>
    <xf numFmtId="0" fontId="85" fillId="7" borderId="17" xfId="0" applyFont="1" applyFill="1" applyBorder="1" applyAlignment="1">
      <alignment horizontal="center" vertical="center"/>
    </xf>
    <xf numFmtId="0" fontId="36" fillId="0" borderId="15" xfId="0" applyFont="1" applyBorder="1" applyAlignment="1">
      <alignment horizontal="center" vertical="center"/>
    </xf>
    <xf numFmtId="0" fontId="36" fillId="0" borderId="16" xfId="0" applyFont="1" applyBorder="1" applyAlignment="1">
      <alignment horizontal="center" vertical="center"/>
    </xf>
    <xf numFmtId="0" fontId="86" fillId="7" borderId="17" xfId="0" applyFont="1" applyFill="1" applyBorder="1" applyAlignment="1">
      <alignment horizontal="center" vertical="center" wrapText="1"/>
    </xf>
    <xf numFmtId="0" fontId="86" fillId="0" borderId="15" xfId="0" applyFont="1" applyBorder="1" applyAlignment="1">
      <alignment vertical="center"/>
    </xf>
    <xf numFmtId="0" fontId="86" fillId="0" borderId="16" xfId="0" applyFont="1" applyBorder="1" applyAlignment="1">
      <alignment vertical="center"/>
    </xf>
    <xf numFmtId="0" fontId="13" fillId="0" borderId="0" xfId="0" applyFont="1" applyAlignment="1">
      <alignment horizontal="center" vertical="center"/>
    </xf>
    <xf numFmtId="0" fontId="52" fillId="16" borderId="0" xfId="0" applyFont="1" applyFill="1" applyAlignment="1">
      <alignment horizontal="center"/>
    </xf>
    <xf numFmtId="0" fontId="142" fillId="16" borderId="0" xfId="0" applyFont="1" applyFill="1" applyAlignment="1">
      <alignment horizontal="center" vertical="center"/>
    </xf>
    <xf numFmtId="4" fontId="55" fillId="0" borderId="30" xfId="0" applyNumberFormat="1" applyFont="1" applyBorder="1" applyAlignment="1">
      <alignment horizontal="center" vertical="center"/>
    </xf>
    <xf numFmtId="0" fontId="43" fillId="0" borderId="30" xfId="0" applyFont="1" applyFill="1" applyBorder="1" applyAlignment="1">
      <alignment horizontal="center" vertical="center"/>
    </xf>
    <xf numFmtId="0" fontId="39" fillId="0" borderId="30" xfId="0" applyFont="1" applyFill="1" applyBorder="1" applyAlignment="1">
      <alignment vertical="center"/>
    </xf>
    <xf numFmtId="2" fontId="43" fillId="0" borderId="30" xfId="0" applyNumberFormat="1" applyFont="1" applyFill="1" applyBorder="1" applyAlignment="1">
      <alignment horizontal="center" vertical="center"/>
    </xf>
    <xf numFmtId="0" fontId="55" fillId="0" borderId="30" xfId="0" applyFont="1" applyBorder="1" applyAlignment="1">
      <alignment horizontal="left" vertical="center" wrapText="1"/>
    </xf>
    <xf numFmtId="0" fontId="55" fillId="0" borderId="30" xfId="0" applyFont="1" applyBorder="1" applyAlignment="1">
      <alignment horizontal="left" vertical="center"/>
    </xf>
    <xf numFmtId="0" fontId="44" fillId="17" borderId="30" xfId="0" applyFont="1" applyFill="1" applyBorder="1" applyAlignment="1">
      <alignment horizontal="center" vertical="center"/>
    </xf>
    <xf numFmtId="0" fontId="96" fillId="17" borderId="30" xfId="0" applyFont="1" applyFill="1" applyBorder="1" applyAlignment="1">
      <alignment horizontal="center" vertical="center"/>
    </xf>
    <xf numFmtId="0" fontId="44" fillId="17" borderId="30" xfId="0" applyFont="1" applyFill="1" applyBorder="1" applyAlignment="1">
      <alignment horizontal="center" vertical="center" wrapText="1"/>
    </xf>
    <xf numFmtId="0" fontId="55" fillId="0" borderId="30" xfId="0" applyFont="1" applyBorder="1" applyAlignment="1">
      <alignment horizontal="center" vertical="center"/>
    </xf>
    <xf numFmtId="4" fontId="43" fillId="0" borderId="30" xfId="0" applyNumberFormat="1" applyFont="1" applyFill="1" applyBorder="1" applyAlignment="1">
      <alignment horizontal="center" vertical="center"/>
    </xf>
    <xf numFmtId="0" fontId="39" fillId="0" borderId="30" xfId="0" applyFont="1" applyFill="1" applyBorder="1" applyAlignment="1">
      <alignment horizontal="center" vertical="center"/>
    </xf>
    <xf numFmtId="4" fontId="43" fillId="0" borderId="29" xfId="0" applyNumberFormat="1" applyFont="1" applyFill="1" applyBorder="1" applyAlignment="1">
      <alignment horizontal="center" vertical="center"/>
    </xf>
    <xf numFmtId="4" fontId="57" fillId="17" borderId="30" xfId="0" applyNumberFormat="1" applyFont="1" applyFill="1" applyBorder="1" applyAlignment="1">
      <alignment horizontal="center" vertical="center" wrapText="1"/>
    </xf>
    <xf numFmtId="0" fontId="46" fillId="17" borderId="28" xfId="0" applyFont="1" applyFill="1" applyBorder="1" applyAlignment="1">
      <alignment horizontal="center" vertical="center"/>
    </xf>
    <xf numFmtId="0" fontId="26" fillId="53" borderId="49" xfId="0" applyFont="1" applyFill="1" applyBorder="1" applyAlignment="1">
      <alignment horizontal="left" vertical="center"/>
    </xf>
    <xf numFmtId="0" fontId="143" fillId="16" borderId="0" xfId="0" applyFont="1" applyFill="1" applyAlignment="1">
      <alignment horizontal="center" vertical="center"/>
    </xf>
    <xf numFmtId="0" fontId="26" fillId="15" borderId="0" xfId="0" applyFont="1" applyFill="1" applyAlignment="1">
      <alignment wrapText="1"/>
    </xf>
    <xf numFmtId="0" fontId="0" fillId="0" borderId="0" xfId="0" applyFont="1" applyAlignment="1">
      <alignment wrapText="1"/>
    </xf>
    <xf numFmtId="0" fontId="57" fillId="17" borderId="31" xfId="0" applyFont="1" applyFill="1" applyBorder="1" applyAlignment="1">
      <alignment vertical="center"/>
    </xf>
    <xf numFmtId="0" fontId="0" fillId="0" borderId="28" xfId="0" applyFont="1" applyBorder="1" applyAlignment="1">
      <alignment vertical="center"/>
    </xf>
    <xf numFmtId="0" fontId="57" fillId="31" borderId="126" xfId="0" applyFont="1" applyFill="1" applyBorder="1" applyAlignment="1">
      <alignment horizontal="center" vertical="center"/>
    </xf>
    <xf numFmtId="0" fontId="57" fillId="31" borderId="142" xfId="0" applyFont="1" applyFill="1" applyBorder="1" applyAlignment="1">
      <alignment horizontal="center" vertical="center"/>
    </xf>
    <xf numFmtId="0" fontId="57" fillId="31" borderId="143" xfId="0" applyFont="1" applyFill="1" applyBorder="1" applyAlignment="1">
      <alignment horizontal="center" vertical="center"/>
    </xf>
    <xf numFmtId="0" fontId="149" fillId="53" borderId="197" xfId="0" applyFont="1" applyFill="1" applyBorder="1" applyAlignment="1">
      <alignment horizontal="center" vertical="center"/>
    </xf>
    <xf numFmtId="0" fontId="149" fillId="53" borderId="198" xfId="0" applyFont="1" applyFill="1" applyBorder="1" applyAlignment="1">
      <alignment horizontal="center" vertical="center"/>
    </xf>
    <xf numFmtId="0" fontId="149" fillId="53" borderId="200" xfId="0" applyFont="1" applyFill="1" applyBorder="1" applyAlignment="1">
      <alignment horizontal="center" vertical="center"/>
    </xf>
    <xf numFmtId="0" fontId="149" fillId="53" borderId="201" xfId="0" applyFont="1" applyFill="1" applyBorder="1" applyAlignment="1">
      <alignment horizontal="center" vertical="center"/>
    </xf>
    <xf numFmtId="2" fontId="44" fillId="17" borderId="61" xfId="0" applyNumberFormat="1" applyFont="1" applyFill="1" applyBorder="1" applyAlignment="1">
      <alignment horizontal="left" vertical="center"/>
    </xf>
    <xf numFmtId="0" fontId="96" fillId="17" borderId="62" xfId="0" applyFont="1" applyFill="1" applyBorder="1" applyAlignment="1">
      <alignment horizontal="left" vertical="center"/>
    </xf>
    <xf numFmtId="3" fontId="44" fillId="46" borderId="30" xfId="0" applyNumberFormat="1" applyFont="1" applyFill="1" applyBorder="1" applyAlignment="1" applyProtection="1">
      <alignment horizontal="center" vertical="center"/>
      <protection locked="0"/>
    </xf>
    <xf numFmtId="0" fontId="96" fillId="17" borderId="60" xfId="0" applyFont="1" applyFill="1" applyBorder="1" applyAlignment="1" applyProtection="1">
      <alignment vertical="center"/>
      <protection locked="0"/>
    </xf>
    <xf numFmtId="0" fontId="126" fillId="16" borderId="0" xfId="0" applyFont="1" applyFill="1" applyAlignment="1">
      <alignment horizontal="center" vertical="center"/>
    </xf>
    <xf numFmtId="0" fontId="128" fillId="60" borderId="0" xfId="0" applyFont="1" applyFill="1" applyAlignment="1">
      <alignment vertical="center"/>
    </xf>
    <xf numFmtId="3" fontId="39" fillId="0" borderId="30" xfId="0" applyNumberFormat="1" applyFont="1" applyBorder="1" applyAlignment="1">
      <alignment horizontal="center" vertical="center"/>
    </xf>
    <xf numFmtId="0" fontId="39" fillId="0" borderId="30" xfId="0" applyFont="1" applyBorder="1" applyAlignment="1">
      <alignment horizontal="center" vertical="center"/>
    </xf>
    <xf numFmtId="0" fontId="57" fillId="31" borderId="30" xfId="0" applyFont="1" applyFill="1" applyBorder="1" applyAlignment="1">
      <alignment horizontal="center" vertical="center" wrapText="1"/>
    </xf>
    <xf numFmtId="0" fontId="211" fillId="31" borderId="29" xfId="0" applyFont="1" applyFill="1" applyBorder="1" applyAlignment="1">
      <alignment horizontal="left" vertical="center" wrapText="1"/>
    </xf>
    <xf numFmtId="0" fontId="212" fillId="17" borderId="30" xfId="0" applyFont="1" applyFill="1" applyBorder="1" applyAlignment="1">
      <alignment horizontal="left" vertical="center"/>
    </xf>
    <xf numFmtId="0" fontId="223" fillId="31" borderId="29" xfId="0" applyFont="1" applyFill="1" applyBorder="1" applyAlignment="1">
      <alignment horizontal="center" vertical="center" wrapText="1"/>
    </xf>
    <xf numFmtId="0" fontId="224" fillId="17" borderId="30" xfId="0" applyFont="1" applyFill="1" applyBorder="1" applyAlignment="1">
      <alignment horizontal="center" vertical="center"/>
    </xf>
    <xf numFmtId="0" fontId="224" fillId="17" borderId="31" xfId="0" applyFont="1" applyFill="1" applyBorder="1" applyAlignment="1">
      <alignment horizontal="center" vertical="center"/>
    </xf>
    <xf numFmtId="0" fontId="224" fillId="17" borderId="29" xfId="0" applyFont="1" applyFill="1" applyBorder="1" applyAlignment="1">
      <alignment horizontal="center" vertical="center"/>
    </xf>
    <xf numFmtId="0" fontId="210" fillId="17" borderId="29" xfId="0" applyFont="1" applyFill="1" applyBorder="1" applyAlignment="1">
      <alignment horizontal="center" vertical="center"/>
    </xf>
    <xf numFmtId="0" fontId="210" fillId="17" borderId="30" xfId="0" applyFont="1" applyFill="1" applyBorder="1" applyAlignment="1">
      <alignment vertical="center"/>
    </xf>
    <xf numFmtId="0" fontId="210" fillId="17" borderId="30" xfId="0" applyFont="1" applyFill="1" applyBorder="1" applyAlignment="1">
      <alignment horizontal="center" vertical="center"/>
    </xf>
    <xf numFmtId="0" fontId="231" fillId="31" borderId="30" xfId="0" applyFont="1" applyFill="1" applyBorder="1" applyAlignment="1">
      <alignment horizontal="right" vertical="center" wrapText="1"/>
    </xf>
    <xf numFmtId="0" fontId="232" fillId="17" borderId="30" xfId="0" applyFont="1" applyFill="1" applyBorder="1" applyAlignment="1">
      <alignment horizontal="right" vertical="center"/>
    </xf>
    <xf numFmtId="0" fontId="223" fillId="31" borderId="30" xfId="0" applyFont="1" applyFill="1" applyBorder="1" applyAlignment="1">
      <alignment horizontal="center" vertical="center" wrapText="1"/>
    </xf>
    <xf numFmtId="0" fontId="224" fillId="17" borderId="39" xfId="0" applyFont="1" applyFill="1" applyBorder="1" applyAlignment="1">
      <alignment horizontal="center" vertical="center"/>
    </xf>
    <xf numFmtId="0" fontId="224" fillId="17" borderId="30" xfId="0" applyFont="1" applyFill="1" applyBorder="1" applyAlignment="1">
      <alignment vertical="center"/>
    </xf>
    <xf numFmtId="0" fontId="224" fillId="17" borderId="31" xfId="0" applyFont="1" applyFill="1" applyBorder="1" applyAlignment="1">
      <alignment vertical="center"/>
    </xf>
    <xf numFmtId="3" fontId="39" fillId="0" borderId="39" xfId="0" applyNumberFormat="1" applyFont="1" applyBorder="1" applyAlignment="1">
      <alignment horizontal="center" vertical="center"/>
    </xf>
    <xf numFmtId="0" fontId="39" fillId="0" borderId="34" xfId="0" applyFont="1" applyBorder="1" applyAlignment="1">
      <alignment horizontal="center" vertical="center"/>
    </xf>
    <xf numFmtId="3" fontId="39" fillId="0" borderId="34" xfId="0" applyNumberFormat="1" applyFont="1" applyBorder="1" applyAlignment="1">
      <alignment horizontal="center" vertical="center"/>
    </xf>
    <xf numFmtId="0" fontId="39" fillId="0" borderId="30" xfId="0" applyFont="1" applyBorder="1" applyAlignment="1">
      <alignment vertical="center"/>
    </xf>
    <xf numFmtId="0" fontId="170" fillId="31" borderId="113" xfId="0" applyFont="1" applyFill="1" applyBorder="1" applyAlignment="1">
      <alignment horizontal="center" vertical="center"/>
    </xf>
    <xf numFmtId="0" fontId="170" fillId="31" borderId="117" xfId="0" applyFont="1" applyFill="1" applyBorder="1" applyAlignment="1">
      <alignment horizontal="center" vertical="center"/>
    </xf>
    <xf numFmtId="0" fontId="170" fillId="31" borderId="114" xfId="0" applyFont="1" applyFill="1" applyBorder="1" applyAlignment="1">
      <alignment horizontal="center" vertical="center"/>
    </xf>
    <xf numFmtId="2" fontId="230" fillId="2" borderId="30" xfId="0" applyNumberFormat="1" applyFont="1" applyFill="1" applyBorder="1" applyAlignment="1" applyProtection="1">
      <alignment horizontal="center" vertical="center" wrapText="1"/>
      <protection locked="0"/>
    </xf>
    <xf numFmtId="0" fontId="29" fillId="0" borderId="30" xfId="0" applyFont="1" applyBorder="1" applyAlignment="1" applyProtection="1">
      <alignment vertical="center"/>
      <protection locked="0"/>
    </xf>
    <xf numFmtId="0" fontId="29" fillId="0" borderId="30" xfId="0" applyFont="1" applyBorder="1" applyAlignment="1" applyProtection="1">
      <alignment horizontal="center" vertical="center"/>
      <protection locked="0"/>
    </xf>
    <xf numFmtId="2" fontId="230" fillId="2" borderId="31" xfId="0" applyNumberFormat="1" applyFont="1" applyFill="1" applyBorder="1" applyAlignment="1" applyProtection="1">
      <alignment horizontal="center" vertical="center" wrapText="1"/>
      <protection locked="0"/>
    </xf>
    <xf numFmtId="0" fontId="29" fillId="0" borderId="31" xfId="0" applyFont="1" applyBorder="1" applyAlignment="1" applyProtection="1">
      <alignment vertical="center"/>
      <protection locked="0"/>
    </xf>
    <xf numFmtId="2" fontId="230" fillId="0" borderId="39" xfId="0" applyNumberFormat="1" applyFont="1" applyBorder="1" applyAlignment="1">
      <alignment horizontal="center" vertical="center" wrapText="1"/>
    </xf>
    <xf numFmtId="2" fontId="230" fillId="0" borderId="44" xfId="0" applyNumberFormat="1" applyFont="1" applyBorder="1" applyAlignment="1">
      <alignment horizontal="center" vertical="center" wrapText="1"/>
    </xf>
    <xf numFmtId="2" fontId="230" fillId="0" borderId="34" xfId="0" applyNumberFormat="1" applyFont="1" applyBorder="1" applyAlignment="1">
      <alignment horizontal="center" vertical="center" wrapText="1"/>
    </xf>
    <xf numFmtId="0" fontId="197" fillId="30" borderId="29" xfId="0" applyFont="1" applyFill="1" applyBorder="1" applyAlignment="1">
      <alignment horizontal="left" vertical="center" wrapText="1"/>
    </xf>
    <xf numFmtId="0" fontId="228" fillId="16" borderId="30" xfId="0" applyFont="1" applyFill="1" applyBorder="1" applyAlignment="1">
      <alignment horizontal="left" vertical="center"/>
    </xf>
    <xf numFmtId="0" fontId="228" fillId="16" borderId="29" xfId="0" applyFont="1" applyFill="1" applyBorder="1" applyAlignment="1">
      <alignment horizontal="left" vertical="center"/>
    </xf>
    <xf numFmtId="0" fontId="39" fillId="15" borderId="23" xfId="0" applyFont="1" applyFill="1" applyBorder="1" applyAlignment="1">
      <alignment horizontal="left" vertical="center"/>
    </xf>
    <xf numFmtId="0" fontId="39" fillId="15" borderId="23" xfId="0" applyFont="1" applyFill="1" applyBorder="1" applyAlignment="1">
      <alignment vertical="center"/>
    </xf>
    <xf numFmtId="0" fontId="58" fillId="17" borderId="39" xfId="0" applyFont="1" applyFill="1" applyBorder="1" applyAlignment="1">
      <alignment horizontal="center" vertical="center"/>
    </xf>
    <xf numFmtId="0" fontId="223" fillId="31" borderId="31" xfId="0" applyFont="1" applyFill="1" applyBorder="1" applyAlignment="1">
      <alignment horizontal="center" vertical="center"/>
    </xf>
    <xf numFmtId="0" fontId="224" fillId="17" borderId="28" xfId="0" applyFont="1" applyFill="1" applyBorder="1" applyAlignment="1">
      <alignment vertical="center"/>
    </xf>
    <xf numFmtId="0" fontId="224" fillId="17" borderId="29" xfId="0" applyFont="1" applyFill="1" applyBorder="1" applyAlignment="1">
      <alignment vertical="center"/>
    </xf>
    <xf numFmtId="0" fontId="211" fillId="31" borderId="31" xfId="0" applyFont="1" applyFill="1" applyBorder="1" applyAlignment="1">
      <alignment horizontal="center" vertical="center"/>
    </xf>
    <xf numFmtId="0" fontId="212" fillId="17" borderId="28" xfId="0" applyFont="1" applyFill="1" applyBorder="1" applyAlignment="1">
      <alignment vertical="center"/>
    </xf>
    <xf numFmtId="0" fontId="212" fillId="17" borderId="29" xfId="0" applyFont="1" applyFill="1" applyBorder="1" applyAlignment="1">
      <alignment vertical="center"/>
    </xf>
    <xf numFmtId="2" fontId="253" fillId="2" borderId="30" xfId="0" applyNumberFormat="1" applyFont="1" applyFill="1" applyBorder="1" applyAlignment="1" applyProtection="1">
      <alignment horizontal="center" vertical="center" wrapText="1"/>
      <protection locked="0"/>
    </xf>
    <xf numFmtId="0" fontId="182" fillId="0" borderId="30" xfId="0" applyFont="1" applyBorder="1" applyAlignment="1" applyProtection="1">
      <alignment vertical="center"/>
      <protection locked="0"/>
    </xf>
    <xf numFmtId="0" fontId="182" fillId="0" borderId="30" xfId="0" applyFont="1" applyBorder="1" applyAlignment="1" applyProtection="1">
      <alignment horizontal="center" vertical="center"/>
      <protection locked="0"/>
    </xf>
    <xf numFmtId="2" fontId="253" fillId="2" borderId="31" xfId="0" applyNumberFormat="1" applyFont="1" applyFill="1" applyBorder="1" applyAlignment="1" applyProtection="1">
      <alignment horizontal="center" vertical="center" wrapText="1"/>
      <protection locked="0"/>
    </xf>
    <xf numFmtId="0" fontId="182" fillId="0" borderId="31" xfId="0" applyFont="1" applyBorder="1" applyAlignment="1" applyProtection="1">
      <alignment vertical="center"/>
      <protection locked="0"/>
    </xf>
    <xf numFmtId="0" fontId="54" fillId="30" borderId="28" xfId="0" applyFont="1" applyFill="1" applyBorder="1" applyAlignment="1">
      <alignment horizontal="center" vertical="center"/>
    </xf>
    <xf numFmtId="0" fontId="56" fillId="16" borderId="28" xfId="0" applyFont="1" applyFill="1" applyBorder="1" applyAlignment="1">
      <alignment vertical="center"/>
    </xf>
    <xf numFmtId="166" fontId="39" fillId="12" borderId="39" xfId="1" applyNumberFormat="1" applyFont="1" applyFill="1" applyBorder="1" applyAlignment="1" applyProtection="1">
      <alignment horizontal="center" vertical="center"/>
      <protection locked="0"/>
    </xf>
    <xf numFmtId="166" fontId="39" fillId="12" borderId="34" xfId="1" applyNumberFormat="1" applyFont="1" applyFill="1" applyBorder="1" applyAlignment="1" applyProtection="1">
      <alignment horizontal="center" vertical="center"/>
      <protection locked="0"/>
    </xf>
    <xf numFmtId="0" fontId="209" fillId="30" borderId="23" xfId="0" applyFont="1" applyFill="1" applyBorder="1" applyAlignment="1">
      <alignment horizontal="left" vertical="center" wrapText="1"/>
    </xf>
    <xf numFmtId="0" fontId="225" fillId="30" borderId="23" xfId="0" applyFont="1" applyFill="1" applyBorder="1" applyAlignment="1">
      <alignment horizontal="left" vertical="center"/>
    </xf>
    <xf numFmtId="0" fontId="22" fillId="0" borderId="190" xfId="0" applyFont="1" applyBorder="1" applyAlignment="1">
      <alignment horizontal="left" vertical="center" wrapText="1"/>
    </xf>
    <xf numFmtId="0" fontId="22" fillId="0" borderId="122" xfId="0" applyFont="1" applyBorder="1" applyAlignment="1">
      <alignment horizontal="left" vertical="center" wrapText="1"/>
    </xf>
    <xf numFmtId="0" fontId="22" fillId="0" borderId="39" xfId="0" applyFont="1" applyBorder="1" applyAlignment="1">
      <alignment horizontal="center" vertical="center"/>
    </xf>
    <xf numFmtId="0" fontId="22" fillId="0" borderId="97" xfId="0" applyFont="1" applyBorder="1" applyAlignment="1">
      <alignment horizontal="center" vertical="center"/>
    </xf>
    <xf numFmtId="9" fontId="22" fillId="2" borderId="195" xfId="0" applyNumberFormat="1" applyFont="1" applyFill="1" applyBorder="1" applyAlignment="1" applyProtection="1">
      <alignment horizontal="center" vertical="center"/>
      <protection locked="0"/>
    </xf>
    <xf numFmtId="9" fontId="22" fillId="2" borderId="124" xfId="0" applyNumberFormat="1" applyFont="1" applyFill="1" applyBorder="1" applyAlignment="1" applyProtection="1">
      <alignment horizontal="center" vertical="center"/>
      <protection locked="0"/>
    </xf>
    <xf numFmtId="3" fontId="59" fillId="17" borderId="39" xfId="0" applyNumberFormat="1" applyFont="1" applyFill="1" applyBorder="1" applyAlignment="1">
      <alignment horizontal="left" vertical="center" wrapText="1"/>
    </xf>
    <xf numFmtId="3" fontId="59" fillId="17" borderId="34" xfId="0" applyNumberFormat="1" applyFont="1" applyFill="1" applyBorder="1" applyAlignment="1">
      <alignment horizontal="left" vertical="center" wrapText="1"/>
    </xf>
    <xf numFmtId="166" fontId="22" fillId="2" borderId="60" xfId="0" applyNumberFormat="1" applyFont="1" applyFill="1" applyBorder="1" applyAlignment="1" applyProtection="1">
      <alignment horizontal="center" vertical="center"/>
      <protection locked="0"/>
    </xf>
    <xf numFmtId="166" fontId="22" fillId="2" borderId="63" xfId="0" applyNumberFormat="1" applyFont="1" applyFill="1" applyBorder="1" applyAlignment="1" applyProtection="1">
      <alignment horizontal="center" vertical="center"/>
      <protection locked="0"/>
    </xf>
    <xf numFmtId="3" fontId="22" fillId="2" borderId="59" xfId="0" applyNumberFormat="1" applyFont="1" applyFill="1" applyBorder="1" applyAlignment="1" applyProtection="1">
      <alignment horizontal="center" vertical="center"/>
      <protection locked="0"/>
    </xf>
    <xf numFmtId="3" fontId="22" fillId="2" borderId="61" xfId="0" applyNumberFormat="1" applyFont="1" applyFill="1" applyBorder="1" applyAlignment="1" applyProtection="1">
      <alignment horizontal="center" vertical="center"/>
      <protection locked="0"/>
    </xf>
    <xf numFmtId="3" fontId="165" fillId="31" borderId="114" xfId="0" applyNumberFormat="1" applyFont="1" applyFill="1" applyBorder="1" applyAlignment="1">
      <alignment horizontal="center" vertical="center" wrapText="1"/>
    </xf>
    <xf numFmtId="3" fontId="165" fillId="31" borderId="60" xfId="0" applyNumberFormat="1" applyFont="1" applyFill="1" applyBorder="1" applyAlignment="1">
      <alignment horizontal="center" vertical="center" wrapText="1"/>
    </xf>
    <xf numFmtId="3" fontId="165" fillId="31" borderId="113" xfId="0" applyNumberFormat="1" applyFont="1" applyFill="1" applyBorder="1" applyAlignment="1">
      <alignment horizontal="center" vertical="center" wrapText="1"/>
    </xf>
    <xf numFmtId="3" fontId="165" fillId="31" borderId="59" xfId="0" applyNumberFormat="1" applyFont="1" applyFill="1" applyBorder="1" applyAlignment="1">
      <alignment horizontal="center" vertical="center" wrapText="1"/>
    </xf>
    <xf numFmtId="0" fontId="197" fillId="30" borderId="35" xfId="0" applyFont="1" applyFill="1" applyBorder="1" applyAlignment="1">
      <alignment horizontal="left" vertical="center" wrapText="1"/>
    </xf>
    <xf numFmtId="0" fontId="195" fillId="16" borderId="35" xfId="0" applyFont="1" applyFill="1" applyBorder="1" applyAlignment="1">
      <alignment horizontal="left" vertical="center"/>
    </xf>
    <xf numFmtId="0" fontId="195" fillId="16" borderId="23" xfId="0" applyFont="1" applyFill="1" applyBorder="1" applyAlignment="1">
      <alignment horizontal="left" vertical="center"/>
    </xf>
    <xf numFmtId="0" fontId="195" fillId="16" borderId="27" xfId="0" applyFont="1" applyFill="1" applyBorder="1" applyAlignment="1">
      <alignment horizontal="left" vertical="center"/>
    </xf>
    <xf numFmtId="0" fontId="248" fillId="59" borderId="31" xfId="0" applyFont="1" applyFill="1" applyBorder="1" applyAlignment="1" applyProtection="1">
      <alignment horizontal="right" vertical="center"/>
    </xf>
    <xf numFmtId="0" fontId="248" fillId="59" borderId="29" xfId="0" applyFont="1" applyFill="1" applyBorder="1" applyAlignment="1" applyProtection="1">
      <alignment horizontal="right" vertical="center"/>
    </xf>
    <xf numFmtId="0" fontId="163" fillId="31" borderId="99" xfId="0" applyFont="1" applyFill="1" applyBorder="1" applyAlignment="1" applyProtection="1">
      <alignment horizontal="center" vertical="center"/>
    </xf>
    <xf numFmtId="0" fontId="164" fillId="17" borderId="100" xfId="0" applyFont="1" applyFill="1" applyBorder="1" applyAlignment="1" applyProtection="1">
      <alignment vertical="center"/>
    </xf>
    <xf numFmtId="0" fontId="164" fillId="17" borderId="101" xfId="0" applyFont="1" applyFill="1" applyBorder="1" applyAlignment="1" applyProtection="1">
      <alignment vertical="center"/>
    </xf>
    <xf numFmtId="0" fontId="175" fillId="17" borderId="108" xfId="0" applyFont="1" applyFill="1" applyBorder="1" applyAlignment="1" applyProtection="1">
      <alignment horizontal="left" vertical="center" wrapText="1"/>
    </xf>
    <xf numFmtId="0" fontId="183" fillId="17" borderId="108" xfId="0" applyFont="1" applyFill="1" applyBorder="1" applyAlignment="1" applyProtection="1">
      <alignment vertical="center"/>
    </xf>
    <xf numFmtId="0" fontId="175" fillId="17" borderId="137" xfId="0" applyFont="1" applyFill="1" applyBorder="1" applyAlignment="1" applyProtection="1">
      <alignment horizontal="left" vertical="center" wrapText="1"/>
    </xf>
    <xf numFmtId="0" fontId="183" fillId="17" borderId="137" xfId="0" applyFont="1" applyFill="1" applyBorder="1" applyAlignment="1" applyProtection="1">
      <alignment vertical="center"/>
    </xf>
    <xf numFmtId="0" fontId="163" fillId="31" borderId="139" xfId="0" applyFont="1" applyFill="1" applyBorder="1" applyAlignment="1" applyProtection="1">
      <alignment horizontal="left" vertical="center" wrapText="1"/>
    </xf>
    <xf numFmtId="0" fontId="164" fillId="17" borderId="121" xfId="0" applyFont="1" applyFill="1" applyBorder="1" applyAlignment="1" applyProtection="1">
      <alignment horizontal="left" vertical="center"/>
    </xf>
    <xf numFmtId="0" fontId="164" fillId="17" borderId="134" xfId="0" applyFont="1" applyFill="1" applyBorder="1" applyAlignment="1" applyProtection="1">
      <alignment horizontal="left" vertical="center"/>
    </xf>
    <xf numFmtId="0" fontId="165" fillId="31" borderId="113" xfId="0" applyFont="1" applyFill="1" applyBorder="1" applyAlignment="1">
      <alignment horizontal="left" vertical="center" wrapText="1"/>
    </xf>
    <xf numFmtId="0" fontId="166" fillId="17" borderId="114" xfId="0" applyFont="1" applyFill="1" applyBorder="1" applyAlignment="1">
      <alignment vertical="center"/>
    </xf>
    <xf numFmtId="0" fontId="248" fillId="59" borderId="139" xfId="0" applyFont="1" applyFill="1" applyBorder="1" applyAlignment="1" applyProtection="1">
      <alignment horizontal="right" vertical="center" wrapText="1"/>
    </xf>
    <xf numFmtId="0" fontId="248" fillId="59" borderId="191" xfId="0" applyFont="1" applyFill="1" applyBorder="1" applyAlignment="1" applyProtection="1">
      <alignment horizontal="right" vertical="center" wrapText="1"/>
    </xf>
    <xf numFmtId="0" fontId="248" fillId="59" borderId="121" xfId="0" applyFont="1" applyFill="1" applyBorder="1" applyAlignment="1" applyProtection="1">
      <alignment horizontal="right" vertical="center"/>
    </xf>
    <xf numFmtId="0" fontId="248" fillId="59" borderId="192" xfId="0" applyFont="1" applyFill="1" applyBorder="1" applyAlignment="1" applyProtection="1">
      <alignment horizontal="right" vertical="center" wrapText="1"/>
    </xf>
    <xf numFmtId="0" fontId="163" fillId="31" borderId="126" xfId="0" applyFont="1" applyFill="1" applyBorder="1" applyAlignment="1" applyProtection="1">
      <alignment horizontal="left" vertical="center"/>
      <protection locked="0"/>
    </xf>
    <xf numFmtId="0" fontId="163" fillId="31" borderId="127" xfId="0" applyFont="1" applyFill="1" applyBorder="1" applyAlignment="1" applyProtection="1">
      <alignment horizontal="left" vertical="center"/>
      <protection locked="0"/>
    </xf>
    <xf numFmtId="0" fontId="50" fillId="16" borderId="0" xfId="0" applyFont="1" applyFill="1" applyAlignment="1" applyProtection="1">
      <alignment horizontal="center" vertical="center"/>
      <protection locked="0"/>
    </xf>
    <xf numFmtId="0" fontId="244" fillId="16" borderId="0" xfId="0" applyFont="1" applyFill="1" applyAlignment="1" applyProtection="1">
      <alignment horizontal="center" vertical="center"/>
      <protection locked="0"/>
    </xf>
    <xf numFmtId="0" fontId="248" fillId="59" borderId="134" xfId="0" applyFont="1" applyFill="1" applyBorder="1" applyAlignment="1" applyProtection="1">
      <alignment horizontal="right" vertical="center"/>
    </xf>
    <xf numFmtId="0" fontId="248" fillId="59" borderId="193" xfId="0" applyFont="1" applyFill="1" applyBorder="1" applyAlignment="1" applyProtection="1">
      <alignment horizontal="right" vertical="center"/>
    </xf>
    <xf numFmtId="0" fontId="248" fillId="59" borderId="110" xfId="0" applyFont="1" applyFill="1" applyBorder="1" applyAlignment="1" applyProtection="1">
      <alignment horizontal="right" vertical="center"/>
    </xf>
    <xf numFmtId="0" fontId="249" fillId="59" borderId="118" xfId="0" applyFont="1" applyFill="1" applyBorder="1" applyAlignment="1" applyProtection="1">
      <alignment horizontal="right" vertical="center" wrapText="1"/>
    </xf>
    <xf numFmtId="0" fontId="249" fillId="59" borderId="119" xfId="0" applyFont="1" applyFill="1" applyBorder="1" applyAlignment="1" applyProtection="1">
      <alignment horizontal="right" vertical="center" wrapText="1"/>
    </xf>
    <xf numFmtId="0" fontId="208" fillId="17" borderId="126" xfId="0" applyFont="1" applyFill="1" applyBorder="1" applyAlignment="1" applyProtection="1">
      <alignment horizontal="center" vertical="center"/>
    </xf>
    <xf numFmtId="0" fontId="208" fillId="17" borderId="142" xfId="0" applyFont="1" applyFill="1" applyBorder="1" applyAlignment="1" applyProtection="1">
      <alignment horizontal="center" vertical="center"/>
    </xf>
    <xf numFmtId="0" fontId="208" fillId="17" borderId="143" xfId="0" applyFont="1" applyFill="1" applyBorder="1" applyAlignment="1" applyProtection="1">
      <alignment horizontal="center" vertical="center"/>
    </xf>
    <xf numFmtId="0" fontId="202" fillId="56" borderId="126" xfId="0" applyFont="1" applyFill="1" applyBorder="1" applyAlignment="1">
      <alignment horizontal="center" vertical="center"/>
    </xf>
    <xf numFmtId="0" fontId="202" fillId="56" borderId="142" xfId="0" applyFont="1" applyFill="1" applyBorder="1" applyAlignment="1">
      <alignment horizontal="center" vertical="center"/>
    </xf>
    <xf numFmtId="0" fontId="202" fillId="56" borderId="143" xfId="0" applyFont="1" applyFill="1" applyBorder="1" applyAlignment="1">
      <alignment horizontal="center" vertical="center"/>
    </xf>
    <xf numFmtId="0" fontId="127" fillId="32" borderId="30" xfId="0" applyFont="1" applyFill="1" applyBorder="1" applyAlignment="1" applyProtection="1">
      <alignment horizontal="center"/>
      <protection locked="0"/>
    </xf>
    <xf numFmtId="0" fontId="114" fillId="16" borderId="30" xfId="0" applyFont="1" applyFill="1" applyBorder="1" applyAlignment="1" applyProtection="1">
      <protection locked="0"/>
    </xf>
    <xf numFmtId="0" fontId="126" fillId="32" borderId="30" xfId="0" applyFont="1" applyFill="1" applyBorder="1" applyAlignment="1" applyProtection="1">
      <alignment horizontal="center" vertical="center"/>
      <protection locked="0"/>
    </xf>
    <xf numFmtId="0" fontId="52" fillId="16" borderId="30" xfId="0" applyFont="1" applyFill="1" applyBorder="1" applyAlignment="1" applyProtection="1">
      <alignment vertical="center"/>
      <protection locked="0"/>
    </xf>
    <xf numFmtId="0" fontId="54" fillId="32" borderId="30" xfId="0" applyFont="1" applyFill="1" applyBorder="1" applyAlignment="1" applyProtection="1">
      <alignment horizontal="center" vertical="center"/>
      <protection locked="0"/>
    </xf>
    <xf numFmtId="0" fontId="56" fillId="16" borderId="30" xfId="0" applyFont="1" applyFill="1" applyBorder="1" applyAlignment="1" applyProtection="1">
      <alignment vertical="center"/>
      <protection locked="0"/>
    </xf>
    <xf numFmtId="0" fontId="128" fillId="16" borderId="0" xfId="0" applyFont="1" applyFill="1" applyAlignment="1">
      <alignment horizontal="center" vertical="center"/>
    </xf>
    <xf numFmtId="0" fontId="200" fillId="56" borderId="144" xfId="0" applyFont="1" applyFill="1" applyBorder="1" applyAlignment="1">
      <alignment horizontal="left" vertical="center" wrapText="1"/>
    </xf>
    <xf numFmtId="0" fontId="200" fillId="56" borderId="145" xfId="0" applyFont="1" applyFill="1" applyBorder="1" applyAlignment="1">
      <alignment horizontal="left" vertical="center" wrapText="1"/>
    </xf>
    <xf numFmtId="0" fontId="200" fillId="56" borderId="146" xfId="0" applyFont="1" applyFill="1" applyBorder="1" applyAlignment="1">
      <alignment horizontal="left" vertical="center" wrapText="1"/>
    </xf>
    <xf numFmtId="0" fontId="200" fillId="56" borderId="147" xfId="0" applyFont="1" applyFill="1" applyBorder="1" applyAlignment="1">
      <alignment horizontal="left" vertical="center" wrapText="1"/>
    </xf>
    <xf numFmtId="0" fontId="200" fillId="56" borderId="23" xfId="0" applyFont="1" applyFill="1" applyBorder="1" applyAlignment="1">
      <alignment horizontal="left" vertical="center" wrapText="1"/>
    </xf>
    <xf numFmtId="0" fontId="200" fillId="56" borderId="148" xfId="0" applyFont="1" applyFill="1" applyBorder="1" applyAlignment="1">
      <alignment horizontal="left" vertical="center" wrapText="1"/>
    </xf>
    <xf numFmtId="0" fontId="200" fillId="56" borderId="149" xfId="0" applyFont="1" applyFill="1" applyBorder="1" applyAlignment="1">
      <alignment horizontal="left" vertical="center" wrapText="1"/>
    </xf>
    <xf numFmtId="0" fontId="200" fillId="56" borderId="150" xfId="0" applyFont="1" applyFill="1" applyBorder="1" applyAlignment="1">
      <alignment horizontal="left" vertical="center" wrapText="1"/>
    </xf>
    <xf numFmtId="0" fontId="200" fillId="56" borderId="151" xfId="0" applyFont="1" applyFill="1" applyBorder="1" applyAlignment="1">
      <alignment horizontal="left" vertical="center" wrapText="1"/>
    </xf>
    <xf numFmtId="0" fontId="250" fillId="57" borderId="161" xfId="0" applyFont="1" applyFill="1" applyBorder="1" applyAlignment="1">
      <alignment horizontal="center" vertical="center" wrapText="1"/>
    </xf>
    <xf numFmtId="0" fontId="250" fillId="57" borderId="35" xfId="0" applyFont="1" applyFill="1" applyBorder="1" applyAlignment="1">
      <alignment horizontal="center" vertical="center" wrapText="1"/>
    </xf>
    <xf numFmtId="0" fontId="250" fillId="57" borderId="36" xfId="0" applyFont="1" applyFill="1" applyBorder="1" applyAlignment="1">
      <alignment horizontal="center" vertical="center" wrapText="1"/>
    </xf>
    <xf numFmtId="0" fontId="250" fillId="57" borderId="147" xfId="0" applyFont="1" applyFill="1" applyBorder="1" applyAlignment="1">
      <alignment horizontal="center" vertical="center" wrapText="1"/>
    </xf>
    <xf numFmtId="0" fontId="250" fillId="57" borderId="23" xfId="0" applyFont="1" applyFill="1" applyBorder="1" applyAlignment="1">
      <alignment horizontal="center" vertical="center" wrapText="1"/>
    </xf>
    <xf numFmtId="0" fontId="250" fillId="57" borderId="41" xfId="0" applyFont="1" applyFill="1" applyBorder="1" applyAlignment="1">
      <alignment horizontal="center" vertical="center" wrapText="1"/>
    </xf>
    <xf numFmtId="0" fontId="250" fillId="57" borderId="149" xfId="0" applyFont="1" applyFill="1" applyBorder="1" applyAlignment="1">
      <alignment horizontal="center" vertical="center" wrapText="1"/>
    </xf>
    <xf numFmtId="0" fontId="250" fillId="57" borderId="150" xfId="0" applyFont="1" applyFill="1" applyBorder="1" applyAlignment="1">
      <alignment horizontal="center" vertical="center" wrapText="1"/>
    </xf>
    <xf numFmtId="0" fontId="250" fillId="57" borderId="162" xfId="0" applyFont="1" applyFill="1" applyBorder="1" applyAlignment="1">
      <alignment horizontal="center" vertical="center" wrapText="1"/>
    </xf>
    <xf numFmtId="0" fontId="208" fillId="57" borderId="31" xfId="0" applyFont="1" applyFill="1" applyBorder="1" applyAlignment="1">
      <alignment horizontal="right" vertical="center"/>
    </xf>
    <xf numFmtId="0" fontId="208" fillId="57" borderId="29" xfId="0" applyFont="1" applyFill="1" applyBorder="1" applyAlignment="1">
      <alignment horizontal="right" vertical="center"/>
    </xf>
    <xf numFmtId="0" fontId="208" fillId="57" borderId="163" xfId="0" applyFont="1" applyFill="1" applyBorder="1" applyAlignment="1">
      <alignment horizontal="right" vertical="center"/>
    </xf>
    <xf numFmtId="0" fontId="208" fillId="57" borderId="164" xfId="0" applyFont="1" applyFill="1" applyBorder="1" applyAlignment="1">
      <alignment horizontal="right" vertical="center"/>
    </xf>
    <xf numFmtId="0" fontId="250" fillId="57" borderId="144" xfId="0" applyFont="1" applyFill="1" applyBorder="1" applyAlignment="1">
      <alignment horizontal="center" vertical="center" wrapText="1"/>
    </xf>
    <xf numFmtId="0" fontId="250" fillId="57" borderId="145" xfId="0" applyFont="1" applyFill="1" applyBorder="1" applyAlignment="1">
      <alignment horizontal="center" vertical="center" wrapText="1"/>
    </xf>
    <xf numFmtId="0" fontId="250" fillId="57" borderId="155" xfId="0" applyFont="1" applyFill="1" applyBorder="1" applyAlignment="1">
      <alignment horizontal="center" vertical="center" wrapText="1"/>
    </xf>
    <xf numFmtId="0" fontId="250" fillId="57" borderId="160" xfId="0" applyFont="1" applyFill="1" applyBorder="1" applyAlignment="1">
      <alignment horizontal="center" vertical="center" wrapText="1"/>
    </xf>
    <xf numFmtId="0" fontId="250" fillId="57" borderId="27" xfId="0" applyFont="1" applyFill="1" applyBorder="1" applyAlignment="1">
      <alignment horizontal="center" vertical="center" wrapText="1"/>
    </xf>
    <xf numFmtId="0" fontId="250" fillId="57" borderId="33" xfId="0" applyFont="1" applyFill="1" applyBorder="1" applyAlignment="1">
      <alignment horizontal="center" vertical="center" wrapText="1"/>
    </xf>
    <xf numFmtId="0" fontId="208" fillId="57" borderId="156" xfId="0" applyFont="1" applyFill="1" applyBorder="1" applyAlignment="1">
      <alignment horizontal="right" vertical="center"/>
    </xf>
    <xf numFmtId="0" fontId="208" fillId="57" borderId="157" xfId="0" applyFont="1" applyFill="1" applyBorder="1" applyAlignment="1">
      <alignment horizontal="right" vertical="center"/>
    </xf>
    <xf numFmtId="0" fontId="250" fillId="57" borderId="165" xfId="0" applyFont="1" applyFill="1" applyBorder="1" applyAlignment="1">
      <alignment horizontal="center" vertical="center" wrapText="1"/>
    </xf>
    <xf numFmtId="0" fontId="250" fillId="57" borderId="166" xfId="0" applyFont="1" applyFill="1" applyBorder="1" applyAlignment="1">
      <alignment horizontal="center" vertical="center" wrapText="1"/>
    </xf>
    <xf numFmtId="0" fontId="250" fillId="57" borderId="167" xfId="0" applyFont="1" applyFill="1" applyBorder="1" applyAlignment="1">
      <alignment horizontal="center" vertical="center" wrapText="1"/>
    </xf>
    <xf numFmtId="0" fontId="250" fillId="57" borderId="172" xfId="0" applyFont="1" applyFill="1" applyBorder="1" applyAlignment="1">
      <alignment horizontal="center" vertical="center" wrapText="1"/>
    </xf>
    <xf numFmtId="0" fontId="250" fillId="57" borderId="173" xfId="0" applyFont="1" applyFill="1" applyBorder="1" applyAlignment="1">
      <alignment horizontal="center" vertical="center" wrapText="1"/>
    </xf>
    <xf numFmtId="0" fontId="250" fillId="57" borderId="174" xfId="0" applyFont="1" applyFill="1" applyBorder="1" applyAlignment="1">
      <alignment horizontal="center" vertical="center" wrapText="1"/>
    </xf>
    <xf numFmtId="0" fontId="208" fillId="57" borderId="168" xfId="0" applyFont="1" applyFill="1" applyBorder="1" applyAlignment="1">
      <alignment horizontal="center" vertical="center"/>
    </xf>
    <xf numFmtId="0" fontId="208" fillId="57" borderId="169" xfId="0" applyFont="1" applyFill="1" applyBorder="1" applyAlignment="1">
      <alignment horizontal="center" vertical="center"/>
    </xf>
    <xf numFmtId="0" fontId="208" fillId="57" borderId="31" xfId="0" applyFont="1" applyFill="1" applyBorder="1" applyAlignment="1">
      <alignment horizontal="center" vertical="center"/>
    </xf>
    <xf numFmtId="0" fontId="208" fillId="57" borderId="29" xfId="0" applyFont="1" applyFill="1" applyBorder="1" applyAlignment="1">
      <alignment horizontal="center" vertical="center"/>
    </xf>
    <xf numFmtId="0" fontId="208" fillId="57" borderId="175" xfId="0" applyFont="1" applyFill="1" applyBorder="1" applyAlignment="1">
      <alignment horizontal="center" vertical="center"/>
    </xf>
    <xf numFmtId="0" fontId="208" fillId="57" borderId="176" xfId="0" applyFont="1" applyFill="1" applyBorder="1" applyAlignment="1">
      <alignment horizontal="center" vertical="center"/>
    </xf>
    <xf numFmtId="0" fontId="199" fillId="53" borderId="31" xfId="0" applyFont="1" applyFill="1" applyBorder="1" applyAlignment="1">
      <alignment horizontal="left" vertical="center"/>
    </xf>
    <xf numFmtId="0" fontId="186" fillId="53" borderId="29" xfId="0" applyFont="1" applyFill="1" applyBorder="1" applyAlignment="1">
      <alignment vertical="center"/>
    </xf>
    <xf numFmtId="0" fontId="208" fillId="57" borderId="152" xfId="0" applyFont="1" applyFill="1" applyBorder="1" applyAlignment="1">
      <alignment horizontal="left" vertical="center" wrapText="1"/>
    </xf>
    <xf numFmtId="0" fontId="250" fillId="17" borderId="153" xfId="0" applyFont="1" applyFill="1" applyBorder="1" applyAlignment="1">
      <alignment horizontal="left" vertical="center" wrapText="1"/>
    </xf>
    <xf numFmtId="0" fontId="175" fillId="58" borderId="156" xfId="0" applyFont="1" applyFill="1" applyBorder="1" applyAlignment="1">
      <alignment horizontal="right" vertical="center"/>
    </xf>
    <xf numFmtId="0" fontId="175" fillId="58" borderId="157" xfId="0" applyFont="1" applyFill="1" applyBorder="1" applyAlignment="1">
      <alignment horizontal="right" vertical="center"/>
    </xf>
    <xf numFmtId="0" fontId="175" fillId="58" borderId="31" xfId="0" applyFont="1" applyFill="1" applyBorder="1" applyAlignment="1">
      <alignment horizontal="right" vertical="center"/>
    </xf>
    <xf numFmtId="0" fontId="175" fillId="58" borderId="29" xfId="0" applyFont="1" applyFill="1" applyBorder="1" applyAlignment="1">
      <alignment horizontal="right" vertical="center"/>
    </xf>
    <xf numFmtId="0" fontId="175" fillId="58" borderId="168" xfId="0" applyFont="1" applyFill="1" applyBorder="1" applyAlignment="1">
      <alignment horizontal="right" vertical="center"/>
    </xf>
    <xf numFmtId="0" fontId="175" fillId="58" borderId="169" xfId="0" applyFont="1" applyFill="1" applyBorder="1" applyAlignment="1">
      <alignment horizontal="right" vertical="center"/>
    </xf>
    <xf numFmtId="0" fontId="183" fillId="58" borderId="144" xfId="0" applyFont="1" applyFill="1" applyBorder="1" applyAlignment="1">
      <alignment horizontal="center" vertical="center" wrapText="1"/>
    </xf>
    <xf numFmtId="0" fontId="183" fillId="58" borderId="145" xfId="0" applyFont="1" applyFill="1" applyBorder="1" applyAlignment="1">
      <alignment horizontal="center" vertical="center" wrapText="1"/>
    </xf>
    <xf numFmtId="0" fontId="183" fillId="58" borderId="155" xfId="0" applyFont="1" applyFill="1" applyBorder="1" applyAlignment="1">
      <alignment horizontal="center" vertical="center" wrapText="1"/>
    </xf>
    <xf numFmtId="0" fontId="183" fillId="58" borderId="147" xfId="0" applyFont="1" applyFill="1" applyBorder="1" applyAlignment="1">
      <alignment horizontal="center" vertical="center" wrapText="1"/>
    </xf>
    <xf numFmtId="0" fontId="183" fillId="58" borderId="23" xfId="0" applyFont="1" applyFill="1" applyBorder="1" applyAlignment="1">
      <alignment horizontal="center" vertical="center" wrapText="1"/>
    </xf>
    <xf numFmtId="0" fontId="183" fillId="58" borderId="41" xfId="0" applyFont="1" applyFill="1" applyBorder="1" applyAlignment="1">
      <alignment horizontal="center" vertical="center" wrapText="1"/>
    </xf>
    <xf numFmtId="0" fontId="183" fillId="58" borderId="160" xfId="0" applyFont="1" applyFill="1" applyBorder="1" applyAlignment="1">
      <alignment horizontal="center" vertical="center" wrapText="1"/>
    </xf>
    <xf numFmtId="0" fontId="183" fillId="58" borderId="27" xfId="0" applyFont="1" applyFill="1" applyBorder="1" applyAlignment="1">
      <alignment horizontal="center" vertical="center" wrapText="1"/>
    </xf>
    <xf numFmtId="0" fontId="183" fillId="58" borderId="33" xfId="0" applyFont="1" applyFill="1" applyBorder="1" applyAlignment="1">
      <alignment horizontal="center" vertical="center" wrapText="1"/>
    </xf>
    <xf numFmtId="0" fontId="183" fillId="58" borderId="165" xfId="0" applyFont="1" applyFill="1" applyBorder="1" applyAlignment="1">
      <alignment horizontal="center" vertical="center" wrapText="1"/>
    </xf>
    <xf numFmtId="0" fontId="183" fillId="58" borderId="166" xfId="0" applyFont="1" applyFill="1" applyBorder="1" applyAlignment="1">
      <alignment horizontal="center" vertical="center" wrapText="1"/>
    </xf>
    <xf numFmtId="0" fontId="183" fillId="58" borderId="167" xfId="0" applyFont="1" applyFill="1" applyBorder="1" applyAlignment="1">
      <alignment horizontal="center" vertical="center" wrapText="1"/>
    </xf>
    <xf numFmtId="0" fontId="183" fillId="58" borderId="172" xfId="0" applyFont="1" applyFill="1" applyBorder="1" applyAlignment="1">
      <alignment horizontal="center" vertical="center" wrapText="1"/>
    </xf>
    <xf numFmtId="0" fontId="183" fillId="58" borderId="173" xfId="0" applyFont="1" applyFill="1" applyBorder="1" applyAlignment="1">
      <alignment horizontal="center" vertical="center" wrapText="1"/>
    </xf>
    <xf numFmtId="0" fontId="183" fillId="58" borderId="174" xfId="0" applyFont="1" applyFill="1" applyBorder="1" applyAlignment="1">
      <alignment horizontal="center" vertical="center" wrapText="1"/>
    </xf>
    <xf numFmtId="0" fontId="175" fillId="58" borderId="175" xfId="0" applyFont="1" applyFill="1" applyBorder="1" applyAlignment="1">
      <alignment horizontal="right" vertical="center"/>
    </xf>
    <xf numFmtId="0" fontId="175" fillId="58" borderId="176" xfId="0" applyFont="1" applyFill="1" applyBorder="1" applyAlignment="1">
      <alignment horizontal="right" vertical="center"/>
    </xf>
    <xf numFmtId="0" fontId="183" fillId="58" borderId="161" xfId="0" applyFont="1" applyFill="1" applyBorder="1" applyAlignment="1">
      <alignment horizontal="center" vertical="center" wrapText="1"/>
    </xf>
    <xf numFmtId="0" fontId="183" fillId="58" borderId="35" xfId="0" applyFont="1" applyFill="1" applyBorder="1" applyAlignment="1">
      <alignment horizontal="center" vertical="center" wrapText="1"/>
    </xf>
    <xf numFmtId="0" fontId="183" fillId="58" borderId="36" xfId="0" applyFont="1" applyFill="1" applyBorder="1" applyAlignment="1">
      <alignment horizontal="center" vertical="center" wrapText="1"/>
    </xf>
    <xf numFmtId="0" fontId="183" fillId="58" borderId="149" xfId="0" applyFont="1" applyFill="1" applyBorder="1" applyAlignment="1">
      <alignment horizontal="center" vertical="center" wrapText="1"/>
    </xf>
    <xf numFmtId="0" fontId="183" fillId="58" borderId="150" xfId="0" applyFont="1" applyFill="1" applyBorder="1" applyAlignment="1">
      <alignment horizontal="center" vertical="center" wrapText="1"/>
    </xf>
    <xf numFmtId="0" fontId="183" fillId="58" borderId="162" xfId="0" applyFont="1" applyFill="1" applyBorder="1" applyAlignment="1">
      <alignment horizontal="center" vertical="center" wrapText="1"/>
    </xf>
    <xf numFmtId="0" fontId="175" fillId="58" borderId="163" xfId="0" applyFont="1" applyFill="1" applyBorder="1" applyAlignment="1">
      <alignment horizontal="right" vertical="center"/>
    </xf>
    <xf numFmtId="0" fontId="175" fillId="58" borderId="164" xfId="0" applyFont="1" applyFill="1" applyBorder="1" applyAlignment="1">
      <alignment horizontal="right" vertical="center"/>
    </xf>
    <xf numFmtId="0" fontId="199" fillId="53" borderId="31" xfId="0" applyFont="1" applyFill="1" applyBorder="1" applyAlignment="1">
      <alignment horizontal="center" vertical="center"/>
    </xf>
    <xf numFmtId="0" fontId="199" fillId="53" borderId="29" xfId="0" applyFont="1" applyFill="1" applyBorder="1" applyAlignment="1">
      <alignment horizontal="center" vertical="center"/>
    </xf>
    <xf numFmtId="0" fontId="181" fillId="35" borderId="56" xfId="0" applyFont="1" applyFill="1" applyBorder="1" applyAlignment="1">
      <alignment horizontal="center" vertical="center" wrapText="1"/>
    </xf>
    <xf numFmtId="0" fontId="182" fillId="17" borderId="57" xfId="0" applyFont="1" applyFill="1" applyBorder="1" applyAlignment="1">
      <alignment wrapText="1"/>
    </xf>
    <xf numFmtId="0" fontId="182" fillId="17" borderId="58" xfId="0" applyFont="1" applyFill="1" applyBorder="1" applyAlignment="1">
      <alignment wrapText="1"/>
    </xf>
    <xf numFmtId="0" fontId="175" fillId="36" borderId="94" xfId="0" applyFont="1" applyFill="1" applyBorder="1" applyAlignment="1">
      <alignment horizontal="center" vertical="center"/>
    </xf>
    <xf numFmtId="0" fontId="183" fillId="17" borderId="95" xfId="0" applyFont="1" applyFill="1" applyBorder="1"/>
    <xf numFmtId="0" fontId="183" fillId="17" borderId="96" xfId="0" applyFont="1" applyFill="1" applyBorder="1"/>
    <xf numFmtId="0" fontId="149" fillId="53" borderId="28" xfId="0" applyFont="1" applyFill="1" applyBorder="1" applyAlignment="1">
      <alignment horizontal="left" vertical="center"/>
    </xf>
    <xf numFmtId="0" fontId="149" fillId="53" borderId="29" xfId="0" applyFont="1" applyFill="1" applyBorder="1"/>
    <xf numFmtId="0" fontId="172" fillId="41" borderId="23" xfId="0" applyFont="1" applyFill="1" applyBorder="1" applyAlignment="1">
      <alignment horizontal="left" vertical="center" wrapText="1"/>
    </xf>
    <xf numFmtId="0" fontId="181" fillId="35" borderId="56" xfId="0" applyFont="1" applyFill="1" applyBorder="1" applyAlignment="1">
      <alignment horizontal="center" vertical="center"/>
    </xf>
    <xf numFmtId="0" fontId="182" fillId="17" borderId="57" xfId="0" applyFont="1" applyFill="1" applyBorder="1"/>
    <xf numFmtId="0" fontId="182" fillId="17" borderId="58" xfId="0" applyFont="1" applyFill="1" applyBorder="1"/>
    <xf numFmtId="0" fontId="165" fillId="36" borderId="99" xfId="0" applyFont="1" applyFill="1" applyBorder="1" applyAlignment="1">
      <alignment horizontal="center" vertical="center"/>
    </xf>
    <xf numFmtId="0" fontId="166" fillId="17" borderId="100" xfId="0" applyFont="1" applyFill="1" applyBorder="1"/>
    <xf numFmtId="0" fontId="166" fillId="17" borderId="101" xfId="0" applyFont="1" applyFill="1" applyBorder="1"/>
    <xf numFmtId="0" fontId="173" fillId="41" borderId="23" xfId="0" applyFont="1" applyFill="1" applyBorder="1" applyAlignment="1">
      <alignment horizontal="left" vertical="center" wrapText="1"/>
    </xf>
  </cellXfs>
  <cellStyles count="3">
    <cellStyle name="Hiperlink" xfId="2" builtinId="8"/>
    <cellStyle name="Normal" xfId="0" builtinId="0"/>
    <cellStyle name="Porcentagem" xfId="1" builtinId="5"/>
  </cellStyles>
  <dxfs count="607">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none">
          <fgColor indexed="64"/>
          <bgColor auto="1"/>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color rgb="FFFF0000"/>
      </font>
      <fill>
        <patternFill>
          <bgColor rgb="FFFF0000"/>
        </patternFill>
      </fill>
    </dxf>
    <dxf>
      <font>
        <color rgb="FFFF0000"/>
      </font>
      <fill>
        <patternFill>
          <bgColor rgb="FFFF0000"/>
        </patternFill>
      </fill>
    </dxf>
    <dxf>
      <font>
        <color theme="1"/>
      </font>
      <fill>
        <patternFill patternType="solid">
          <fgColor rgb="FF95D6D3"/>
          <bgColor rgb="FF95D6D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95D6D3"/>
          <bgColor rgb="FF95D6D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95D6D3"/>
          <bgColor rgb="FF95D6D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95D6D3"/>
          <bgColor rgb="FF95D6D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95D6D3"/>
          <bgColor rgb="FF95D6D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95D6D3"/>
          <bgColor rgb="FF95D6D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theme="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u val="none"/>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patternType="solid">
          <fgColor rgb="FFC6E0B3"/>
          <bgColor theme="9" tint="-0.499984740745262"/>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color theme="1"/>
      </font>
      <fill>
        <patternFill>
          <fgColor theme="0"/>
          <bgColor theme="9" tint="0.59996337778862885"/>
        </patternFill>
      </fill>
    </dxf>
    <dxf>
      <font>
        <color theme="0"/>
      </font>
      <fill>
        <patternFill>
          <bgColor theme="0"/>
        </patternFill>
      </fill>
    </dxf>
    <dxf>
      <font>
        <color theme="0"/>
      </font>
      <fill>
        <patternFill>
          <fgColor theme="0"/>
          <bgColor theme="0"/>
        </patternFill>
      </fill>
    </dxf>
    <dxf>
      <font>
        <b/>
        <color rgb="FFFFFFFF"/>
      </font>
      <fill>
        <patternFill patternType="solid">
          <fgColor rgb="FFFFFFFF"/>
          <bgColor rgb="FFFFFFFF"/>
        </patternFill>
      </fill>
      <border>
        <left style="thin">
          <color rgb="FF000000"/>
        </left>
        <right style="thin">
          <color rgb="FF000000"/>
        </right>
        <top style="thin">
          <color rgb="FF000000"/>
        </top>
        <bottom style="thin">
          <color rgb="FF000000"/>
        </bottom>
      </border>
    </dxf>
    <dxf>
      <font>
        <b/>
      </font>
      <fill>
        <patternFill patternType="solid">
          <fgColor rgb="FFC5E0B3"/>
          <bgColor rgb="FFC5E0B3"/>
        </patternFill>
      </fill>
      <border>
        <left style="thin">
          <color rgb="FF000000"/>
        </left>
        <right style="thin">
          <color rgb="FF000000"/>
        </right>
        <top style="thin">
          <color rgb="FF000000"/>
        </top>
        <bottom style="thin">
          <color rgb="FF000000"/>
        </bottom>
      </border>
    </dxf>
    <dxf>
      <font>
        <b/>
        <color rgb="FFFFFFFF"/>
      </font>
      <fill>
        <patternFill patternType="solid">
          <fgColor rgb="FFFFFFFF"/>
          <bgColor rgb="FFFFFFFF"/>
        </patternFill>
      </fill>
      <border>
        <left style="thin">
          <color rgb="FF000000"/>
        </left>
        <right style="thin">
          <color rgb="FF000000"/>
        </right>
        <top style="thin">
          <color rgb="FF000000"/>
        </top>
        <bottom style="thin">
          <color rgb="FF000000"/>
        </bottom>
      </border>
    </dxf>
    <dxf>
      <font>
        <b/>
      </font>
      <fill>
        <patternFill patternType="solid">
          <fgColor rgb="FFFFFFFF"/>
          <bgColor rgb="FFFFFFFF"/>
        </patternFill>
      </fill>
      <border>
        <left style="thin">
          <color rgb="FF000000"/>
        </left>
        <right style="thin">
          <color rgb="FF000000"/>
        </right>
        <top style="thin">
          <color rgb="FF000000"/>
        </top>
        <bottom style="thin">
          <color rgb="FF000000"/>
        </bottom>
      </border>
    </dxf>
    <dxf>
      <font>
        <b/>
        <color rgb="FFFFFFFF"/>
      </font>
      <fill>
        <patternFill patternType="solid">
          <fgColor rgb="FFFFFFFF"/>
          <bgColor rgb="FFFFFFFF"/>
        </patternFill>
      </fill>
      <border>
        <left style="thin">
          <color rgb="FF000000"/>
        </left>
        <right style="thin">
          <color rgb="FF000000"/>
        </right>
        <top style="thin">
          <color rgb="FF000000"/>
        </top>
        <bottom style="thin">
          <color rgb="FF000000"/>
        </bottom>
      </border>
    </dxf>
    <dxf>
      <font>
        <b/>
      </font>
      <fill>
        <patternFill patternType="solid">
          <fgColor rgb="FFFFFFFF"/>
          <bgColor rgb="FFFFFFFF"/>
        </patternFill>
      </fill>
      <border>
        <left style="thin">
          <color rgb="FF000000"/>
        </left>
        <right style="thin">
          <color rgb="FF000000"/>
        </right>
        <top style="thin">
          <color rgb="FF000000"/>
        </top>
        <bottom style="thin">
          <color rgb="FF000000"/>
        </bottom>
      </border>
    </dxf>
    <dxf>
      <fill>
        <patternFill patternType="solid">
          <fgColor rgb="FFF9C300"/>
          <bgColor rgb="FFF9C300"/>
        </patternFill>
      </fill>
    </dxf>
    <dxf>
      <fill>
        <patternFill patternType="solid">
          <fgColor rgb="FFF9C300"/>
          <bgColor rgb="FFF9C300"/>
        </patternFill>
      </fill>
    </dxf>
    <dxf>
      <fill>
        <patternFill patternType="solid">
          <fgColor rgb="FFF9C300"/>
          <bgColor rgb="FFF9C300"/>
        </patternFill>
      </fill>
    </dxf>
    <dxf>
      <fill>
        <patternFill patternType="solid">
          <fgColor rgb="FFC5E0B3"/>
          <bgColor rgb="FFC5E0B3"/>
        </patternFill>
      </fill>
    </dxf>
    <dxf>
      <fill>
        <patternFill patternType="solid">
          <fgColor rgb="FFF9C300"/>
          <bgColor rgb="FFF9C300"/>
        </patternFill>
      </fill>
    </dxf>
    <dxf>
      <fill>
        <patternFill patternType="solid">
          <fgColor rgb="FFC5E0B3"/>
          <bgColor rgb="FFC5E0B3"/>
        </patternFill>
      </fill>
    </dxf>
    <dxf>
      <fill>
        <patternFill>
          <bgColor rgb="FFFF0000"/>
        </patternFill>
      </fill>
    </dxf>
    <dxf>
      <fill>
        <patternFill>
          <bgColor theme="9" tint="0.59996337778862885"/>
        </patternFill>
      </fill>
    </dxf>
    <dxf>
      <fill>
        <patternFill>
          <bgColor theme="0"/>
        </patternFill>
      </fill>
    </dxf>
    <dxf>
      <fill>
        <patternFill patternType="solid">
          <fgColor rgb="FFC5E0B3"/>
          <bgColor rgb="FFC5E0B3"/>
        </patternFill>
      </fill>
    </dxf>
    <dxf>
      <fill>
        <patternFill patternType="solid">
          <fgColor rgb="FFC5E0B3"/>
          <bgColor rgb="FFC5E0B3"/>
        </patternFill>
      </fill>
    </dxf>
    <dxf>
      <fill>
        <patternFill>
          <bgColor rgb="FFFF0000"/>
        </patternFill>
      </fill>
    </dxf>
    <dxf>
      <font>
        <color rgb="FFE32914"/>
      </font>
      <fill>
        <patternFill patternType="none"/>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bgColor rgb="FFFF0000"/>
        </patternFill>
      </fill>
    </dxf>
    <dxf>
      <fill>
        <patternFill patternType="solid">
          <fgColor rgb="FFF9C300"/>
          <bgColor rgb="FFF9C300"/>
        </patternFill>
      </fill>
    </dxf>
    <dxf>
      <fill>
        <patternFill patternType="solid">
          <fgColor rgb="FFF9C300"/>
          <bgColor rgb="FFF9C300"/>
        </patternFill>
      </fill>
    </dxf>
    <dxf>
      <fill>
        <patternFill patternType="solid">
          <fgColor rgb="FFF9C300"/>
          <bgColor rgb="FFF9C300"/>
        </patternFill>
      </fill>
    </dxf>
    <dxf>
      <fill>
        <patternFill patternType="solid">
          <fgColor rgb="FFF9C300"/>
          <bgColor rgb="FFF9C300"/>
        </patternFill>
      </fill>
    </dxf>
    <dxf>
      <fill>
        <patternFill patternType="solid">
          <fgColor rgb="FFC5E0B3"/>
          <bgColor rgb="FFC5E0B3"/>
        </patternFill>
      </fill>
      <border>
        <left style="thin">
          <color rgb="FF000000"/>
        </left>
        <right style="thin">
          <color rgb="FF000000"/>
        </right>
        <top style="thin">
          <color rgb="FF000000"/>
        </top>
        <bottom style="thin">
          <color rgb="FF000000"/>
        </bottom>
      </border>
    </dxf>
    <dxf>
      <font>
        <color rgb="FFFFFFFF"/>
      </font>
      <fill>
        <patternFill patternType="none"/>
      </fill>
    </dxf>
    <dxf>
      <font>
        <color theme="1" tint="0.14996795556505021"/>
      </font>
      <fill>
        <patternFill patternType="solid">
          <fgColor theme="0"/>
          <bgColor theme="0"/>
        </patternFill>
      </fill>
    </dxf>
    <dxf>
      <fill>
        <patternFill patternType="solid">
          <fgColor rgb="FFC5E0B3"/>
          <bgColor rgb="FFC5E0B3"/>
        </patternFill>
      </fill>
    </dxf>
    <dxf>
      <fill>
        <patternFill patternType="solid">
          <fgColor rgb="FFE32914"/>
          <bgColor rgb="FFE32914"/>
        </patternFill>
      </fill>
    </dxf>
    <dxf>
      <fill>
        <patternFill patternType="solid">
          <fgColor rgb="FFC5E0B3"/>
          <bgColor rgb="FFC5E0B3"/>
        </patternFill>
      </fill>
    </dxf>
    <dxf>
      <font>
        <color rgb="FFE32914"/>
      </font>
      <fill>
        <patternFill patternType="none"/>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F9C300"/>
          <bgColor rgb="FFF9C300"/>
        </patternFill>
      </fill>
    </dxf>
    <dxf>
      <fill>
        <patternFill patternType="solid">
          <fgColor rgb="FFF9C300"/>
          <bgColor rgb="FFF9C300"/>
        </patternFill>
      </fill>
    </dxf>
    <dxf>
      <fill>
        <patternFill patternType="solid">
          <fgColor rgb="FFF9C300"/>
          <bgColor rgb="FFF9C300"/>
        </patternFill>
      </fill>
    </dxf>
    <dxf>
      <fill>
        <patternFill patternType="solid">
          <fgColor rgb="FFF9C300"/>
          <bgColor rgb="FFF9C300"/>
        </patternFill>
      </fill>
    </dxf>
    <dxf>
      <fill>
        <patternFill patternType="solid">
          <fgColor rgb="FFF9C300"/>
          <bgColor rgb="FFF9C300"/>
        </patternFill>
      </fill>
    </dxf>
    <dxf>
      <fill>
        <patternFill patternType="solid">
          <fgColor rgb="FFF9C300"/>
          <bgColor rgb="FFF9C300"/>
        </patternFill>
      </fill>
    </dxf>
    <dxf>
      <fill>
        <patternFill patternType="solid">
          <fgColor rgb="FFF9C300"/>
          <bgColor rgb="FFF9C300"/>
        </patternFill>
      </fill>
    </dxf>
    <dxf>
      <fill>
        <patternFill patternType="solid">
          <fgColor rgb="FFC5E0B3"/>
          <bgColor rgb="FFC5E0B3"/>
        </patternFill>
      </fill>
    </dxf>
    <dxf>
      <fill>
        <patternFill>
          <bgColor rgb="FFFF0000"/>
        </patternFill>
      </fill>
    </dxf>
    <dxf>
      <font>
        <color rgb="FFE32914"/>
      </font>
      <fill>
        <patternFill patternType="none"/>
      </fill>
    </dxf>
    <dxf>
      <fill>
        <patternFill patternType="solid">
          <fgColor rgb="FFF9C300"/>
          <bgColor rgb="FFF9C300"/>
        </patternFill>
      </fill>
    </dxf>
    <dxf>
      <fill>
        <patternFill patternType="solid">
          <fgColor rgb="FFF9C300"/>
          <bgColor rgb="FFF9C300"/>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FF0000"/>
          <bgColor rgb="FFFF0000"/>
        </patternFill>
      </fill>
    </dxf>
    <dxf>
      <fill>
        <patternFill patternType="solid">
          <fgColor rgb="FFFF0000"/>
          <bgColor rgb="FFFF0000"/>
        </patternFill>
      </fill>
    </dxf>
    <dxf>
      <fill>
        <patternFill patternType="solid">
          <fgColor rgb="FFFFFFFF"/>
          <bgColor rgb="FFFFFFFF"/>
        </patternFill>
      </fill>
      <border>
        <left style="thin">
          <color rgb="FF000000"/>
        </left>
        <right style="thin">
          <color rgb="FF000000"/>
        </right>
        <top style="thin">
          <color rgb="FF000000"/>
        </top>
        <bottom style="thin">
          <color rgb="FF000000"/>
        </bottom>
      </border>
    </dxf>
    <dxf>
      <fill>
        <patternFill patternType="solid">
          <fgColor rgb="FFFFFFFF"/>
          <bgColor rgb="FFFFFFFF"/>
        </patternFill>
      </fill>
      <border>
        <left style="thin">
          <color rgb="FF000000"/>
        </left>
        <right style="thin">
          <color rgb="FF000000"/>
        </right>
        <top style="thin">
          <color rgb="FF000000"/>
        </top>
        <bottom style="thin">
          <color rgb="FF000000"/>
        </bottom>
      </border>
    </dxf>
    <dxf>
      <fill>
        <patternFill patternType="solid">
          <fgColor rgb="FFFFFFFF"/>
          <bgColor rgb="FFFFFFFF"/>
        </patternFill>
      </fill>
      <border>
        <left style="thin">
          <color rgb="FF000000"/>
        </left>
        <right style="thin">
          <color rgb="FF000000"/>
        </right>
        <top style="thin">
          <color rgb="FF000000"/>
        </top>
        <bottom style="thin">
          <color rgb="FF000000"/>
        </bottom>
      </border>
    </dxf>
    <dxf>
      <fill>
        <patternFill patternType="solid">
          <fgColor rgb="FFFFFFFF"/>
          <bgColor rgb="FFFFFFFF"/>
        </patternFill>
      </fill>
      <border>
        <left style="thin">
          <color rgb="FF000000"/>
        </left>
        <right style="thin">
          <color rgb="FF000000"/>
        </right>
        <top style="thin">
          <color rgb="FF000000"/>
        </top>
        <bottom style="thin">
          <color rgb="FF000000"/>
        </bottom>
      </border>
    </dxf>
    <dxf>
      <fill>
        <patternFill patternType="solid">
          <fgColor rgb="FFFFFFFF"/>
          <bgColor rgb="FFFFFFFF"/>
        </patternFill>
      </fill>
      <border>
        <left style="thin">
          <color rgb="FF000000"/>
        </left>
        <right style="thin">
          <color rgb="FF000000"/>
        </right>
        <top style="thin">
          <color rgb="FF000000"/>
        </top>
        <bottom style="thin">
          <color rgb="FF000000"/>
        </bottom>
      </border>
    </dxf>
    <dxf>
      <fill>
        <patternFill patternType="solid">
          <fgColor rgb="FFFFFFFF"/>
          <bgColor rgb="FFFFFFFF"/>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dxf>
    <dxf>
      <fill>
        <patternFill patternType="solid">
          <fgColor rgb="FFC5E0B3"/>
          <bgColor rgb="FFC5E0B3"/>
        </patternFill>
      </fill>
    </dxf>
  </dxfs>
  <tableStyles count="0" defaultTableStyle="TableStyleMedium2" defaultPivotStyle="PivotStyleLight16"/>
  <colors>
    <mruColors>
      <color rgb="FF4E8C98"/>
      <color rgb="FF76ADB8"/>
      <color rgb="FF5D93AB"/>
      <color rgb="FF548AA2"/>
      <color rgb="FF5A9C88"/>
      <color rgb="FF99B2C3"/>
      <color rgb="FFACCFD8"/>
      <color rgb="FFB6CBCE"/>
      <color rgb="FF52999B"/>
      <color rgb="FF005A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 Id="rId30" Type="http://schemas.microsoft.com/office/2006/relationships/vbaProject" Target="vbaProject.bin"/></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r>
              <a:rPr lang="pt-BR" sz="1800" u="sng">
                <a:solidFill>
                  <a:schemeClr val="bg1"/>
                </a:solidFill>
              </a:rPr>
              <a:t>Indicadores</a:t>
            </a:r>
            <a:r>
              <a:rPr lang="pt-BR" sz="1800" u="sng" baseline="0">
                <a:solidFill>
                  <a:schemeClr val="bg1"/>
                </a:solidFill>
              </a:rPr>
              <a:t> Rota Tecnológica:</a:t>
            </a:r>
            <a:r>
              <a:rPr lang="pt-BR" sz="1800" u="none" baseline="0">
                <a:solidFill>
                  <a:schemeClr val="bg1"/>
                </a:solidFill>
              </a:rPr>
              <a:t> </a:t>
            </a:r>
            <a:r>
              <a:rPr lang="pt-BR" sz="1600" u="none" baseline="0">
                <a:solidFill>
                  <a:schemeClr val="bg1"/>
                </a:solidFill>
              </a:rPr>
              <a:t>Custos Investimento e Operacionais</a:t>
            </a:r>
            <a:endParaRPr lang="pt-BR" sz="1600" u="none">
              <a:solidFill>
                <a:schemeClr val="bg1"/>
              </a:solidFill>
            </a:endParaRPr>
          </a:p>
        </c:rich>
      </c:tx>
      <c:overlay val="0"/>
      <c:spPr>
        <a:noFill/>
        <a:ln>
          <a:noFill/>
        </a:ln>
        <a:effectLst/>
      </c:spPr>
    </c:title>
    <c:autoTitleDeleted val="0"/>
    <c:plotArea>
      <c:layout>
        <c:manualLayout>
          <c:layoutTarget val="inner"/>
          <c:xMode val="edge"/>
          <c:yMode val="edge"/>
          <c:x val="0.19440905797101449"/>
          <c:y val="8.8098494128161536E-2"/>
          <c:w val="0.78058698875442878"/>
          <c:h val="0.78802734433804544"/>
        </c:manualLayout>
      </c:layout>
      <c:barChart>
        <c:barDir val="bar"/>
        <c:grouping val="clustered"/>
        <c:varyColors val="1"/>
        <c:ser>
          <c:idx val="0"/>
          <c:order val="0"/>
          <c:tx>
            <c:strRef>
              <c:f>'R&amp;C-Painel de Controle'!$R$7</c:f>
              <c:strCache>
                <c:ptCount val="1"/>
                <c:pt idx="0">
                  <c:v>Capex (R$/t "Total Anual RSU")</c:v>
                </c:pt>
              </c:strCache>
            </c:strRef>
          </c:tx>
          <c:spPr>
            <a:gradFill rotWithShape="1">
              <a:gsLst>
                <a:gs pos="0">
                  <a:srgbClr val="95D6D3"/>
                </a:gs>
                <a:gs pos="50000">
                  <a:srgbClr val="95D6D3"/>
                </a:gs>
                <a:gs pos="100000">
                  <a:srgbClr val="95D6D3"/>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'R&amp;C-Painel de Controle'!$S$6:$AA$6</c:f>
              <c:strCache>
                <c:ptCount val="9"/>
                <c:pt idx="0">
                  <c:v>Custo Médio Total Coleta RSU</c:v>
                </c:pt>
                <c:pt idx="1">
                  <c:v>Triag. Man</c:v>
                </c:pt>
                <c:pt idx="2">
                  <c:v>Triag. Mec</c:v>
                </c:pt>
                <c:pt idx="3">
                  <c:v>Prod. CDR - Trat. Mec</c:v>
                </c:pt>
                <c:pt idx="4">
                  <c:v>Prod. CDR - Trat. Mec./Biol.</c:v>
                </c:pt>
                <c:pt idx="5">
                  <c:v>Biodigestão Anaeróbia</c:v>
                </c:pt>
                <c:pt idx="6">
                  <c:v>Compostagem</c:v>
                </c:pt>
                <c:pt idx="7">
                  <c:v>Incineração</c:v>
                </c:pt>
                <c:pt idx="8">
                  <c:v>Aterro Sanitário</c:v>
                </c:pt>
              </c:strCache>
            </c:strRef>
          </c:cat>
          <c:val>
            <c:numRef>
              <c:f>'R&amp;C-Painel de Controle'!$S$7:$AA$7</c:f>
              <c:numCache>
                <c:formatCode>0</c:formatCode>
                <c:ptCount val="9"/>
                <c:pt idx="0">
                  <c:v>0</c:v>
                </c:pt>
                <c:pt idx="1">
                  <c:v>30.375538166302764</c:v>
                </c:pt>
                <c:pt idx="2">
                  <c:v>261.05542099983467</c:v>
                </c:pt>
                <c:pt idx="3">
                  <c:v>25.811456103628242</c:v>
                </c:pt>
                <c:pt idx="4">
                  <c:v>0</c:v>
                </c:pt>
                <c:pt idx="5">
                  <c:v>365.30057763955409</c:v>
                </c:pt>
                <c:pt idx="6">
                  <c:v>85.170525825691058</c:v>
                </c:pt>
                <c:pt idx="7">
                  <c:v>949.544733207847</c:v>
                </c:pt>
                <c:pt idx="8">
                  <c:v>56.176029056911588</c:v>
                </c:pt>
              </c:numCache>
            </c:numRef>
          </c:val>
          <c:extLst>
            <c:ext xmlns:c16="http://schemas.microsoft.com/office/drawing/2014/chart" uri="{C3380CC4-5D6E-409C-BE32-E72D297353CC}">
              <c16:uniqueId val="{00000000-45EB-44B2-80D2-228C6456E9F1}"/>
            </c:ext>
          </c:extLst>
        </c:ser>
        <c:ser>
          <c:idx val="1"/>
          <c:order val="1"/>
          <c:tx>
            <c:strRef>
              <c:f>'R&amp;C-Painel de Controle'!$R$8</c:f>
              <c:strCache>
                <c:ptCount val="1"/>
                <c:pt idx="0">
                  <c:v>Capex (R$/t "Entr. Anual Tecnol.")</c:v>
                </c:pt>
              </c:strCache>
            </c:strRef>
          </c:tx>
          <c:spPr>
            <a:gradFill rotWithShape="1">
              <a:gsLst>
                <a:gs pos="0">
                  <a:srgbClr val="00B0F0"/>
                </a:gs>
                <a:gs pos="50000">
                  <a:srgbClr val="00B0F0"/>
                </a:gs>
                <a:gs pos="100000">
                  <a:srgbClr val="00B0F0"/>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'R&amp;C-Painel de Controle'!$S$6:$AA$6</c:f>
              <c:strCache>
                <c:ptCount val="9"/>
                <c:pt idx="0">
                  <c:v>Custo Médio Total Coleta RSU</c:v>
                </c:pt>
                <c:pt idx="1">
                  <c:v>Triag. Man</c:v>
                </c:pt>
                <c:pt idx="2">
                  <c:v>Triag. Mec</c:v>
                </c:pt>
                <c:pt idx="3">
                  <c:v>Prod. CDR - Trat. Mec</c:v>
                </c:pt>
                <c:pt idx="4">
                  <c:v>Prod. CDR - Trat. Mec./Biol.</c:v>
                </c:pt>
                <c:pt idx="5">
                  <c:v>Biodigestão Anaeróbia</c:v>
                </c:pt>
                <c:pt idx="6">
                  <c:v>Compostagem</c:v>
                </c:pt>
                <c:pt idx="7">
                  <c:v>Incineração</c:v>
                </c:pt>
                <c:pt idx="8">
                  <c:v>Aterro Sanitário</c:v>
                </c:pt>
              </c:strCache>
            </c:strRef>
          </c:cat>
          <c:val>
            <c:numRef>
              <c:f>'R&amp;C-Painel de Controle'!$S$8:$AA$8</c:f>
              <c:numCache>
                <c:formatCode>#,##0_ ;[Red]\-#,##0\ </c:formatCode>
                <c:ptCount val="9"/>
                <c:pt idx="0" formatCode="0">
                  <c:v>0</c:v>
                </c:pt>
                <c:pt idx="1">
                  <c:v>1840.9417070486525</c:v>
                </c:pt>
                <c:pt idx="2">
                  <c:v>353.73363279110384</c:v>
                </c:pt>
                <c:pt idx="3">
                  <c:v>398.32493987080619</c:v>
                </c:pt>
                <c:pt idx="4">
                  <c:v>0</c:v>
                </c:pt>
                <c:pt idx="5">
                  <c:v>1062.0190763081278</c:v>
                </c:pt>
                <c:pt idx="6">
                  <c:v>349.56955979088787</c:v>
                </c:pt>
                <c:pt idx="7">
                  <c:v>4335.345593212829</c:v>
                </c:pt>
                <c:pt idx="8">
                  <c:v>147.2750333002258</c:v>
                </c:pt>
              </c:numCache>
            </c:numRef>
          </c:val>
          <c:extLst>
            <c:ext xmlns:c16="http://schemas.microsoft.com/office/drawing/2014/chart" uri="{C3380CC4-5D6E-409C-BE32-E72D297353CC}">
              <c16:uniqueId val="{00000001-45EB-44B2-80D2-228C6456E9F1}"/>
            </c:ext>
          </c:extLst>
        </c:ser>
        <c:ser>
          <c:idx val="2"/>
          <c:order val="2"/>
          <c:tx>
            <c:strRef>
              <c:f>'R&amp;C-Painel de Controle'!$R$9</c:f>
              <c:strCache>
                <c:ptCount val="1"/>
                <c:pt idx="0">
                  <c:v>Opex (R$/t "Total Anual RSU")</c:v>
                </c:pt>
              </c:strCache>
            </c:strRef>
          </c:tx>
          <c:spPr>
            <a:gradFill rotWithShape="1">
              <a:gsLst>
                <a:gs pos="0">
                  <a:srgbClr val="FFFF00"/>
                </a:gs>
                <a:gs pos="50000">
                  <a:srgbClr val="FFFF00"/>
                </a:gs>
                <a:gs pos="100000">
                  <a:srgbClr val="FFFF00"/>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'R&amp;C-Painel de Controle'!$S$6:$AA$6</c:f>
              <c:strCache>
                <c:ptCount val="9"/>
                <c:pt idx="0">
                  <c:v>Custo Médio Total Coleta RSU</c:v>
                </c:pt>
                <c:pt idx="1">
                  <c:v>Triag. Man</c:v>
                </c:pt>
                <c:pt idx="2">
                  <c:v>Triag. Mec</c:v>
                </c:pt>
                <c:pt idx="3">
                  <c:v>Prod. CDR - Trat. Mec</c:v>
                </c:pt>
                <c:pt idx="4">
                  <c:v>Prod. CDR - Trat. Mec./Biol.</c:v>
                </c:pt>
                <c:pt idx="5">
                  <c:v>Biodigestão Anaeróbia</c:v>
                </c:pt>
                <c:pt idx="6">
                  <c:v>Compostagem</c:v>
                </c:pt>
                <c:pt idx="7">
                  <c:v>Incineração</c:v>
                </c:pt>
                <c:pt idx="8">
                  <c:v>Aterro Sanitário</c:v>
                </c:pt>
              </c:strCache>
            </c:strRef>
          </c:cat>
          <c:val>
            <c:numRef>
              <c:f>'R&amp;C-Painel de Controle'!$S$9:$AA$9</c:f>
              <c:numCache>
                <c:formatCode>0</c:formatCode>
                <c:ptCount val="9"/>
                <c:pt idx="0">
                  <c:v>218</c:v>
                </c:pt>
                <c:pt idx="1">
                  <c:v>13.996133566293928</c:v>
                </c:pt>
                <c:pt idx="2">
                  <c:v>48.96191651591981</c:v>
                </c:pt>
                <c:pt idx="3">
                  <c:v>3.8702537336931506</c:v>
                </c:pt>
                <c:pt idx="4">
                  <c:v>0</c:v>
                </c:pt>
                <c:pt idx="5">
                  <c:v>37.736207457629014</c:v>
                </c:pt>
                <c:pt idx="6">
                  <c:v>7.2850557027649829</c:v>
                </c:pt>
                <c:pt idx="7">
                  <c:v>72.392951067868225</c:v>
                </c:pt>
                <c:pt idx="8">
                  <c:v>18.301894443705148</c:v>
                </c:pt>
              </c:numCache>
            </c:numRef>
          </c:val>
          <c:extLst>
            <c:ext xmlns:c16="http://schemas.microsoft.com/office/drawing/2014/chart" uri="{C3380CC4-5D6E-409C-BE32-E72D297353CC}">
              <c16:uniqueId val="{00000002-45EB-44B2-80D2-228C6456E9F1}"/>
            </c:ext>
          </c:extLst>
        </c:ser>
        <c:ser>
          <c:idx val="3"/>
          <c:order val="3"/>
          <c:tx>
            <c:strRef>
              <c:f>'R&amp;C-Painel de Controle'!$R$10</c:f>
              <c:strCache>
                <c:ptCount val="1"/>
                <c:pt idx="0">
                  <c:v>Opex (R$/t "Entr. Anual Tecnol.")</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'R&amp;C-Painel de Controle'!$S$6:$AA$6</c:f>
              <c:strCache>
                <c:ptCount val="9"/>
                <c:pt idx="0">
                  <c:v>Custo Médio Total Coleta RSU</c:v>
                </c:pt>
                <c:pt idx="1">
                  <c:v>Triag. Man</c:v>
                </c:pt>
                <c:pt idx="2">
                  <c:v>Triag. Mec</c:v>
                </c:pt>
                <c:pt idx="3">
                  <c:v>Prod. CDR - Trat. Mec</c:v>
                </c:pt>
                <c:pt idx="4">
                  <c:v>Prod. CDR - Trat. Mec./Biol.</c:v>
                </c:pt>
                <c:pt idx="5">
                  <c:v>Biodigestão Anaeróbia</c:v>
                </c:pt>
                <c:pt idx="6">
                  <c:v>Compostagem</c:v>
                </c:pt>
                <c:pt idx="7">
                  <c:v>Incineração</c:v>
                </c:pt>
                <c:pt idx="8">
                  <c:v>Aterro Sanitário</c:v>
                </c:pt>
              </c:strCache>
            </c:strRef>
          </c:cat>
          <c:val>
            <c:numRef>
              <c:f>'R&amp;C-Painel de Controle'!$S$10:$AA$10</c:f>
              <c:numCache>
                <c:formatCode>#,##0_ ;[Red]\-#,##0\ </c:formatCode>
                <c:ptCount val="9"/>
                <c:pt idx="0" formatCode="0">
                  <c:v>0</c:v>
                </c:pt>
                <c:pt idx="1">
                  <c:v>848.25051916932898</c:v>
                </c:pt>
                <c:pt idx="2">
                  <c:v>66.34406031967454</c:v>
                </c:pt>
                <c:pt idx="3">
                  <c:v>59.726137865635032</c:v>
                </c:pt>
                <c:pt idx="4">
                  <c:v>0</c:v>
                </c:pt>
                <c:pt idx="5">
                  <c:v>109.70848293338048</c:v>
                </c:pt>
                <c:pt idx="6">
                  <c:v>29.900410856680175</c:v>
                </c:pt>
                <c:pt idx="7">
                  <c:v>330.52519846166723</c:v>
                </c:pt>
                <c:pt idx="8" formatCode="0">
                  <c:v>47.981535165527411</c:v>
                </c:pt>
              </c:numCache>
            </c:numRef>
          </c:val>
          <c:extLst>
            <c:ext xmlns:c16="http://schemas.microsoft.com/office/drawing/2014/chart" uri="{C3380CC4-5D6E-409C-BE32-E72D297353CC}">
              <c16:uniqueId val="{00000003-45EB-44B2-80D2-228C6456E9F1}"/>
            </c:ext>
          </c:extLst>
        </c:ser>
        <c:ser>
          <c:idx val="4"/>
          <c:order val="4"/>
          <c:tx>
            <c:strRef>
              <c:f>'R&amp;C-Painel de Controle'!$R$11</c:f>
              <c:strCache>
                <c:ptCount val="1"/>
                <c:pt idx="0">
                  <c:v>Receita Acessória (R$/t "Entr. Anual Tecnol")</c:v>
                </c:pt>
              </c:strCache>
            </c:strRef>
          </c:tx>
          <c:spPr>
            <a:gradFill rotWithShape="1">
              <a:gsLst>
                <a:gs pos="0">
                  <a:srgbClr val="E32914"/>
                </a:gs>
                <a:gs pos="50000">
                  <a:srgbClr val="FF0000"/>
                </a:gs>
                <a:gs pos="100000">
                  <a:srgbClr val="FF0000"/>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'R&amp;C-Painel de Controle'!$S$6:$AA$6</c:f>
              <c:strCache>
                <c:ptCount val="9"/>
                <c:pt idx="0">
                  <c:v>Custo Médio Total Coleta RSU</c:v>
                </c:pt>
                <c:pt idx="1">
                  <c:v>Triag. Man</c:v>
                </c:pt>
                <c:pt idx="2">
                  <c:v>Triag. Mec</c:v>
                </c:pt>
                <c:pt idx="3">
                  <c:v>Prod. CDR - Trat. Mec</c:v>
                </c:pt>
                <c:pt idx="4">
                  <c:v>Prod. CDR - Trat. Mec./Biol.</c:v>
                </c:pt>
                <c:pt idx="5">
                  <c:v>Biodigestão Anaeróbia</c:v>
                </c:pt>
                <c:pt idx="6">
                  <c:v>Compostagem</c:v>
                </c:pt>
                <c:pt idx="7">
                  <c:v>Incineração</c:v>
                </c:pt>
                <c:pt idx="8">
                  <c:v>Aterro Sanitário</c:v>
                </c:pt>
              </c:strCache>
            </c:strRef>
          </c:cat>
          <c:val>
            <c:numRef>
              <c:f>'R&amp;C-Painel de Controle'!$S$11:$AA$11</c:f>
              <c:numCache>
                <c:formatCode>0</c:formatCode>
                <c:ptCount val="9"/>
                <c:pt idx="0">
                  <c:v>0</c:v>
                </c:pt>
                <c:pt idx="1">
                  <c:v>259.59532630379022</c:v>
                </c:pt>
                <c:pt idx="2" formatCode="#,##0">
                  <c:v>91.47041822769323</c:v>
                </c:pt>
                <c:pt idx="3" formatCode="#,##0">
                  <c:v>63.749999999999993</c:v>
                </c:pt>
                <c:pt idx="4" formatCode="#,##0">
                  <c:v>0</c:v>
                </c:pt>
                <c:pt idx="5" formatCode="#,##0">
                  <c:v>56.0625</c:v>
                </c:pt>
                <c:pt idx="6" formatCode="#,##0">
                  <c:v>0</c:v>
                </c:pt>
                <c:pt idx="7" formatCode="#,##0">
                  <c:v>64.549963168959948</c:v>
                </c:pt>
                <c:pt idx="8" formatCode="#,##0">
                  <c:v>4.5384520797380503</c:v>
                </c:pt>
              </c:numCache>
            </c:numRef>
          </c:val>
          <c:extLst>
            <c:ext xmlns:c16="http://schemas.microsoft.com/office/drawing/2014/chart" uri="{C3380CC4-5D6E-409C-BE32-E72D297353CC}">
              <c16:uniqueId val="{00000004-45EB-44B2-80D2-228C6456E9F1}"/>
            </c:ext>
          </c:extLst>
        </c:ser>
        <c:ser>
          <c:idx val="5"/>
          <c:order val="5"/>
          <c:tx>
            <c:strRef>
              <c:f>'R&amp;C-Painel de Controle'!$R$12</c:f>
              <c:strCache>
                <c:ptCount val="1"/>
                <c:pt idx="0">
                  <c:v>Qt (t/d "Entr. Tecnol")</c:v>
                </c:pt>
              </c:strCache>
            </c:strRef>
          </c:tx>
          <c:spPr>
            <a:gradFill rotWithShape="1">
              <a:gsLst>
                <a:gs pos="0">
                  <a:schemeClr val="accent6">
                    <a:lumMod val="50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'R&amp;C-Painel de Controle'!$S$6:$AA$6</c:f>
              <c:strCache>
                <c:ptCount val="9"/>
                <c:pt idx="0">
                  <c:v>Custo Médio Total Coleta RSU</c:v>
                </c:pt>
                <c:pt idx="1">
                  <c:v>Triag. Man</c:v>
                </c:pt>
                <c:pt idx="2">
                  <c:v>Triag. Mec</c:v>
                </c:pt>
                <c:pt idx="3">
                  <c:v>Prod. CDR - Trat. Mec</c:v>
                </c:pt>
                <c:pt idx="4">
                  <c:v>Prod. CDR - Trat. Mec./Biol.</c:v>
                </c:pt>
                <c:pt idx="5">
                  <c:v>Biodigestão Anaeróbia</c:v>
                </c:pt>
                <c:pt idx="6">
                  <c:v>Compostagem</c:v>
                </c:pt>
                <c:pt idx="7">
                  <c:v>Incineração</c:v>
                </c:pt>
                <c:pt idx="8">
                  <c:v>Aterro Sanitário</c:v>
                </c:pt>
              </c:strCache>
            </c:strRef>
          </c:cat>
          <c:val>
            <c:numRef>
              <c:f>'R&amp;C-Painel de Controle'!$S$12:$AA$12</c:f>
              <c:numCache>
                <c:formatCode>0</c:formatCode>
                <c:ptCount val="9"/>
                <c:pt idx="0">
                  <c:v>3000</c:v>
                </c:pt>
                <c:pt idx="1">
                  <c:v>49.499999999999993</c:v>
                </c:pt>
                <c:pt idx="2">
                  <c:v>2214</c:v>
                </c:pt>
                <c:pt idx="3">
                  <c:v>194.4</c:v>
                </c:pt>
                <c:pt idx="4">
                  <c:v>0</c:v>
                </c:pt>
                <c:pt idx="5">
                  <c:v>1031.904</c:v>
                </c:pt>
                <c:pt idx="6">
                  <c:v>730.9319999999999</c:v>
                </c:pt>
                <c:pt idx="7">
                  <c:v>657.07200000000023</c:v>
                </c:pt>
                <c:pt idx="8">
                  <c:v>2104.3085999999998</c:v>
                </c:pt>
              </c:numCache>
            </c:numRef>
          </c:val>
          <c:extLst>
            <c:ext xmlns:c16="http://schemas.microsoft.com/office/drawing/2014/chart" uri="{C3380CC4-5D6E-409C-BE32-E72D297353CC}">
              <c16:uniqueId val="{00000005-45EB-44B2-80D2-228C6456E9F1}"/>
            </c:ext>
          </c:extLst>
        </c:ser>
        <c:dLbls>
          <c:showLegendKey val="0"/>
          <c:showVal val="0"/>
          <c:showCatName val="0"/>
          <c:showSerName val="0"/>
          <c:showPercent val="0"/>
          <c:showBubbleSize val="0"/>
        </c:dLbls>
        <c:gapWidth val="115"/>
        <c:overlap val="-20"/>
        <c:axId val="190785792"/>
        <c:axId val="190804352"/>
      </c:barChart>
      <c:catAx>
        <c:axId val="190785792"/>
        <c:scaling>
          <c:orientation val="maxMin"/>
        </c:scaling>
        <c:delete val="0"/>
        <c:axPos val="l"/>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pt-BR"/>
          </a:p>
        </c:txPr>
        <c:crossAx val="190804352"/>
        <c:crosses val="autoZero"/>
        <c:auto val="1"/>
        <c:lblAlgn val="ctr"/>
        <c:lblOffset val="50"/>
        <c:noMultiLvlLbl val="1"/>
      </c:catAx>
      <c:valAx>
        <c:axId val="190804352"/>
        <c:scaling>
          <c:orientation val="minMax"/>
        </c:scaling>
        <c:delete val="0"/>
        <c:axPos val="b"/>
        <c:majorGridlines>
          <c:spPr>
            <a:ln w="9525" cap="flat" cmpd="sng" algn="ctr">
              <a:solidFill>
                <a:schemeClr val="lt1">
                  <a:lumMod val="95000"/>
                  <a:alpha val="10000"/>
                </a:schemeClr>
              </a:solidFill>
              <a:round/>
            </a:ln>
            <a:effectLst/>
          </c:spPr>
        </c:majorGridlines>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mn-cs"/>
              </a:defRPr>
            </a:pPr>
            <a:endParaRPr lang="pt-BR"/>
          </a:p>
        </c:txPr>
        <c:crossAx val="190785792"/>
        <c:crosses val="max"/>
        <c:crossBetween val="between"/>
      </c:valAx>
      <c:spPr>
        <a:solidFill>
          <a:schemeClr val="tx1">
            <a:lumMod val="75000"/>
            <a:lumOff val="25000"/>
          </a:schemeClr>
        </a:solidFill>
        <a:ln>
          <a:noFill/>
        </a:ln>
        <a:effectLst/>
      </c:spPr>
    </c:plotArea>
    <c:legend>
      <c:legendPos val="b"/>
      <c:layout>
        <c:manualLayout>
          <c:xMode val="edge"/>
          <c:yMode val="edge"/>
          <c:x val="3.2525927527202472E-2"/>
          <c:y val="0.9181609443114237"/>
          <c:w val="0.94088721380986962"/>
          <c:h val="6.976419153079803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HN"/>
              <a:t>PAYBACK (ANOS)</a:t>
            </a:r>
          </a:p>
        </c:rich>
      </c:tx>
      <c:overlay val="0"/>
      <c:spPr>
        <a:noFill/>
        <a:ln>
          <a:noFill/>
        </a:ln>
        <a:effectLst/>
      </c:spPr>
    </c:title>
    <c:autoTitleDeleted val="0"/>
    <c:plotArea>
      <c:layout>
        <c:manualLayout>
          <c:xMode val="edge"/>
          <c:yMode val="edge"/>
          <c:x val="4.7031829415527818E-2"/>
          <c:y val="0.14331111006441466"/>
          <c:w val="0.9433043939022685"/>
          <c:h val="0.65550250707590596"/>
        </c:manualLayout>
      </c:layout>
      <c:barChart>
        <c:barDir val="col"/>
        <c:grouping val="clustered"/>
        <c:varyColors val="1"/>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Avançado'!$AR$11:$AR$31</c:f>
              <c:numCache>
                <c:formatCode>General</c:formatCode>
                <c:ptCount val="2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numCache>
            </c:numRef>
          </c:cat>
          <c:val>
            <c:numRef>
              <c:f>'C-Graf Simul Tarifa Avançado'!$AU$11:$AU$31</c:f>
              <c:numCache>
                <c:formatCode>0.0</c:formatCode>
                <c:ptCount val="21"/>
                <c:pt idx="0">
                  <c:v>26.116451118514554</c:v>
                </c:pt>
                <c:pt idx="1">
                  <c:v>26.116451118514554</c:v>
                </c:pt>
                <c:pt idx="2">
                  <c:v>26.116451118514554</c:v>
                </c:pt>
                <c:pt idx="3">
                  <c:v>26.116451118514554</c:v>
                </c:pt>
                <c:pt idx="4">
                  <c:v>26.116451118514554</c:v>
                </c:pt>
                <c:pt idx="5">
                  <c:v>26.116451118514554</c:v>
                </c:pt>
                <c:pt idx="6">
                  <c:v>26.116451118514554</c:v>
                </c:pt>
                <c:pt idx="7">
                  <c:v>26.116451118514554</c:v>
                </c:pt>
                <c:pt idx="8">
                  <c:v>26.116451118514554</c:v>
                </c:pt>
                <c:pt idx="9">
                  <c:v>26.116451118514554</c:v>
                </c:pt>
                <c:pt idx="10">
                  <c:v>26.116451118514554</c:v>
                </c:pt>
                <c:pt idx="11">
                  <c:v>26.116451118514554</c:v>
                </c:pt>
                <c:pt idx="12">
                  <c:v>26.116451118514554</c:v>
                </c:pt>
                <c:pt idx="13">
                  <c:v>26.116451118514554</c:v>
                </c:pt>
                <c:pt idx="14">
                  <c:v>26.116451118514554</c:v>
                </c:pt>
                <c:pt idx="15">
                  <c:v>26.116451118514554</c:v>
                </c:pt>
                <c:pt idx="16">
                  <c:v>26.116451118514554</c:v>
                </c:pt>
                <c:pt idx="17">
                  <c:v>26.116451118514554</c:v>
                </c:pt>
                <c:pt idx="18">
                  <c:v>26.116451118514554</c:v>
                </c:pt>
                <c:pt idx="19">
                  <c:v>26.116451118514554</c:v>
                </c:pt>
                <c:pt idx="20">
                  <c:v>26.116451118514554</c:v>
                </c:pt>
              </c:numCache>
            </c:numRef>
          </c:val>
          <c:extLst>
            <c:ext xmlns:c16="http://schemas.microsoft.com/office/drawing/2014/chart" uri="{C3380CC4-5D6E-409C-BE32-E72D297353CC}">
              <c16:uniqueId val="{00000000-FBC1-49E7-892B-21D58D20B665}"/>
            </c:ext>
          </c:extLst>
        </c:ser>
        <c:ser>
          <c:idx val="1"/>
          <c:order val="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Avançado'!$AR$11:$AR$31</c:f>
              <c:numCache>
                <c:formatCode>General</c:formatCode>
                <c:ptCount val="2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numCache>
            </c:numRef>
          </c:cat>
          <c:val>
            <c:numRef>
              <c:f>'C-Graf Simul Tarifa Avançado'!$AY$11:$AY$31</c:f>
              <c:numCache>
                <c:formatCode>0.0</c:formatCode>
                <c:ptCount val="21"/>
                <c:pt idx="0">
                  <c:v>37.543641422648562</c:v>
                </c:pt>
                <c:pt idx="1">
                  <c:v>37.543641422648562</c:v>
                </c:pt>
                <c:pt idx="2">
                  <c:v>37.543641422648562</c:v>
                </c:pt>
                <c:pt idx="3">
                  <c:v>37.543641422648562</c:v>
                </c:pt>
                <c:pt idx="4">
                  <c:v>37.543641422648562</c:v>
                </c:pt>
                <c:pt idx="5">
                  <c:v>37.543641422648562</c:v>
                </c:pt>
                <c:pt idx="6">
                  <c:v>37.543641422648562</c:v>
                </c:pt>
                <c:pt idx="7">
                  <c:v>37.543641422648562</c:v>
                </c:pt>
                <c:pt idx="8">
                  <c:v>37.543641422648562</c:v>
                </c:pt>
                <c:pt idx="9">
                  <c:v>37.543641422648562</c:v>
                </c:pt>
                <c:pt idx="10">
                  <c:v>37.543641422648562</c:v>
                </c:pt>
                <c:pt idx="11">
                  <c:v>37.543641422648562</c:v>
                </c:pt>
                <c:pt idx="12">
                  <c:v>37.543641422648562</c:v>
                </c:pt>
                <c:pt idx="13">
                  <c:v>37.543641422648562</c:v>
                </c:pt>
                <c:pt idx="14">
                  <c:v>37.543641422648562</c:v>
                </c:pt>
                <c:pt idx="15">
                  <c:v>37.543641422648562</c:v>
                </c:pt>
                <c:pt idx="16">
                  <c:v>37.543641422648562</c:v>
                </c:pt>
                <c:pt idx="17">
                  <c:v>37.543641422648562</c:v>
                </c:pt>
                <c:pt idx="18">
                  <c:v>37.543641422648562</c:v>
                </c:pt>
                <c:pt idx="19">
                  <c:v>37.543641422648562</c:v>
                </c:pt>
                <c:pt idx="20">
                  <c:v>37.543641422648562</c:v>
                </c:pt>
              </c:numCache>
            </c:numRef>
          </c:val>
          <c:extLst>
            <c:ext xmlns:c16="http://schemas.microsoft.com/office/drawing/2014/chart" uri="{C3380CC4-5D6E-409C-BE32-E72D297353CC}">
              <c16:uniqueId val="{00000001-FBC1-49E7-892B-21D58D20B665}"/>
            </c:ext>
          </c:extLst>
        </c:ser>
        <c:dLbls>
          <c:showLegendKey val="0"/>
          <c:showVal val="0"/>
          <c:showCatName val="0"/>
          <c:showSerName val="0"/>
          <c:showPercent val="0"/>
          <c:showBubbleSize val="0"/>
        </c:dLbls>
        <c:gapWidth val="100"/>
        <c:overlap val="-24"/>
        <c:axId val="220542848"/>
        <c:axId val="220557312"/>
      </c:barChart>
      <c:catAx>
        <c:axId val="220542848"/>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20557312"/>
        <c:crosses val="autoZero"/>
        <c:auto val="1"/>
        <c:lblAlgn val="ctr"/>
        <c:lblOffset val="100"/>
        <c:noMultiLvlLbl val="1"/>
      </c:catAx>
      <c:valAx>
        <c:axId val="220557312"/>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20542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r>
              <a:rPr lang="es-HN" sz="1800">
                <a:solidFill>
                  <a:schemeClr val="bg1"/>
                </a:solidFill>
              </a:rPr>
              <a:t>VALOR DA TARIFA vs META de PAYBACK Simples </a:t>
            </a:r>
          </a:p>
        </c:rich>
      </c:tx>
      <c:overlay val="0"/>
      <c:spPr>
        <a:noFill/>
        <a:ln>
          <a:noFill/>
        </a:ln>
        <a:effectLst/>
      </c:spPr>
      <c:txPr>
        <a:bodyPr rot="0" spcFirstLastPara="1" vertOverflow="ellipsis" vert="horz" wrap="square" anchor="ctr" anchorCtr="1"/>
        <a:lstStyle/>
        <a:p>
          <a:pPr>
            <a:defRPr sz="18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endParaRPr lang="pt-BR"/>
        </a:p>
      </c:txPr>
    </c:title>
    <c:autoTitleDeleted val="0"/>
    <c:plotArea>
      <c:layout/>
      <c:scatterChart>
        <c:scatterStyle val="lineMarker"/>
        <c:varyColors val="0"/>
        <c:ser>
          <c:idx val="0"/>
          <c:order val="0"/>
          <c:tx>
            <c:strRef>
              <c:f>'C-Graf Simul Tarifa Simples'!$C$53</c:f>
              <c:strCache>
                <c:ptCount val="1"/>
                <c:pt idx="0">
                  <c:v>R$/t RSU</c:v>
                </c:pt>
              </c:strCache>
            </c:strRef>
          </c:tx>
          <c:spPr>
            <a:ln w="34925" cap="rnd">
              <a:solidFill>
                <a:srgbClr val="00B0F0"/>
              </a:solidFill>
              <a:round/>
            </a:ln>
            <a:effectLst>
              <a:outerShdw blurRad="57150" dist="19050" dir="5400000" algn="ctr" rotWithShape="0">
                <a:srgbClr val="000000">
                  <a:alpha val="63000"/>
                </a:srgbClr>
              </a:outerShdw>
            </a:effectLst>
          </c:spPr>
          <c:marker>
            <c:symbol val="circle"/>
            <c:size val="6"/>
            <c:spPr>
              <a:solidFill>
                <a:srgbClr val="00B0F0"/>
              </a:solidFill>
              <a:ln w="9525">
                <a:noFill/>
                <a:round/>
              </a:ln>
              <a:effectLst>
                <a:outerShdw blurRad="57150" dist="19050" dir="5400000" algn="ctr" rotWithShape="0">
                  <a:srgbClr val="000000">
                    <a:alpha val="63000"/>
                  </a:srgbClr>
                </a:outerShdw>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rgbClr val="00B0F0"/>
                    </a:solidFill>
                    <a:latin typeface="+mn-lt"/>
                    <a:ea typeface="+mn-ea"/>
                    <a:cs typeface="+mn-cs"/>
                  </a:defRPr>
                </a:pPr>
                <a:endParaRPr lang="pt-BR"/>
              </a:p>
            </c:txPr>
            <c:dLblPos val="b"/>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xVal>
            <c:numRef>
              <c:f>'C-Graf Simul Tarifa Simples'!$D$54:$BA$54</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xVal>
          <c:yVal>
            <c:numRef>
              <c:f>'C-Graf Simul Tarifa Simples'!$D$53:$BA$53</c:f>
              <c:numCache>
                <c:formatCode>0</c:formatCode>
                <c:ptCount val="50"/>
                <c:pt idx="2">
                  <c:v>858.30722272042669</c:v>
                </c:pt>
                <c:pt idx="3">
                  <c:v>710.52103263711251</c:v>
                </c:pt>
                <c:pt idx="4">
                  <c:v>621.84931858712412</c:v>
                </c:pt>
                <c:pt idx="5">
                  <c:v>562.73484255379833</c:v>
                </c:pt>
                <c:pt idx="6">
                  <c:v>520.51021681570865</c:v>
                </c:pt>
                <c:pt idx="7">
                  <c:v>488.84174751214135</c:v>
                </c:pt>
                <c:pt idx="8">
                  <c:v>464.21071583158908</c:v>
                </c:pt>
                <c:pt idx="9">
                  <c:v>444.50589048714716</c:v>
                </c:pt>
                <c:pt idx="10">
                  <c:v>428.38376065987654</c:v>
                </c:pt>
                <c:pt idx="11">
                  <c:v>414.94865247048432</c:v>
                </c:pt>
                <c:pt idx="12">
                  <c:v>403.58048400253699</c:v>
                </c:pt>
                <c:pt idx="13">
                  <c:v>393.83633960143936</c:v>
                </c:pt>
                <c:pt idx="14">
                  <c:v>385.39141445382154</c:v>
                </c:pt>
                <c:pt idx="15">
                  <c:v>378.00210494965575</c:v>
                </c:pt>
                <c:pt idx="16">
                  <c:v>371.48212597539191</c:v>
                </c:pt>
                <c:pt idx="17">
                  <c:v>365.68658910937967</c:v>
                </c:pt>
                <c:pt idx="18">
                  <c:v>360.50110875557914</c:v>
                </c:pt>
                <c:pt idx="19">
                  <c:v>355.83417643715865</c:v>
                </c:pt>
                <c:pt idx="20">
                  <c:v>351.61171386334968</c:v>
                </c:pt>
                <c:pt idx="21">
                  <c:v>347.77311152352337</c:v>
                </c:pt>
                <c:pt idx="22">
                  <c:v>344.26830069150799</c:v>
                </c:pt>
                <c:pt idx="23">
                  <c:v>341.05555742882723</c:v>
                </c:pt>
                <c:pt idx="24">
                  <c:v>338.09983362716099</c:v>
                </c:pt>
                <c:pt idx="25">
                  <c:v>335.37147319485371</c:v>
                </c:pt>
                <c:pt idx="26">
                  <c:v>332.84521353530977</c:v>
                </c:pt>
                <c:pt idx="27">
                  <c:v>330.49940099430484</c:v>
                </c:pt>
                <c:pt idx="28">
                  <c:v>328.31536862854159</c:v>
                </c:pt>
                <c:pt idx="29">
                  <c:v>326.27693842049587</c:v>
                </c:pt>
                <c:pt idx="30">
                  <c:v>324.3700198387757</c:v>
                </c:pt>
                <c:pt idx="31">
                  <c:v>322.58228366841297</c:v>
                </c:pt>
                <c:pt idx="32">
                  <c:v>320.90289514473898</c:v>
                </c:pt>
                <c:pt idx="33">
                  <c:v>319.32229418128105</c:v>
                </c:pt>
                <c:pt idx="34">
                  <c:v>317.83201327287793</c:v>
                </c:pt>
                <c:pt idx="35">
                  <c:v>316.4245257482749</c:v>
                </c:pt>
                <c:pt idx="36">
                  <c:v>315.09311863040716</c:v>
                </c:pt>
                <c:pt idx="37">
                  <c:v>313.83178557137467</c:v>
                </c:pt>
                <c:pt idx="38">
                  <c:v>312.63513625895916</c:v>
                </c:pt>
                <c:pt idx="39">
                  <c:v>311.49831941216439</c:v>
                </c:pt>
                <c:pt idx="40">
                  <c:v>310.41695704570117</c:v>
                </c:pt>
                <c:pt idx="41">
                  <c:v>309.38708812525994</c:v>
                </c:pt>
                <c:pt idx="42">
                  <c:v>308.40512008483927</c:v>
                </c:pt>
                <c:pt idx="43">
                  <c:v>307.46778695534681</c:v>
                </c:pt>
                <c:pt idx="44">
                  <c:v>306.57211307605394</c:v>
                </c:pt>
                <c:pt idx="45">
                  <c:v>305.71538153933915</c:v>
                </c:pt>
                <c:pt idx="46">
                  <c:v>304.89510666376106</c:v>
                </c:pt>
                <c:pt idx="47">
                  <c:v>304.10900990799871</c:v>
                </c:pt>
                <c:pt idx="48">
                  <c:v>303.35499873410424</c:v>
                </c:pt>
                <c:pt idx="49">
                  <c:v>302.63114800716556</c:v>
                </c:pt>
              </c:numCache>
            </c:numRef>
          </c:yVal>
          <c:smooth val="1"/>
          <c:extLst>
            <c:ext xmlns:c16="http://schemas.microsoft.com/office/drawing/2014/chart" uri="{C3380CC4-5D6E-409C-BE32-E72D297353CC}">
              <c16:uniqueId val="{00000000-348D-46C7-A673-B9E7947550F6}"/>
            </c:ext>
          </c:extLst>
        </c:ser>
        <c:dLbls>
          <c:showLegendKey val="0"/>
          <c:showVal val="0"/>
          <c:showCatName val="0"/>
          <c:showSerName val="0"/>
          <c:showPercent val="0"/>
          <c:showBubbleSize val="0"/>
        </c:dLbls>
        <c:axId val="201969664"/>
        <c:axId val="201971584"/>
      </c:scatterChart>
      <c:scatterChart>
        <c:scatterStyle val="lineMarker"/>
        <c:varyColors val="0"/>
        <c:ser>
          <c:idx val="1"/>
          <c:order val="1"/>
          <c:tx>
            <c:strRef>
              <c:f>'C-Graf Simul Tarifa Simples'!$C$52</c:f>
              <c:strCache>
                <c:ptCount val="1"/>
                <c:pt idx="0">
                  <c:v>R$.hab.-1.m-1</c:v>
                </c:pt>
              </c:strCache>
            </c:strRef>
          </c:tx>
          <c:spPr>
            <a:ln w="34925" cap="rnd">
              <a:solidFill>
                <a:schemeClr val="accent2"/>
              </a:solid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2"/>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xVal>
            <c:numRef>
              <c:f>'C-Graf Simul Tarifa Simples'!$D$54:$BA$54</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xVal>
          <c:yVal>
            <c:numRef>
              <c:f>'C-Graf Simul Tarifa Simples'!$D$52:$BA$52</c:f>
              <c:numCache>
                <c:formatCode>0</c:formatCode>
                <c:ptCount val="50"/>
                <c:pt idx="2">
                  <c:v>30.899060017935359</c:v>
                </c:pt>
                <c:pt idx="3">
                  <c:v>25.578757174936047</c:v>
                </c:pt>
                <c:pt idx="4">
                  <c:v>22.386575469136467</c:v>
                </c:pt>
                <c:pt idx="5">
                  <c:v>20.25845433193674</c:v>
                </c:pt>
                <c:pt idx="6">
                  <c:v>18.73836780536551</c:v>
                </c:pt>
                <c:pt idx="7">
                  <c:v>17.598302910437088</c:v>
                </c:pt>
                <c:pt idx="8">
                  <c:v>16.711585769937205</c:v>
                </c:pt>
                <c:pt idx="9">
                  <c:v>16.002212057537296</c:v>
                </c:pt>
                <c:pt idx="10">
                  <c:v>15.421815383755554</c:v>
                </c:pt>
                <c:pt idx="11">
                  <c:v>14.938151488937434</c:v>
                </c:pt>
                <c:pt idx="12">
                  <c:v>14.52889742409133</c:v>
                </c:pt>
                <c:pt idx="13">
                  <c:v>14.178108225651815</c:v>
                </c:pt>
                <c:pt idx="14">
                  <c:v>13.874090920337574</c:v>
                </c:pt>
                <c:pt idx="15">
                  <c:v>13.608075778187606</c:v>
                </c:pt>
                <c:pt idx="16">
                  <c:v>13.373356535114107</c:v>
                </c:pt>
                <c:pt idx="17">
                  <c:v>13.164717207937667</c:v>
                </c:pt>
                <c:pt idx="18">
                  <c:v>12.978039915200847</c:v>
                </c:pt>
                <c:pt idx="19">
                  <c:v>12.81003035173771</c:v>
                </c:pt>
                <c:pt idx="20">
                  <c:v>12.658021699080587</c:v>
                </c:pt>
                <c:pt idx="21">
                  <c:v>12.519832014846841</c:v>
                </c:pt>
                <c:pt idx="22">
                  <c:v>12.393658824894286</c:v>
                </c:pt>
                <c:pt idx="23">
                  <c:v>12.278000067437778</c:v>
                </c:pt>
                <c:pt idx="24">
                  <c:v>12.171594010577795</c:v>
                </c:pt>
                <c:pt idx="25">
                  <c:v>12.073373035014733</c:v>
                </c:pt>
                <c:pt idx="26">
                  <c:v>11.982427687271151</c:v>
                </c:pt>
                <c:pt idx="27">
                  <c:v>11.897978435794974</c:v>
                </c:pt>
                <c:pt idx="28">
                  <c:v>11.819353270627497</c:v>
                </c:pt>
                <c:pt idx="29">
                  <c:v>11.74596978313785</c:v>
                </c:pt>
                <c:pt idx="30">
                  <c:v>11.677320714195924</c:v>
                </c:pt>
                <c:pt idx="31">
                  <c:v>11.612962212062866</c:v>
                </c:pt>
                <c:pt idx="32">
                  <c:v>11.552504225210603</c:v>
                </c:pt>
                <c:pt idx="33">
                  <c:v>11.495602590526117</c:v>
                </c:pt>
                <c:pt idx="34">
                  <c:v>11.441952477823605</c:v>
                </c:pt>
                <c:pt idx="35">
                  <c:v>11.391282926937896</c:v>
                </c:pt>
                <c:pt idx="36">
                  <c:v>11.343352270694657</c:v>
                </c:pt>
                <c:pt idx="37">
                  <c:v>11.297944280569487</c:v>
                </c:pt>
                <c:pt idx="38">
                  <c:v>11.254864905322529</c:v>
                </c:pt>
                <c:pt idx="39">
                  <c:v>11.213939498837917</c:v>
                </c:pt>
                <c:pt idx="40">
                  <c:v>11.175010453645241</c:v>
                </c:pt>
                <c:pt idx="41">
                  <c:v>11.137935172509357</c:v>
                </c:pt>
                <c:pt idx="42">
                  <c:v>11.102584323054213</c:v>
                </c:pt>
                <c:pt idx="43">
                  <c:v>11.068840330392485</c:v>
                </c:pt>
                <c:pt idx="44">
                  <c:v>11.036596070737941</c:v>
                </c:pt>
                <c:pt idx="45">
                  <c:v>11.005753735416208</c:v>
                </c:pt>
                <c:pt idx="46">
                  <c:v>10.976223839895397</c:v>
                </c:pt>
                <c:pt idx="47">
                  <c:v>10.947924356687952</c:v>
                </c:pt>
                <c:pt idx="48">
                  <c:v>10.920779954427752</c:v>
                </c:pt>
                <c:pt idx="49">
                  <c:v>10.89472132825796</c:v>
                </c:pt>
              </c:numCache>
            </c:numRef>
          </c:yVal>
          <c:smooth val="0"/>
          <c:extLst>
            <c:ext xmlns:c16="http://schemas.microsoft.com/office/drawing/2014/chart" uri="{C3380CC4-5D6E-409C-BE32-E72D297353CC}">
              <c16:uniqueId val="{00000001-5E60-4ECB-9F4E-BFDDF3CF610F}"/>
            </c:ext>
          </c:extLst>
        </c:ser>
        <c:dLbls>
          <c:showLegendKey val="0"/>
          <c:showVal val="0"/>
          <c:showCatName val="0"/>
          <c:showSerName val="0"/>
          <c:showPercent val="0"/>
          <c:showBubbleSize val="0"/>
        </c:dLbls>
        <c:axId val="201975296"/>
        <c:axId val="201973760"/>
      </c:scatterChart>
      <c:valAx>
        <c:axId val="201969664"/>
        <c:scaling>
          <c:orientation val="minMax"/>
          <c:max val="50"/>
        </c:scaling>
        <c:delete val="0"/>
        <c:axPos val="b"/>
        <c:majorGridlines>
          <c:spPr>
            <a:ln w="9525" cap="flat" cmpd="sng" algn="ctr">
              <a:solidFill>
                <a:schemeClr val="lt1">
                  <a:lumMod val="95000"/>
                  <a:alpha val="10000"/>
                </a:schemeClr>
              </a:solidFill>
              <a:round/>
            </a:ln>
            <a:effectLst/>
          </c:spPr>
        </c:majorGridlines>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pt-B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lt1">
                    <a:lumMod val="85000"/>
                  </a:schemeClr>
                </a:solidFill>
                <a:latin typeface="+mn-lt"/>
                <a:ea typeface="+mn-ea"/>
                <a:cs typeface="+mn-cs"/>
              </a:defRPr>
            </a:pPr>
            <a:endParaRPr lang="pt-BR"/>
          </a:p>
        </c:txPr>
        <c:crossAx val="201971584"/>
        <c:crossesAt val="0"/>
        <c:crossBetween val="midCat"/>
      </c:valAx>
      <c:valAx>
        <c:axId val="201971584"/>
        <c:scaling>
          <c:orientation val="minMax"/>
          <c:min val="0"/>
        </c:scaling>
        <c:delete val="0"/>
        <c:axPos val="l"/>
        <c:majorGridlines>
          <c:spPr>
            <a:ln w="9525" cap="flat" cmpd="sng" algn="ctr">
              <a:solidFill>
                <a:schemeClr val="lt1">
                  <a:lumMod val="95000"/>
                  <a:alpha val="10000"/>
                </a:schemeClr>
              </a:solidFill>
              <a:round/>
            </a:ln>
            <a:effectLst/>
          </c:spPr>
        </c:majorGridlines>
        <c:minorGridlines>
          <c:spPr>
            <a:ln>
              <a:solidFill>
                <a:schemeClr val="lt1">
                  <a:lumMod val="95000"/>
                  <a:alpha val="5000"/>
                </a:schemeClr>
              </a:solidFill>
            </a:ln>
            <a:effectLst/>
          </c:spPr>
        </c:min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pt-BR"/>
            </a:p>
          </c:txPr>
        </c:title>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chemeClr val="lt1">
                    <a:lumMod val="85000"/>
                  </a:schemeClr>
                </a:solidFill>
                <a:latin typeface="+mn-lt"/>
                <a:ea typeface="+mn-ea"/>
                <a:cs typeface="+mn-cs"/>
              </a:defRPr>
            </a:pPr>
            <a:endParaRPr lang="pt-BR"/>
          </a:p>
        </c:txPr>
        <c:crossAx val="201969664"/>
        <c:crossesAt val="0"/>
        <c:crossBetween val="midCat"/>
      </c:valAx>
      <c:valAx>
        <c:axId val="201973760"/>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lt1">
                    <a:lumMod val="85000"/>
                  </a:schemeClr>
                </a:solidFill>
                <a:latin typeface="+mn-lt"/>
                <a:ea typeface="+mn-ea"/>
                <a:cs typeface="+mn-cs"/>
              </a:defRPr>
            </a:pPr>
            <a:endParaRPr lang="pt-BR"/>
          </a:p>
        </c:txPr>
        <c:crossAx val="201975296"/>
        <c:crosses val="max"/>
        <c:crossBetween val="midCat"/>
      </c:valAx>
      <c:valAx>
        <c:axId val="201975296"/>
        <c:scaling>
          <c:orientation val="minMax"/>
        </c:scaling>
        <c:delete val="1"/>
        <c:axPos val="b"/>
        <c:numFmt formatCode="General" sourceLinked="1"/>
        <c:majorTickMark val="none"/>
        <c:minorTickMark val="none"/>
        <c:tickLblPos val="nextTo"/>
        <c:crossAx val="201973760"/>
        <c:crosses val="autoZero"/>
        <c:crossBetween val="midCat"/>
      </c:valAx>
      <c:spPr>
        <a:noFill/>
        <a:ln>
          <a:noFill/>
        </a:ln>
        <a:effectLst/>
      </c:spPr>
    </c:plotArea>
    <c:legend>
      <c:legendPos val="b"/>
      <c:legendEntry>
        <c:idx val="0"/>
        <c:txPr>
          <a:bodyPr rot="0" spcFirstLastPara="1" vertOverflow="ellipsis" vert="horz" wrap="square" anchor="ctr" anchorCtr="1"/>
          <a:lstStyle/>
          <a:p>
            <a:pPr>
              <a:defRPr sz="1600" b="1" i="0" u="none" strike="noStrike" kern="1200" baseline="0">
                <a:solidFill>
                  <a:srgbClr val="00B0F0"/>
                </a:solidFill>
                <a:latin typeface="+mn-lt"/>
                <a:ea typeface="+mn-ea"/>
                <a:cs typeface="+mn-cs"/>
              </a:defRPr>
            </a:pPr>
            <a:endParaRPr lang="pt-BR"/>
          </a:p>
        </c:txPr>
      </c:legendEntry>
      <c:legendEntry>
        <c:idx val="1"/>
        <c:txPr>
          <a:bodyPr rot="0" spcFirstLastPara="1" vertOverflow="ellipsis" vert="horz" wrap="square" anchor="ctr" anchorCtr="1"/>
          <a:lstStyle/>
          <a:p>
            <a:pPr>
              <a:defRPr sz="1600" b="1" i="0" u="none" strike="noStrike" kern="1200" baseline="0">
                <a:solidFill>
                  <a:schemeClr val="accent2"/>
                </a:solidFill>
                <a:latin typeface="+mn-lt"/>
                <a:ea typeface="+mn-ea"/>
                <a:cs typeface="+mn-cs"/>
              </a:defRPr>
            </a:pPr>
            <a:endParaRPr lang="pt-BR"/>
          </a:p>
        </c:txPr>
      </c:legendEntry>
      <c:layout>
        <c:manualLayout>
          <c:xMode val="edge"/>
          <c:yMode val="edge"/>
          <c:x val="0.39545457465379547"/>
          <c:y val="0.91044284232070272"/>
          <c:w val="0.31106923127572544"/>
          <c:h val="4.2174486199152907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lt1">
                  <a:lumMod val="85000"/>
                </a:schemeClr>
              </a:solidFill>
              <a:latin typeface="+mn-lt"/>
              <a:ea typeface="+mn-ea"/>
              <a:cs typeface="+mn-cs"/>
            </a:defRPr>
          </a:pPr>
          <a:endParaRPr lang="pt-BR"/>
        </a:p>
      </c:txPr>
    </c:legend>
    <c:plotVisOnly val="1"/>
    <c:dispBlanksAs val="gap"/>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HN"/>
              <a:t>Evolução do Fluxo de Caixa Financeiro — Projeto e Acionista</a:t>
            </a:r>
          </a:p>
        </c:rich>
      </c:tx>
      <c:overlay val="0"/>
      <c:spPr>
        <a:noFill/>
        <a:ln>
          <a:noFill/>
        </a:ln>
        <a:effectLst/>
      </c:spPr>
    </c:title>
    <c:autoTitleDeleted val="0"/>
    <c:plotArea>
      <c:layout/>
      <c:lineChart>
        <c:grouping val="standard"/>
        <c:varyColors val="1"/>
        <c:ser>
          <c:idx val="0"/>
          <c:order val="0"/>
          <c:tx>
            <c:strRef>
              <c:f>'C-FCL Real'!$B$160</c:f>
              <c:strCache>
                <c:ptCount val="1"/>
                <c:pt idx="0">
                  <c:v>VPL Projeto Acc. (MR$)</c:v>
                </c:pt>
              </c:strCache>
            </c:strRef>
          </c:tx>
          <c:spPr>
            <a:ln w="34925" cap="rnd">
              <a:solidFill>
                <a:srgbClr val="00B0F0"/>
              </a:solidFill>
              <a:round/>
            </a:ln>
            <a:effectLst>
              <a:outerShdw blurRad="57150" dist="19050" dir="5400000" algn="ctr" rotWithShape="0">
                <a:srgbClr val="000000">
                  <a:alpha val="63000"/>
                </a:srgbClr>
              </a:outerShdw>
            </a:effectLst>
          </c:spPr>
          <c:marker>
            <c:symbol val="circle"/>
            <c:size val="6"/>
            <c:spPr>
              <a:gradFill rotWithShape="1">
                <a:gsLst>
                  <a:gs pos="0">
                    <a:srgbClr val="00B0F0"/>
                  </a:gs>
                  <a:gs pos="50000">
                    <a:srgbClr val="00B0F0"/>
                  </a:gs>
                  <a:gs pos="100000">
                    <a:srgbClr val="00B0F0"/>
                  </a:gs>
                </a:gsLst>
                <a:lin ang="5400000" scaled="0"/>
              </a:gradFill>
              <a:ln w="9525">
                <a:solidFill>
                  <a:schemeClr val="accent1"/>
                </a:solidFill>
                <a:round/>
              </a:ln>
              <a:effectLst>
                <a:outerShdw blurRad="57150" dist="19050" dir="5400000" algn="ctr" rotWithShape="0">
                  <a:srgbClr val="000000">
                    <a:alpha val="63000"/>
                  </a:srgbClr>
                </a:outerShdw>
              </a:effectLst>
            </c:spPr>
          </c:marker>
          <c:val>
            <c:numRef>
              <c:f>'C-FCL Real'!$C$160:$BC$160</c:f>
              <c:numCache>
                <c:formatCode>#,##0.000_ ;[Red]\-#,##0.000\ </c:formatCode>
                <c:ptCount val="53"/>
                <c:pt idx="0">
                  <c:v>-156.17425093485289</c:v>
                </c:pt>
                <c:pt idx="1">
                  <c:v>-675.38354719447136</c:v>
                </c:pt>
                <c:pt idx="2">
                  <c:v>-1071.7613760745949</c:v>
                </c:pt>
                <c:pt idx="3">
                  <c:v>-1027.7575520551368</c:v>
                </c:pt>
                <c:pt idx="4">
                  <c:v>-981.04129968899417</c:v>
                </c:pt>
                <c:pt idx="5">
                  <c:v>-934.32504732285156</c:v>
                </c:pt>
                <c:pt idx="6">
                  <c:v>-887.60879495670895</c:v>
                </c:pt>
                <c:pt idx="7">
                  <c:v>-840.89254259056634</c:v>
                </c:pt>
                <c:pt idx="8">
                  <c:v>-794.17629022442372</c:v>
                </c:pt>
                <c:pt idx="9">
                  <c:v>-747.46003785828111</c:v>
                </c:pt>
                <c:pt idx="10">
                  <c:v>-700.7437854921385</c:v>
                </c:pt>
                <c:pt idx="11">
                  <c:v>-654.02753312599589</c:v>
                </c:pt>
                <c:pt idx="12">
                  <c:v>-607.31128075985328</c:v>
                </c:pt>
                <c:pt idx="13">
                  <c:v>-560.59502839371066</c:v>
                </c:pt>
                <c:pt idx="14">
                  <c:v>-513.87877602756805</c:v>
                </c:pt>
                <c:pt idx="15">
                  <c:v>-467.16252366142544</c:v>
                </c:pt>
                <c:pt idx="16">
                  <c:v>-420.44627129528283</c:v>
                </c:pt>
                <c:pt idx="17">
                  <c:v>-373.73001892914021</c:v>
                </c:pt>
                <c:pt idx="18">
                  <c:v>-327.0137665629976</c:v>
                </c:pt>
                <c:pt idx="19">
                  <c:v>-280.29751419685499</c:v>
                </c:pt>
                <c:pt idx="20">
                  <c:v>-233.58126183071235</c:v>
                </c:pt>
                <c:pt idx="21">
                  <c:v>-186.86500946456971</c:v>
                </c:pt>
                <c:pt idx="22">
                  <c:v>-140.14875709842707</c:v>
                </c:pt>
                <c:pt idx="23">
                  <c:v>-93.432504732284428</c:v>
                </c:pt>
                <c:pt idx="24">
                  <c:v>-46.716252366141795</c:v>
                </c:pt>
                <c:pt idx="25">
                  <c:v>8.3844042819691822E-13</c:v>
                </c:pt>
                <c:pt idx="26">
                  <c:v>46.716252366143472</c:v>
                </c:pt>
                <c:pt idx="27">
                  <c:v>93.432504732286105</c:v>
                </c:pt>
                <c:pt idx="28">
                  <c:v>140.14875709842875</c:v>
                </c:pt>
                <c:pt idx="29">
                  <c:v>186.86500946457139</c:v>
                </c:pt>
                <c:pt idx="30">
                  <c:v>233.58126183071403</c:v>
                </c:pt>
                <c:pt idx="31">
                  <c:v>280.29751419685664</c:v>
                </c:pt>
                <c:pt idx="32">
                  <c:v>327.01376656299925</c:v>
                </c:pt>
                <c:pt idx="33">
                  <c:v>373.73001892914186</c:v>
                </c:pt>
                <c:pt idx="34">
                  <c:v>420.44627129528448</c:v>
                </c:pt>
                <c:pt idx="35">
                  <c:v>467.16252366142709</c:v>
                </c:pt>
                <c:pt idx="36">
                  <c:v>513.87877602756976</c:v>
                </c:pt>
                <c:pt idx="37">
                  <c:v>560.59502839371237</c:v>
                </c:pt>
                <c:pt idx="38">
                  <c:v>607.31128075985498</c:v>
                </c:pt>
                <c:pt idx="39">
                  <c:v>654.02753312599759</c:v>
                </c:pt>
                <c:pt idx="40">
                  <c:v>700.7437854921402</c:v>
                </c:pt>
                <c:pt idx="41">
                  <c:v>747.46003785828282</c:v>
                </c:pt>
                <c:pt idx="42">
                  <c:v>794.17629022442543</c:v>
                </c:pt>
                <c:pt idx="43">
                  <c:v>840.89254259056804</c:v>
                </c:pt>
                <c:pt idx="44">
                  <c:v>887.60879495671065</c:v>
                </c:pt>
                <c:pt idx="45">
                  <c:v>934.32504732285327</c:v>
                </c:pt>
                <c:pt idx="46">
                  <c:v>981.04129968899588</c:v>
                </c:pt>
                <c:pt idx="47">
                  <c:v>1027.7575520551386</c:v>
                </c:pt>
                <c:pt idx="48">
                  <c:v>1074.4738044212813</c:v>
                </c:pt>
                <c:pt idx="49">
                  <c:v>1121.1900567874241</c:v>
                </c:pt>
                <c:pt idx="50">
                  <c:v>1167.9063091535668</c:v>
                </c:pt>
                <c:pt idx="51">
                  <c:v>1214.6225615197095</c:v>
                </c:pt>
                <c:pt idx="52">
                  <c:v>1261.3388138858522</c:v>
                </c:pt>
              </c:numCache>
            </c:numRef>
          </c:val>
          <c:smooth val="0"/>
          <c:extLst>
            <c:ext xmlns:c16="http://schemas.microsoft.com/office/drawing/2014/chart" uri="{C3380CC4-5D6E-409C-BE32-E72D297353CC}">
              <c16:uniqueId val="{00000000-CF42-450A-A8F8-0D748C7AA13C}"/>
            </c:ext>
          </c:extLst>
        </c:ser>
        <c:ser>
          <c:idx val="1"/>
          <c:order val="1"/>
          <c:tx>
            <c:strRef>
              <c:f>'C-FCL Real'!$B$179</c:f>
              <c:strCache>
                <c:ptCount val="1"/>
                <c:pt idx="0">
                  <c:v>VPL Acionista Acc. (MR$)</c:v>
                </c:pt>
              </c:strCache>
            </c:strRef>
          </c:tx>
          <c:spPr>
            <a:ln w="34925" cap="rnd">
              <a:solidFill>
                <a:schemeClr val="accent2"/>
              </a:solid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val>
            <c:numRef>
              <c:f>'C-FCL Real'!$C$179:$BC$179</c:f>
              <c:numCache>
                <c:formatCode>#,##0.000_ ;[Red]\-#,##0.000\ </c:formatCode>
                <c:ptCount val="53"/>
                <c:pt idx="0">
                  <c:v>-59.187561181419539</c:v>
                </c:pt>
                <c:pt idx="1">
                  <c:v>-381.22845616798395</c:v>
                </c:pt>
                <c:pt idx="2">
                  <c:v>-656.06129888527869</c:v>
                </c:pt>
                <c:pt idx="3">
                  <c:v>-649.82388896498287</c:v>
                </c:pt>
                <c:pt idx="4">
                  <c:v>-641.94747821322005</c:v>
                </c:pt>
                <c:pt idx="5">
                  <c:v>-662.06217897738077</c:v>
                </c:pt>
                <c:pt idx="6">
                  <c:v>-679.86092486108669</c:v>
                </c:pt>
                <c:pt idx="7">
                  <c:v>-695.3437158643377</c:v>
                </c:pt>
                <c:pt idx="8">
                  <c:v>-708.51055198713391</c:v>
                </c:pt>
                <c:pt idx="9">
                  <c:v>-719.36143322947532</c:v>
                </c:pt>
                <c:pt idx="10">
                  <c:v>-727.89635959136194</c:v>
                </c:pt>
                <c:pt idx="11">
                  <c:v>-734.11533107279377</c:v>
                </c:pt>
                <c:pt idx="12">
                  <c:v>-738.01834767377079</c:v>
                </c:pt>
                <c:pt idx="13">
                  <c:v>-739.60540939429302</c:v>
                </c:pt>
                <c:pt idx="14">
                  <c:v>-738.87651623436034</c:v>
                </c:pt>
                <c:pt idx="15">
                  <c:v>-735.83166819397286</c:v>
                </c:pt>
                <c:pt idx="16">
                  <c:v>-730.47086527313058</c:v>
                </c:pt>
                <c:pt idx="17">
                  <c:v>-722.79410747183351</c:v>
                </c:pt>
                <c:pt idx="18">
                  <c:v>-712.80139479008164</c:v>
                </c:pt>
                <c:pt idx="19">
                  <c:v>-700.49272722787498</c:v>
                </c:pt>
                <c:pt idx="20">
                  <c:v>-685.86810478521352</c:v>
                </c:pt>
                <c:pt idx="21">
                  <c:v>-668.92752746209726</c:v>
                </c:pt>
                <c:pt idx="22">
                  <c:v>-649.67099525852609</c:v>
                </c:pt>
                <c:pt idx="23">
                  <c:v>-628.09850817450013</c:v>
                </c:pt>
                <c:pt idx="24">
                  <c:v>-604.21006621001936</c:v>
                </c:pt>
                <c:pt idx="25">
                  <c:v>-555.42199777885833</c:v>
                </c:pt>
                <c:pt idx="26">
                  <c:v>-506.63392934769729</c:v>
                </c:pt>
                <c:pt idx="27">
                  <c:v>-457.84586091653625</c:v>
                </c:pt>
                <c:pt idx="28">
                  <c:v>-409.05779248537522</c:v>
                </c:pt>
                <c:pt idx="29">
                  <c:v>-360.26972405421418</c:v>
                </c:pt>
                <c:pt idx="30">
                  <c:v>-311.48165562305314</c:v>
                </c:pt>
                <c:pt idx="31">
                  <c:v>-262.69358719189211</c:v>
                </c:pt>
                <c:pt idx="32">
                  <c:v>-213.90551876073107</c:v>
                </c:pt>
                <c:pt idx="33">
                  <c:v>-165.11745032957003</c:v>
                </c:pt>
                <c:pt idx="34">
                  <c:v>-116.32938189840898</c:v>
                </c:pt>
                <c:pt idx="35">
                  <c:v>-67.541313467247932</c:v>
                </c:pt>
                <c:pt idx="36">
                  <c:v>-18.753245036086881</c:v>
                </c:pt>
                <c:pt idx="37">
                  <c:v>30.03482339507417</c:v>
                </c:pt>
                <c:pt idx="38">
                  <c:v>78.822891826235221</c:v>
                </c:pt>
                <c:pt idx="39">
                  <c:v>127.61096025739627</c:v>
                </c:pt>
                <c:pt idx="40">
                  <c:v>176.39902868855734</c:v>
                </c:pt>
                <c:pt idx="41">
                  <c:v>225.18709711971837</c:v>
                </c:pt>
                <c:pt idx="42">
                  <c:v>273.97516555087941</c:v>
                </c:pt>
                <c:pt idx="43">
                  <c:v>322.76323398204045</c:v>
                </c:pt>
                <c:pt idx="44">
                  <c:v>371.55130241320148</c:v>
                </c:pt>
                <c:pt idx="45">
                  <c:v>420.33937084436252</c:v>
                </c:pt>
                <c:pt idx="46">
                  <c:v>469.12743927552356</c:v>
                </c:pt>
                <c:pt idx="47">
                  <c:v>517.91550770668459</c:v>
                </c:pt>
                <c:pt idx="48">
                  <c:v>566.70357613784563</c:v>
                </c:pt>
                <c:pt idx="49">
                  <c:v>615.49164456900667</c:v>
                </c:pt>
                <c:pt idx="50">
                  <c:v>664.2797130001677</c:v>
                </c:pt>
                <c:pt idx="51">
                  <c:v>713.06778143132874</c:v>
                </c:pt>
                <c:pt idx="52">
                  <c:v>761.85584986248978</c:v>
                </c:pt>
              </c:numCache>
            </c:numRef>
          </c:val>
          <c:smooth val="0"/>
          <c:extLst>
            <c:ext xmlns:c16="http://schemas.microsoft.com/office/drawing/2014/chart" uri="{C3380CC4-5D6E-409C-BE32-E72D297353CC}">
              <c16:uniqueId val="{00000001-CF42-450A-A8F8-0D748C7AA13C}"/>
            </c:ext>
          </c:extLst>
        </c:ser>
        <c:ser>
          <c:idx val="2"/>
          <c:order val="2"/>
          <c:tx>
            <c:strRef>
              <c:f>'C-FCL Real'!$B$157</c:f>
              <c:strCache>
                <c:ptCount val="1"/>
                <c:pt idx="0">
                  <c:v>FCL Projeto Acc (MR$)</c:v>
                </c:pt>
              </c:strCache>
            </c:strRef>
          </c:tx>
          <c:spPr>
            <a:ln w="34925" cap="rnd">
              <a:solidFill>
                <a:srgbClr val="95D6D3"/>
              </a:solidFill>
              <a:round/>
            </a:ln>
            <a:effectLst>
              <a:outerShdw blurRad="57150" dist="19050" dir="5400000" algn="ctr" rotWithShape="0">
                <a:srgbClr val="000000">
                  <a:alpha val="63000"/>
                </a:srgbClr>
              </a:outerShdw>
            </a:effectLst>
          </c:spPr>
          <c:marker>
            <c:symbol val="circle"/>
            <c:size val="6"/>
            <c:spPr>
              <a:gradFill rotWithShape="1">
                <a:gsLst>
                  <a:gs pos="0">
                    <a:srgbClr val="95D6D3"/>
                  </a:gs>
                  <a:gs pos="50000">
                    <a:srgbClr val="95D6D3"/>
                  </a:gs>
                  <a:gs pos="100000">
                    <a:srgbClr val="95D6D3"/>
                  </a:gs>
                </a:gsLst>
                <a:lin ang="5400000" scaled="0"/>
              </a:gradFill>
              <a:ln w="9525">
                <a:solidFill>
                  <a:schemeClr val="accent3"/>
                </a:solidFill>
                <a:round/>
              </a:ln>
              <a:effectLst>
                <a:outerShdw blurRad="57150" dist="19050" dir="5400000" algn="ctr" rotWithShape="0">
                  <a:srgbClr val="000000">
                    <a:alpha val="63000"/>
                  </a:srgbClr>
                </a:outerShdw>
              </a:effectLst>
            </c:spPr>
          </c:marker>
          <c:val>
            <c:numRef>
              <c:f>'C-FCL Real'!$C$157:$BC$157</c:f>
              <c:numCache>
                <c:formatCode>#,##0.000_ ;[Red]\-#,##0.000\ </c:formatCode>
                <c:ptCount val="53"/>
                <c:pt idx="0">
                  <c:v>-172.731845018966</c:v>
                </c:pt>
                <c:pt idx="1">
                  <c:v>-746.98771086802913</c:v>
                </c:pt>
                <c:pt idx="2">
                  <c:v>-1185.3895171660233</c:v>
                </c:pt>
                <c:pt idx="3">
                  <c:v>-1136.7204077240222</c:v>
                </c:pt>
                <c:pt idx="4">
                  <c:v>-1085.051298282021</c:v>
                </c:pt>
                <c:pt idx="5">
                  <c:v>-1033.3821888400198</c:v>
                </c:pt>
                <c:pt idx="6">
                  <c:v>-981.71307939801875</c:v>
                </c:pt>
                <c:pt idx="7">
                  <c:v>-930.04396995601769</c:v>
                </c:pt>
                <c:pt idx="8">
                  <c:v>-878.37486051401663</c:v>
                </c:pt>
                <c:pt idx="9">
                  <c:v>-826.70575107201557</c:v>
                </c:pt>
                <c:pt idx="10">
                  <c:v>-775.03664163001451</c:v>
                </c:pt>
                <c:pt idx="11">
                  <c:v>-723.36753218801346</c:v>
                </c:pt>
                <c:pt idx="12">
                  <c:v>-671.6984227460124</c:v>
                </c:pt>
                <c:pt idx="13">
                  <c:v>-620.02931330401134</c:v>
                </c:pt>
                <c:pt idx="14">
                  <c:v>-568.36020386201028</c:v>
                </c:pt>
                <c:pt idx="15">
                  <c:v>-516.69109442000922</c:v>
                </c:pt>
                <c:pt idx="16">
                  <c:v>-465.02198497800816</c:v>
                </c:pt>
                <c:pt idx="17">
                  <c:v>-413.3528755360071</c:v>
                </c:pt>
                <c:pt idx="18">
                  <c:v>-361.68376609400605</c:v>
                </c:pt>
                <c:pt idx="19">
                  <c:v>-310.01465665200499</c:v>
                </c:pt>
                <c:pt idx="20">
                  <c:v>-258.34554721000393</c:v>
                </c:pt>
                <c:pt idx="21">
                  <c:v>-206.67643776800287</c:v>
                </c:pt>
                <c:pt idx="22">
                  <c:v>-155.00732832600181</c:v>
                </c:pt>
                <c:pt idx="23">
                  <c:v>-103.33821888400074</c:v>
                </c:pt>
                <c:pt idx="24">
                  <c:v>-51.669109441999666</c:v>
                </c:pt>
                <c:pt idx="25">
                  <c:v>1.4068746168049984E-12</c:v>
                </c:pt>
                <c:pt idx="26">
                  <c:v>51.66910944200248</c:v>
                </c:pt>
                <c:pt idx="27">
                  <c:v>103.33821888400355</c:v>
                </c:pt>
                <c:pt idx="28">
                  <c:v>155.00732832600463</c:v>
                </c:pt>
                <c:pt idx="29">
                  <c:v>206.67643776800571</c:v>
                </c:pt>
                <c:pt idx="30">
                  <c:v>258.34554721000677</c:v>
                </c:pt>
                <c:pt idx="31">
                  <c:v>310.01465665200783</c:v>
                </c:pt>
                <c:pt idx="32">
                  <c:v>361.68376609400889</c:v>
                </c:pt>
                <c:pt idx="33">
                  <c:v>413.35287553600995</c:v>
                </c:pt>
                <c:pt idx="34">
                  <c:v>465.02198497801101</c:v>
                </c:pt>
                <c:pt idx="35">
                  <c:v>516.69109442001206</c:v>
                </c:pt>
                <c:pt idx="36">
                  <c:v>568.36020386201312</c:v>
                </c:pt>
                <c:pt idx="37">
                  <c:v>620.02931330401418</c:v>
                </c:pt>
                <c:pt idx="38">
                  <c:v>671.69842274601524</c:v>
                </c:pt>
                <c:pt idx="39">
                  <c:v>723.3675321880163</c:v>
                </c:pt>
                <c:pt idx="40">
                  <c:v>775.03664163001736</c:v>
                </c:pt>
                <c:pt idx="41">
                  <c:v>826.70575107201842</c:v>
                </c:pt>
                <c:pt idx="42">
                  <c:v>878.37486051401947</c:v>
                </c:pt>
                <c:pt idx="43">
                  <c:v>930.04396995602053</c:v>
                </c:pt>
                <c:pt idx="44">
                  <c:v>981.71307939802159</c:v>
                </c:pt>
                <c:pt idx="45">
                  <c:v>1033.3821888400228</c:v>
                </c:pt>
                <c:pt idx="46">
                  <c:v>1085.0512982820239</c:v>
                </c:pt>
                <c:pt idx="47">
                  <c:v>1136.7204077240251</c:v>
                </c:pt>
                <c:pt idx="48">
                  <c:v>1188.3895171660263</c:v>
                </c:pt>
                <c:pt idx="49">
                  <c:v>1240.0586266080275</c:v>
                </c:pt>
                <c:pt idx="50">
                  <c:v>1291.7277360500286</c:v>
                </c:pt>
                <c:pt idx="51">
                  <c:v>1343.3968454920298</c:v>
                </c:pt>
                <c:pt idx="52">
                  <c:v>1395.065954934031</c:v>
                </c:pt>
              </c:numCache>
            </c:numRef>
          </c:val>
          <c:smooth val="0"/>
          <c:extLst>
            <c:ext xmlns:c16="http://schemas.microsoft.com/office/drawing/2014/chart" uri="{C3380CC4-5D6E-409C-BE32-E72D297353CC}">
              <c16:uniqueId val="{00000002-CF42-450A-A8F8-0D748C7AA13C}"/>
            </c:ext>
          </c:extLst>
        </c:ser>
        <c:ser>
          <c:idx val="3"/>
          <c:order val="3"/>
          <c:tx>
            <c:strRef>
              <c:f>'C-FCL Real'!$B$176</c:f>
              <c:strCache>
                <c:ptCount val="1"/>
                <c:pt idx="0">
                  <c:v>FCL Acionista Acc (MR$)</c:v>
                </c:pt>
              </c:strCache>
            </c:strRef>
          </c:tx>
          <c:spPr>
            <a:ln w="34925" cap="rnd">
              <a:solidFill>
                <a:schemeClr val="accent4"/>
              </a:solidFill>
              <a:round/>
            </a:ln>
            <a:effectLst>
              <a:outerShdw blurRad="57150" dist="19050" dir="5400000" algn="ctr" rotWithShape="0">
                <a:srgbClr val="000000">
                  <a:alpha val="63000"/>
                </a:srgbClr>
              </a:outerShdw>
            </a:effectLst>
          </c:spPr>
          <c:marker>
            <c:symbol val="circle"/>
            <c:size val="6"/>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9525">
                <a:solidFill>
                  <a:schemeClr val="accent4"/>
                </a:solidFill>
                <a:round/>
              </a:ln>
              <a:effectLst>
                <a:outerShdw blurRad="57150" dist="19050" dir="5400000" algn="ctr" rotWithShape="0">
                  <a:srgbClr val="000000">
                    <a:alpha val="63000"/>
                  </a:srgbClr>
                </a:outerShdw>
              </a:effectLst>
            </c:spPr>
          </c:marker>
          <c:val>
            <c:numRef>
              <c:f>'C-FCL Real'!$C$176:$BC$176</c:f>
              <c:numCache>
                <c:formatCode>#,##0.000_ ;[Red]\-#,##0.000\ </c:formatCode>
                <c:ptCount val="53"/>
                <c:pt idx="0">
                  <c:v>-65.462626417873636</c:v>
                </c:pt>
                <c:pt idx="1">
                  <c:v>-421.64629709091361</c:v>
                </c:pt>
                <c:pt idx="2">
                  <c:v>-725.61691779309592</c:v>
                </c:pt>
                <c:pt idx="3">
                  <c:v>-718.71821767305028</c:v>
                </c:pt>
                <c:pt idx="4">
                  <c:v>-710.00674985338549</c:v>
                </c:pt>
                <c:pt idx="5">
                  <c:v>-732.25401119256253</c:v>
                </c:pt>
                <c:pt idx="6">
                  <c:v>-751.93978011485888</c:v>
                </c:pt>
                <c:pt idx="7">
                  <c:v>-769.06405662027464</c:v>
                </c:pt>
                <c:pt idx="8">
                  <c:v>-783.62684070880971</c:v>
                </c:pt>
                <c:pt idx="9">
                  <c:v>-795.62813238046419</c:v>
                </c:pt>
                <c:pt idx="10">
                  <c:v>-805.06793163523798</c:v>
                </c:pt>
                <c:pt idx="11">
                  <c:v>-811.94623847313119</c:v>
                </c:pt>
                <c:pt idx="12">
                  <c:v>-816.26305289414381</c:v>
                </c:pt>
                <c:pt idx="13">
                  <c:v>-818.01837489827574</c:v>
                </c:pt>
                <c:pt idx="14">
                  <c:v>-817.21220448552708</c:v>
                </c:pt>
                <c:pt idx="15">
                  <c:v>-813.84454165589773</c:v>
                </c:pt>
                <c:pt idx="16">
                  <c:v>-807.91538640938779</c:v>
                </c:pt>
                <c:pt idx="17">
                  <c:v>-799.42473874599727</c:v>
                </c:pt>
                <c:pt idx="18">
                  <c:v>-788.37259866572606</c:v>
                </c:pt>
                <c:pt idx="19">
                  <c:v>-774.75896616857426</c:v>
                </c:pt>
                <c:pt idx="20">
                  <c:v>-758.58384125454177</c:v>
                </c:pt>
                <c:pt idx="21">
                  <c:v>-739.84722392362869</c:v>
                </c:pt>
                <c:pt idx="22">
                  <c:v>-718.54911417583492</c:v>
                </c:pt>
                <c:pt idx="23">
                  <c:v>-694.68951201116056</c:v>
                </c:pt>
                <c:pt idx="24">
                  <c:v>-668.26841742960562</c:v>
                </c:pt>
                <c:pt idx="25">
                  <c:v>-614.30783798337291</c:v>
                </c:pt>
                <c:pt idx="26">
                  <c:v>-560.34725853714019</c:v>
                </c:pt>
                <c:pt idx="27">
                  <c:v>-506.38667909090742</c:v>
                </c:pt>
                <c:pt idx="28">
                  <c:v>-452.42609964467465</c:v>
                </c:pt>
                <c:pt idx="29">
                  <c:v>-398.46552019844188</c:v>
                </c:pt>
                <c:pt idx="30">
                  <c:v>-344.50494075220911</c:v>
                </c:pt>
                <c:pt idx="31">
                  <c:v>-290.54436130597634</c:v>
                </c:pt>
                <c:pt idx="32">
                  <c:v>-236.5837818597436</c:v>
                </c:pt>
                <c:pt idx="33">
                  <c:v>-182.62320241351085</c:v>
                </c:pt>
                <c:pt idx="34">
                  <c:v>-128.66262296727811</c:v>
                </c:pt>
                <c:pt idx="35">
                  <c:v>-74.702043521045368</c:v>
                </c:pt>
                <c:pt idx="36">
                  <c:v>-20.741464074812619</c:v>
                </c:pt>
                <c:pt idx="37">
                  <c:v>33.219115371420131</c:v>
                </c:pt>
                <c:pt idx="38">
                  <c:v>87.179694817652887</c:v>
                </c:pt>
                <c:pt idx="39">
                  <c:v>141.14027426388563</c:v>
                </c:pt>
                <c:pt idx="40">
                  <c:v>195.10085371011837</c:v>
                </c:pt>
                <c:pt idx="41">
                  <c:v>249.06143315635111</c:v>
                </c:pt>
                <c:pt idx="42">
                  <c:v>303.02201260258386</c:v>
                </c:pt>
                <c:pt idx="43">
                  <c:v>356.98259204881663</c:v>
                </c:pt>
                <c:pt idx="44">
                  <c:v>410.9431714950494</c:v>
                </c:pt>
                <c:pt idx="45">
                  <c:v>464.90375094128217</c:v>
                </c:pt>
                <c:pt idx="46">
                  <c:v>518.86433038751488</c:v>
                </c:pt>
                <c:pt idx="47">
                  <c:v>572.8249098337476</c:v>
                </c:pt>
                <c:pt idx="48">
                  <c:v>626.78548927998031</c:v>
                </c:pt>
                <c:pt idx="49">
                  <c:v>680.74606872621303</c:v>
                </c:pt>
                <c:pt idx="50">
                  <c:v>734.70664817244574</c:v>
                </c:pt>
                <c:pt idx="51">
                  <c:v>788.66722761867845</c:v>
                </c:pt>
                <c:pt idx="52">
                  <c:v>842.62780706491117</c:v>
                </c:pt>
              </c:numCache>
            </c:numRef>
          </c:val>
          <c:smooth val="0"/>
          <c:extLst>
            <c:ext xmlns:c16="http://schemas.microsoft.com/office/drawing/2014/chart" uri="{C3380CC4-5D6E-409C-BE32-E72D297353CC}">
              <c16:uniqueId val="{00000003-CF42-450A-A8F8-0D748C7AA13C}"/>
            </c:ext>
          </c:extLst>
        </c:ser>
        <c:dLbls>
          <c:showLegendKey val="0"/>
          <c:showVal val="0"/>
          <c:showCatName val="0"/>
          <c:showSerName val="0"/>
          <c:showPercent val="0"/>
          <c:showBubbleSize val="0"/>
        </c:dLbls>
        <c:marker val="1"/>
        <c:smooth val="0"/>
        <c:axId val="219133056"/>
        <c:axId val="219135360"/>
      </c:lineChart>
      <c:lineChart>
        <c:grouping val="standard"/>
        <c:varyColors val="0"/>
        <c:ser>
          <c:idx val="4"/>
          <c:order val="4"/>
          <c:tx>
            <c:strRef>
              <c:f>'C-FCL Real'!$B$31</c:f>
              <c:strCache>
                <c:ptCount val="1"/>
                <c:pt idx="0">
                  <c:v>Término do Contrato</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rgbClr val="FFFF00"/>
                  </a:gs>
                  <a:gs pos="50000">
                    <a:srgbClr val="FFFF00"/>
                  </a:gs>
                  <a:gs pos="100000">
                    <a:srgbClr val="FFFF00"/>
                  </a:gs>
                </a:gsLst>
                <a:lin ang="5400000" scaled="0"/>
              </a:gradFill>
              <a:ln w="9525">
                <a:noFill/>
                <a:round/>
              </a:ln>
              <a:effectLst>
                <a:outerShdw blurRad="57150" dist="19050" dir="5400000" algn="ctr" rotWithShape="0">
                  <a:srgbClr val="000000">
                    <a:alpha val="63000"/>
                  </a:srgbClr>
                </a:outerShdw>
              </a:effectLst>
            </c:spPr>
          </c:marker>
          <c:val>
            <c:numRef>
              <c:f>'C-FCL Real'!$C$31:$BC$31</c:f>
              <c:numCache>
                <c:formatCode>General</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smooth val="0"/>
          <c:extLst>
            <c:ext xmlns:c16="http://schemas.microsoft.com/office/drawing/2014/chart" uri="{C3380CC4-5D6E-409C-BE32-E72D297353CC}">
              <c16:uniqueId val="{00000004-CF42-450A-A8F8-0D748C7AA13C}"/>
            </c:ext>
          </c:extLst>
        </c:ser>
        <c:dLbls>
          <c:showLegendKey val="0"/>
          <c:showVal val="0"/>
          <c:showCatName val="0"/>
          <c:showSerName val="0"/>
          <c:showPercent val="0"/>
          <c:showBubbleSize val="0"/>
        </c:dLbls>
        <c:marker val="1"/>
        <c:smooth val="0"/>
        <c:axId val="219141632"/>
        <c:axId val="219143168"/>
      </c:lineChart>
      <c:catAx>
        <c:axId val="219133056"/>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pt-BR"/>
          </a:p>
        </c:txPr>
        <c:crossAx val="219135360"/>
        <c:crosses val="autoZero"/>
        <c:auto val="1"/>
        <c:lblAlgn val="ctr"/>
        <c:lblOffset val="100"/>
        <c:noMultiLvlLbl val="1"/>
      </c:catAx>
      <c:valAx>
        <c:axId val="219135360"/>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0.000_ ;[Red]\-#,##0.000\ "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pt-BR"/>
          </a:p>
        </c:txPr>
        <c:crossAx val="219133056"/>
        <c:crosses val="autoZero"/>
        <c:crossBetween val="between"/>
      </c:valAx>
      <c:catAx>
        <c:axId val="219141632"/>
        <c:scaling>
          <c:orientation val="minMax"/>
        </c:scaling>
        <c:delete val="1"/>
        <c:axPos val="b"/>
        <c:numFmt formatCode="General" sourceLinked="1"/>
        <c:majorTickMark val="none"/>
        <c:minorTickMark val="none"/>
        <c:tickLblPos val="nextTo"/>
        <c:crossAx val="219143168"/>
        <c:crosses val="autoZero"/>
        <c:auto val="1"/>
        <c:lblAlgn val="ctr"/>
        <c:lblOffset val="100"/>
        <c:noMultiLvlLbl val="1"/>
      </c:catAx>
      <c:valAx>
        <c:axId val="219143168"/>
        <c:scaling>
          <c:orientation val="minMax"/>
        </c:scaling>
        <c:delete val="0"/>
        <c:axPos val="r"/>
        <c:majorGridlines>
          <c:spPr>
            <a:ln w="9525" cap="flat" cmpd="sng" algn="ctr">
              <a:solidFill>
                <a:schemeClr val="lt1">
                  <a:lumMod val="95000"/>
                  <a:alpha val="10000"/>
                </a:schemeClr>
              </a:solidFill>
              <a:round/>
            </a:ln>
            <a:effectLst/>
          </c:spPr>
        </c:majorGridlines>
        <c:minorGridlines>
          <c:spPr>
            <a:ln>
              <a:solidFill>
                <a:schemeClr val="lt1">
                  <a:lumMod val="95000"/>
                  <a:alpha val="5000"/>
                </a:schemeClr>
              </a:solidFill>
            </a:ln>
            <a:effectLst/>
          </c:spPr>
        </c:min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pt-BR"/>
          </a:p>
        </c:txPr>
        <c:crossAx val="219141632"/>
        <c:crosses val="max"/>
        <c:crossBetween val="between"/>
      </c:valAx>
      <c:spPr>
        <a:noFill/>
        <a:ln>
          <a:noFill/>
        </a:ln>
        <a:effectLst/>
      </c:spPr>
    </c:plotArea>
    <c:legend>
      <c:legendPos val="b"/>
      <c:layout>
        <c:manualLayout>
          <c:xMode val="edge"/>
          <c:yMode val="edge"/>
          <c:x val="2.735524607466772E-2"/>
          <c:y val="0.95139418354445315"/>
          <c:w val="0.94528941444597003"/>
          <c:h val="3.585681567103161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HN"/>
              <a:t>VPL (R$ MM)</a:t>
            </a:r>
          </a:p>
        </c:rich>
      </c:tx>
      <c:overlay val="0"/>
      <c:spPr>
        <a:noFill/>
        <a:ln>
          <a:noFill/>
        </a:ln>
        <a:effectLst/>
      </c:spPr>
    </c:title>
    <c:autoTitleDeleted val="0"/>
    <c:plotArea>
      <c:layout/>
      <c:barChart>
        <c:barDir val="col"/>
        <c:grouping val="clustered"/>
        <c:varyColors val="1"/>
        <c:ser>
          <c:idx val="0"/>
          <c:order val="0"/>
          <c:tx>
            <c:strRef>
              <c:f>'C-Graf Simul Tarifa Avançado'!$AI$10</c:f>
              <c:strCache>
                <c:ptCount val="1"/>
                <c:pt idx="0">
                  <c:v>VPL — Projeto (R$ MM)</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Avançado'!$AH$11:$AH$31</c:f>
              <c:numCache>
                <c:formatCode>General</c:formatCode>
                <c:ptCount val="21"/>
                <c:pt idx="0">
                  <c:v>325</c:v>
                </c:pt>
                <c:pt idx="1">
                  <c:v>326</c:v>
                </c:pt>
                <c:pt idx="2">
                  <c:v>327</c:v>
                </c:pt>
                <c:pt idx="3">
                  <c:v>328</c:v>
                </c:pt>
                <c:pt idx="4">
                  <c:v>329</c:v>
                </c:pt>
                <c:pt idx="5">
                  <c:v>330</c:v>
                </c:pt>
                <c:pt idx="6">
                  <c:v>331</c:v>
                </c:pt>
                <c:pt idx="7">
                  <c:v>332</c:v>
                </c:pt>
                <c:pt idx="8">
                  <c:v>333</c:v>
                </c:pt>
                <c:pt idx="9">
                  <c:v>334</c:v>
                </c:pt>
                <c:pt idx="10">
                  <c:v>335</c:v>
                </c:pt>
                <c:pt idx="11">
                  <c:v>336</c:v>
                </c:pt>
                <c:pt idx="12">
                  <c:v>337</c:v>
                </c:pt>
                <c:pt idx="13">
                  <c:v>338</c:v>
                </c:pt>
                <c:pt idx="14">
                  <c:v>339</c:v>
                </c:pt>
                <c:pt idx="15">
                  <c:v>340</c:v>
                </c:pt>
                <c:pt idx="16">
                  <c:v>341</c:v>
                </c:pt>
                <c:pt idx="17">
                  <c:v>342</c:v>
                </c:pt>
                <c:pt idx="18">
                  <c:v>343</c:v>
                </c:pt>
                <c:pt idx="19">
                  <c:v>344</c:v>
                </c:pt>
                <c:pt idx="20">
                  <c:v>345</c:v>
                </c:pt>
              </c:numCache>
            </c:numRef>
          </c:cat>
          <c:val>
            <c:numRef>
              <c:f>'C-Graf Simul Tarifa Avançado'!$AI$11:$AI$31</c:f>
              <c:numCache>
                <c:formatCode>0.0</c:formatCode>
                <c:ptCount val="21"/>
                <c:pt idx="0">
                  <c:v>-151.11140148446833</c:v>
                </c:pt>
                <c:pt idx="1">
                  <c:v>-136.54273184015744</c:v>
                </c:pt>
                <c:pt idx="2">
                  <c:v>-121.97406219584718</c:v>
                </c:pt>
                <c:pt idx="3">
                  <c:v>-107.40539255153703</c:v>
                </c:pt>
                <c:pt idx="4">
                  <c:v>-92.836722907227568</c:v>
                </c:pt>
                <c:pt idx="5">
                  <c:v>-78.268053262916482</c:v>
                </c:pt>
                <c:pt idx="6">
                  <c:v>-63.699383618606355</c:v>
                </c:pt>
                <c:pt idx="7">
                  <c:v>-49.130713974296533</c:v>
                </c:pt>
                <c:pt idx="8">
                  <c:v>-34.562044329985326</c:v>
                </c:pt>
                <c:pt idx="9">
                  <c:v>-19.993374685675818</c:v>
                </c:pt>
                <c:pt idx="10">
                  <c:v>-5.4247050413653142</c:v>
                </c:pt>
                <c:pt idx="11">
                  <c:v>9.1439646029447914</c:v>
                </c:pt>
                <c:pt idx="12">
                  <c:v>23.712634247254471</c:v>
                </c:pt>
                <c:pt idx="13">
                  <c:v>38.281303891565614</c:v>
                </c:pt>
                <c:pt idx="14">
                  <c:v>52.849973535875563</c:v>
                </c:pt>
                <c:pt idx="15">
                  <c:v>67.418643180185171</c:v>
                </c:pt>
                <c:pt idx="16">
                  <c:v>81.987312824496442</c:v>
                </c:pt>
                <c:pt idx="17">
                  <c:v>96.555982468806079</c:v>
                </c:pt>
                <c:pt idx="18">
                  <c:v>111.12465211311621</c:v>
                </c:pt>
                <c:pt idx="19">
                  <c:v>125.6933217574265</c:v>
                </c:pt>
                <c:pt idx="20">
                  <c:v>140.26199140173705</c:v>
                </c:pt>
              </c:numCache>
            </c:numRef>
          </c:val>
          <c:extLst>
            <c:ext xmlns:c16="http://schemas.microsoft.com/office/drawing/2014/chart" uri="{C3380CC4-5D6E-409C-BE32-E72D297353CC}">
              <c16:uniqueId val="{00000000-D869-44A5-B95A-4E55EBD7C594}"/>
            </c:ext>
          </c:extLst>
        </c:ser>
        <c:ser>
          <c:idx val="1"/>
          <c:order val="1"/>
          <c:tx>
            <c:strRef>
              <c:f>'C-Graf Simul Tarifa Avançado'!$AM$10</c:f>
              <c:strCache>
                <c:ptCount val="1"/>
                <c:pt idx="0">
                  <c:v>VPL — Acionista (R$ MM)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Avançado'!$AH$11:$AH$31</c:f>
              <c:numCache>
                <c:formatCode>General</c:formatCode>
                <c:ptCount val="21"/>
                <c:pt idx="0">
                  <c:v>325</c:v>
                </c:pt>
                <c:pt idx="1">
                  <c:v>326</c:v>
                </c:pt>
                <c:pt idx="2">
                  <c:v>327</c:v>
                </c:pt>
                <c:pt idx="3">
                  <c:v>328</c:v>
                </c:pt>
                <c:pt idx="4">
                  <c:v>329</c:v>
                </c:pt>
                <c:pt idx="5">
                  <c:v>330</c:v>
                </c:pt>
                <c:pt idx="6">
                  <c:v>331</c:v>
                </c:pt>
                <c:pt idx="7">
                  <c:v>332</c:v>
                </c:pt>
                <c:pt idx="8">
                  <c:v>333</c:v>
                </c:pt>
                <c:pt idx="9">
                  <c:v>334</c:v>
                </c:pt>
                <c:pt idx="10">
                  <c:v>335</c:v>
                </c:pt>
                <c:pt idx="11">
                  <c:v>336</c:v>
                </c:pt>
                <c:pt idx="12">
                  <c:v>337</c:v>
                </c:pt>
                <c:pt idx="13">
                  <c:v>338</c:v>
                </c:pt>
                <c:pt idx="14">
                  <c:v>339</c:v>
                </c:pt>
                <c:pt idx="15">
                  <c:v>340</c:v>
                </c:pt>
                <c:pt idx="16">
                  <c:v>341</c:v>
                </c:pt>
                <c:pt idx="17">
                  <c:v>342</c:v>
                </c:pt>
                <c:pt idx="18">
                  <c:v>343</c:v>
                </c:pt>
                <c:pt idx="19">
                  <c:v>344</c:v>
                </c:pt>
                <c:pt idx="20">
                  <c:v>345</c:v>
                </c:pt>
              </c:numCache>
            </c:numRef>
          </c:cat>
          <c:val>
            <c:numRef>
              <c:f>'C-Graf Simul Tarifa Avançado'!$AM$11:$AM$31</c:f>
              <c:numCache>
                <c:formatCode>0.0</c:formatCode>
                <c:ptCount val="21"/>
                <c:pt idx="0">
                  <c:v>-707.45329072047286</c:v>
                </c:pt>
                <c:pt idx="1">
                  <c:v>-692.88462107616328</c:v>
                </c:pt>
                <c:pt idx="2">
                  <c:v>-678.3159514318528</c:v>
                </c:pt>
                <c:pt idx="3">
                  <c:v>-663.74728178754219</c:v>
                </c:pt>
                <c:pt idx="4">
                  <c:v>-649.17861214323261</c:v>
                </c:pt>
                <c:pt idx="5">
                  <c:v>-634.6099424989219</c:v>
                </c:pt>
                <c:pt idx="6">
                  <c:v>-620.04127285461118</c:v>
                </c:pt>
                <c:pt idx="7">
                  <c:v>-605.47260321030137</c:v>
                </c:pt>
                <c:pt idx="8">
                  <c:v>-590.90393356599122</c:v>
                </c:pt>
                <c:pt idx="9">
                  <c:v>-576.33526392168119</c:v>
                </c:pt>
                <c:pt idx="10">
                  <c:v>-561.7665942773707</c:v>
                </c:pt>
                <c:pt idx="11">
                  <c:v>-547.19792463306021</c:v>
                </c:pt>
                <c:pt idx="12">
                  <c:v>-532.6292549887504</c:v>
                </c:pt>
                <c:pt idx="13">
                  <c:v>-518.06058534444014</c:v>
                </c:pt>
                <c:pt idx="14">
                  <c:v>-503.4919157001296</c:v>
                </c:pt>
                <c:pt idx="15">
                  <c:v>-488.92324605581979</c:v>
                </c:pt>
                <c:pt idx="16">
                  <c:v>-474.35457641150913</c:v>
                </c:pt>
                <c:pt idx="17">
                  <c:v>-459.78590676719944</c:v>
                </c:pt>
                <c:pt idx="18">
                  <c:v>-445.21723712288895</c:v>
                </c:pt>
                <c:pt idx="19">
                  <c:v>-430.64856747857834</c:v>
                </c:pt>
                <c:pt idx="20">
                  <c:v>-416.07989783426876</c:v>
                </c:pt>
              </c:numCache>
            </c:numRef>
          </c:val>
          <c:extLst>
            <c:ext xmlns:c16="http://schemas.microsoft.com/office/drawing/2014/chart" uri="{C3380CC4-5D6E-409C-BE32-E72D297353CC}">
              <c16:uniqueId val="{00000001-D869-44A5-B95A-4E55EBD7C594}"/>
            </c:ext>
          </c:extLst>
        </c:ser>
        <c:dLbls>
          <c:showLegendKey val="0"/>
          <c:showVal val="0"/>
          <c:showCatName val="0"/>
          <c:showSerName val="0"/>
          <c:showPercent val="0"/>
          <c:showBubbleSize val="0"/>
        </c:dLbls>
        <c:gapWidth val="100"/>
        <c:overlap val="-24"/>
        <c:axId val="195064192"/>
        <c:axId val="195066112"/>
      </c:barChart>
      <c:catAx>
        <c:axId val="195064192"/>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5066112"/>
        <c:crosses val="autoZero"/>
        <c:auto val="1"/>
        <c:lblAlgn val="ctr"/>
        <c:lblOffset val="100"/>
        <c:noMultiLvlLbl val="1"/>
      </c:catAx>
      <c:valAx>
        <c:axId val="195066112"/>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50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HN"/>
              <a:t>TIR (%)</a:t>
            </a:r>
          </a:p>
        </c:rich>
      </c:tx>
      <c:overlay val="0"/>
      <c:spPr>
        <a:noFill/>
        <a:ln>
          <a:noFill/>
        </a:ln>
        <a:effectLst/>
      </c:spPr>
    </c:title>
    <c:autoTitleDeleted val="0"/>
    <c:plotArea>
      <c:layout/>
      <c:barChart>
        <c:barDir val="col"/>
        <c:grouping val="clustered"/>
        <c:varyColors val="1"/>
        <c:ser>
          <c:idx val="0"/>
          <c:order val="0"/>
          <c:tx>
            <c:strRef>
              <c:f>'C-Graf Simul Tarifa Avançado'!$AJ$10</c:f>
              <c:strCache>
                <c:ptCount val="1"/>
                <c:pt idx="0">
                  <c:v>TIR — Projeto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Avançado'!$AH$11:$AH$31</c:f>
              <c:numCache>
                <c:formatCode>General</c:formatCode>
                <c:ptCount val="21"/>
                <c:pt idx="0">
                  <c:v>325</c:v>
                </c:pt>
                <c:pt idx="1">
                  <c:v>326</c:v>
                </c:pt>
                <c:pt idx="2">
                  <c:v>327</c:v>
                </c:pt>
                <c:pt idx="3">
                  <c:v>328</c:v>
                </c:pt>
                <c:pt idx="4">
                  <c:v>329</c:v>
                </c:pt>
                <c:pt idx="5">
                  <c:v>330</c:v>
                </c:pt>
                <c:pt idx="6">
                  <c:v>331</c:v>
                </c:pt>
                <c:pt idx="7">
                  <c:v>332</c:v>
                </c:pt>
                <c:pt idx="8">
                  <c:v>333</c:v>
                </c:pt>
                <c:pt idx="9">
                  <c:v>334</c:v>
                </c:pt>
                <c:pt idx="10">
                  <c:v>335</c:v>
                </c:pt>
                <c:pt idx="11">
                  <c:v>336</c:v>
                </c:pt>
                <c:pt idx="12">
                  <c:v>337</c:v>
                </c:pt>
                <c:pt idx="13">
                  <c:v>338</c:v>
                </c:pt>
                <c:pt idx="14">
                  <c:v>339</c:v>
                </c:pt>
                <c:pt idx="15">
                  <c:v>340</c:v>
                </c:pt>
                <c:pt idx="16">
                  <c:v>341</c:v>
                </c:pt>
                <c:pt idx="17">
                  <c:v>342</c:v>
                </c:pt>
                <c:pt idx="18">
                  <c:v>343</c:v>
                </c:pt>
                <c:pt idx="19">
                  <c:v>344</c:v>
                </c:pt>
                <c:pt idx="20">
                  <c:v>345</c:v>
                </c:pt>
              </c:numCache>
            </c:numRef>
          </c:cat>
          <c:val>
            <c:numRef>
              <c:f>'C-Graf Simul Tarifa Avançado'!$AJ$11:$AJ$31</c:f>
              <c:numCache>
                <c:formatCode>0.0%</c:formatCode>
                <c:ptCount val="21"/>
                <c:pt idx="0">
                  <c:v>-1.1352795657674775E-2</c:v>
                </c:pt>
                <c:pt idx="1">
                  <c:v>-1.0224046088343708E-2</c:v>
                </c:pt>
                <c:pt idx="2">
                  <c:v>-9.1032092127221187E-3</c:v>
                </c:pt>
                <c:pt idx="3">
                  <c:v>-7.9900518640394491E-3</c:v>
                </c:pt>
                <c:pt idx="4">
                  <c:v>-6.8843494851573706E-3</c:v>
                </c:pt>
                <c:pt idx="5">
                  <c:v>-5.7858856166388417E-3</c:v>
                </c:pt>
                <c:pt idx="6">
                  <c:v>-4.6944515542332033E-3</c:v>
                </c:pt>
                <c:pt idx="7">
                  <c:v>-3.6098459333822053E-3</c:v>
                </c:pt>
                <c:pt idx="8">
                  <c:v>-2.5318743870719196E-3</c:v>
                </c:pt>
                <c:pt idx="9">
                  <c:v>-1.4603491958589121E-3</c:v>
                </c:pt>
                <c:pt idx="10">
                  <c:v>-3.950889933029833E-4</c:v>
                </c:pt>
                <c:pt idx="11">
                  <c:v>6.6408156664254925E-4</c:v>
                </c:pt>
                <c:pt idx="12">
                  <c:v>1.7173320574133122E-3</c:v>
                </c:pt>
                <c:pt idx="13">
                  <c:v>2.7648265603468225E-3</c:v>
                </c:pt>
                <c:pt idx="14">
                  <c:v>3.8067239122665519E-3</c:v>
                </c:pt>
                <c:pt idx="15">
                  <c:v>4.8431779378945716E-3</c:v>
                </c:pt>
                <c:pt idx="16">
                  <c:v>5.8743376788623625E-3</c:v>
                </c:pt>
                <c:pt idx="17">
                  <c:v>6.9003475982445384E-3</c:v>
                </c:pt>
                <c:pt idx="18">
                  <c:v>7.9213477825028633E-3</c:v>
                </c:pt>
                <c:pt idx="19">
                  <c:v>8.9374741255749957E-3</c:v>
                </c:pt>
                <c:pt idx="20">
                  <c:v>9.9488585268907581E-3</c:v>
                </c:pt>
              </c:numCache>
            </c:numRef>
          </c:val>
          <c:extLst>
            <c:ext xmlns:c16="http://schemas.microsoft.com/office/drawing/2014/chart" uri="{C3380CC4-5D6E-409C-BE32-E72D297353CC}">
              <c16:uniqueId val="{00000000-EFB5-4CFD-9FE0-787FD971CACE}"/>
            </c:ext>
          </c:extLst>
        </c:ser>
        <c:ser>
          <c:idx val="1"/>
          <c:order val="1"/>
          <c:tx>
            <c:strRef>
              <c:f>'C-Graf Simul Tarifa Avançado'!$AN$10</c:f>
              <c:strCache>
                <c:ptCount val="1"/>
                <c:pt idx="0">
                  <c:v>TIR — Acionista (%)</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Avançado'!$AH$11:$AH$31</c:f>
              <c:numCache>
                <c:formatCode>General</c:formatCode>
                <c:ptCount val="21"/>
                <c:pt idx="0">
                  <c:v>325</c:v>
                </c:pt>
                <c:pt idx="1">
                  <c:v>326</c:v>
                </c:pt>
                <c:pt idx="2">
                  <c:v>327</c:v>
                </c:pt>
                <c:pt idx="3">
                  <c:v>328</c:v>
                </c:pt>
                <c:pt idx="4">
                  <c:v>329</c:v>
                </c:pt>
                <c:pt idx="5">
                  <c:v>330</c:v>
                </c:pt>
                <c:pt idx="6">
                  <c:v>331</c:v>
                </c:pt>
                <c:pt idx="7">
                  <c:v>332</c:v>
                </c:pt>
                <c:pt idx="8">
                  <c:v>333</c:v>
                </c:pt>
                <c:pt idx="9">
                  <c:v>334</c:v>
                </c:pt>
                <c:pt idx="10">
                  <c:v>335</c:v>
                </c:pt>
                <c:pt idx="11">
                  <c:v>336</c:v>
                </c:pt>
                <c:pt idx="12">
                  <c:v>337</c:v>
                </c:pt>
                <c:pt idx="13">
                  <c:v>338</c:v>
                </c:pt>
                <c:pt idx="14">
                  <c:v>339</c:v>
                </c:pt>
                <c:pt idx="15">
                  <c:v>340</c:v>
                </c:pt>
                <c:pt idx="16">
                  <c:v>341</c:v>
                </c:pt>
                <c:pt idx="17">
                  <c:v>342</c:v>
                </c:pt>
                <c:pt idx="18">
                  <c:v>343</c:v>
                </c:pt>
                <c:pt idx="19">
                  <c:v>344</c:v>
                </c:pt>
                <c:pt idx="20">
                  <c:v>345</c:v>
                </c:pt>
              </c:numCache>
            </c:numRef>
          </c:cat>
          <c:val>
            <c:numRef>
              <c:f>'C-Graf Simul Tarifa Avançado'!$AN$11:$AN$31</c:f>
              <c:numCache>
                <c:formatCode>0.0%</c:formatCode>
                <c:ptCount val="21"/>
                <c:pt idx="0">
                  <c:v>-9.1650444106812889E-2</c:v>
                </c:pt>
                <c:pt idx="1">
                  <c:v>-8.9110295698342168E-2</c:v>
                </c:pt>
                <c:pt idx="2">
                  <c:v>-8.6620221790744356E-2</c:v>
                </c:pt>
                <c:pt idx="3">
                  <c:v>-8.4177685514567946E-2</c:v>
                </c:pt>
                <c:pt idx="4">
                  <c:v>-8.1780314562026502E-2</c:v>
                </c:pt>
                <c:pt idx="5">
                  <c:v>-7.9425887957161878E-2</c:v>
                </c:pt>
                <c:pt idx="6">
                  <c:v>-7.7112324029423696E-2</c:v>
                </c:pt>
                <c:pt idx="7">
                  <c:v>-7.4837669504062121E-2</c:v>
                </c:pt>
                <c:pt idx="8">
                  <c:v>-7.2600089542928403E-2</c:v>
                </c:pt>
                <c:pt idx="9">
                  <c:v>-7.0397858698543425E-2</c:v>
                </c:pt>
                <c:pt idx="10">
                  <c:v>-6.8229352657547482E-2</c:v>
                </c:pt>
                <c:pt idx="11">
                  <c:v>-6.6093040707804973E-2</c:v>
                </c:pt>
                <c:pt idx="12">
                  <c:v>-6.3987478857357671E-2</c:v>
                </c:pt>
                <c:pt idx="13">
                  <c:v>-6.1911303537364515E-2</c:v>
                </c:pt>
                <c:pt idx="14">
                  <c:v>-5.9863225853926338E-2</c:v>
                </c:pt>
                <c:pt idx="15">
                  <c:v>-5.7842026296240467E-2</c:v>
                </c:pt>
                <c:pt idx="16">
                  <c:v>-5.5846549902177189E-2</c:v>
                </c:pt>
                <c:pt idx="17">
                  <c:v>-5.3875701810667476E-2</c:v>
                </c:pt>
                <c:pt idx="18">
                  <c:v>-5.1928443174756089E-2</c:v>
                </c:pt>
                <c:pt idx="19">
                  <c:v>-5.0003787400866417E-2</c:v>
                </c:pt>
                <c:pt idx="20">
                  <c:v>-4.8100796684672043E-2</c:v>
                </c:pt>
              </c:numCache>
            </c:numRef>
          </c:val>
          <c:extLst>
            <c:ext xmlns:c16="http://schemas.microsoft.com/office/drawing/2014/chart" uri="{C3380CC4-5D6E-409C-BE32-E72D297353CC}">
              <c16:uniqueId val="{00000001-EFB5-4CFD-9FE0-787FD971CACE}"/>
            </c:ext>
          </c:extLst>
        </c:ser>
        <c:dLbls>
          <c:showLegendKey val="0"/>
          <c:showVal val="0"/>
          <c:showCatName val="0"/>
          <c:showSerName val="0"/>
          <c:showPercent val="0"/>
          <c:showBubbleSize val="0"/>
        </c:dLbls>
        <c:gapWidth val="100"/>
        <c:overlap val="-24"/>
        <c:axId val="219047040"/>
        <c:axId val="219048960"/>
      </c:barChart>
      <c:catAx>
        <c:axId val="219047040"/>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19048960"/>
        <c:crosses val="autoZero"/>
        <c:auto val="1"/>
        <c:lblAlgn val="ctr"/>
        <c:lblOffset val="100"/>
        <c:noMultiLvlLbl val="1"/>
      </c:catAx>
      <c:valAx>
        <c:axId val="219048960"/>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19047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HN"/>
              <a:t>PAYBACK (ANOS)</a:t>
            </a:r>
          </a:p>
        </c:rich>
      </c:tx>
      <c:overlay val="0"/>
      <c:spPr>
        <a:noFill/>
        <a:ln>
          <a:noFill/>
        </a:ln>
        <a:effectLst/>
      </c:spPr>
    </c:title>
    <c:autoTitleDeleted val="0"/>
    <c:plotArea>
      <c:layout>
        <c:manualLayout>
          <c:xMode val="edge"/>
          <c:yMode val="edge"/>
          <c:x val="1.2821758919543328E-2"/>
          <c:y val="0.14331111006441466"/>
          <c:w val="0.97435648216091342"/>
          <c:h val="0.65550250707590596"/>
        </c:manualLayout>
      </c:layout>
      <c:barChart>
        <c:barDir val="col"/>
        <c:grouping val="clustered"/>
        <c:varyColors val="1"/>
        <c:ser>
          <c:idx val="0"/>
          <c:order val="0"/>
          <c:tx>
            <c:strRef>
              <c:f>'C-Graf Simul Tarifa Avançado'!$AK$10</c:f>
              <c:strCache>
                <c:ptCount val="1"/>
                <c:pt idx="0">
                  <c:v>Payback — Projeto (anos)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Avançado'!$AH$11:$AH$31</c:f>
              <c:numCache>
                <c:formatCode>General</c:formatCode>
                <c:ptCount val="21"/>
                <c:pt idx="0">
                  <c:v>325</c:v>
                </c:pt>
                <c:pt idx="1">
                  <c:v>326</c:v>
                </c:pt>
                <c:pt idx="2">
                  <c:v>327</c:v>
                </c:pt>
                <c:pt idx="3">
                  <c:v>328</c:v>
                </c:pt>
                <c:pt idx="4">
                  <c:v>329</c:v>
                </c:pt>
                <c:pt idx="5">
                  <c:v>330</c:v>
                </c:pt>
                <c:pt idx="6">
                  <c:v>331</c:v>
                </c:pt>
                <c:pt idx="7">
                  <c:v>332</c:v>
                </c:pt>
                <c:pt idx="8">
                  <c:v>333</c:v>
                </c:pt>
                <c:pt idx="9">
                  <c:v>334</c:v>
                </c:pt>
                <c:pt idx="10">
                  <c:v>335</c:v>
                </c:pt>
                <c:pt idx="11">
                  <c:v>336</c:v>
                </c:pt>
                <c:pt idx="12">
                  <c:v>337</c:v>
                </c:pt>
                <c:pt idx="13">
                  <c:v>338</c:v>
                </c:pt>
                <c:pt idx="14">
                  <c:v>339</c:v>
                </c:pt>
                <c:pt idx="15">
                  <c:v>340</c:v>
                </c:pt>
                <c:pt idx="16">
                  <c:v>341</c:v>
                </c:pt>
                <c:pt idx="17">
                  <c:v>342</c:v>
                </c:pt>
                <c:pt idx="18">
                  <c:v>343</c:v>
                </c:pt>
                <c:pt idx="19">
                  <c:v>344</c:v>
                </c:pt>
                <c:pt idx="20">
                  <c:v>345</c:v>
                </c:pt>
              </c:numCache>
            </c:numRef>
          </c:cat>
          <c:val>
            <c:numRef>
              <c:f>'C-Graf Simul Tarifa Avançado'!$AK$11:$AK$31</c:f>
              <c:numCache>
                <c:formatCode>0.0</c:formatCode>
                <c:ptCount val="21"/>
                <c:pt idx="0">
                  <c:v>29.687424426859124</c:v>
                </c:pt>
                <c:pt idx="1">
                  <c:v>29.286975652775681</c:v>
                </c:pt>
                <c:pt idx="2">
                  <c:v>28.897186270906072</c:v>
                </c:pt>
                <c:pt idx="3">
                  <c:v>28.517636263984571</c:v>
                </c:pt>
                <c:pt idx="4">
                  <c:v>28.147927395527926</c:v>
                </c:pt>
                <c:pt idx="5">
                  <c:v>27.787681816050451</c:v>
                </c:pt>
                <c:pt idx="6">
                  <c:v>27.436540774955521</c:v>
                </c:pt>
                <c:pt idx="7">
                  <c:v>27.094163428871372</c:v>
                </c:pt>
                <c:pt idx="8">
                  <c:v>26.760225738111508</c:v>
                </c:pt>
                <c:pt idx="9">
                  <c:v>26.434419443748641</c:v>
                </c:pt>
                <c:pt idx="10">
                  <c:v>26.116451118514554</c:v>
                </c:pt>
                <c:pt idx="11">
                  <c:v>25.806041285384101</c:v>
                </c:pt>
                <c:pt idx="12">
                  <c:v>25.502923598277377</c:v>
                </c:pt>
                <c:pt idx="13">
                  <c:v>25.206844079832734</c:v>
                </c:pt>
                <c:pt idx="14">
                  <c:v>24.917560411665406</c:v>
                </c:pt>
                <c:pt idx="15">
                  <c:v>24.634841272943131</c:v>
                </c:pt>
                <c:pt idx="16">
                  <c:v>24.358465723484606</c:v>
                </c:pt>
                <c:pt idx="17">
                  <c:v>24.088222627922921</c:v>
                </c:pt>
                <c:pt idx="18">
                  <c:v>23.823910117779675</c:v>
                </c:pt>
                <c:pt idx="19">
                  <c:v>23.565335088569906</c:v>
                </c:pt>
                <c:pt idx="20">
                  <c:v>23.312312729304519</c:v>
                </c:pt>
              </c:numCache>
            </c:numRef>
          </c:val>
          <c:extLst>
            <c:ext xmlns:c16="http://schemas.microsoft.com/office/drawing/2014/chart" uri="{C3380CC4-5D6E-409C-BE32-E72D297353CC}">
              <c16:uniqueId val="{00000000-9058-495D-8429-51FBF9F40ED8}"/>
            </c:ext>
          </c:extLst>
        </c:ser>
        <c:ser>
          <c:idx val="1"/>
          <c:order val="1"/>
          <c:tx>
            <c:strRef>
              <c:f>'C-Graf Simul Tarifa Avançado'!$AO$10</c:f>
              <c:strCache>
                <c:ptCount val="1"/>
                <c:pt idx="0">
                  <c:v>Payback — Acionista (anos)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Avançado'!$AH$11:$AH$31</c:f>
              <c:numCache>
                <c:formatCode>General</c:formatCode>
                <c:ptCount val="21"/>
                <c:pt idx="0">
                  <c:v>325</c:v>
                </c:pt>
                <c:pt idx="1">
                  <c:v>326</c:v>
                </c:pt>
                <c:pt idx="2">
                  <c:v>327</c:v>
                </c:pt>
                <c:pt idx="3">
                  <c:v>328</c:v>
                </c:pt>
                <c:pt idx="4">
                  <c:v>329</c:v>
                </c:pt>
                <c:pt idx="5">
                  <c:v>330</c:v>
                </c:pt>
                <c:pt idx="6">
                  <c:v>331</c:v>
                </c:pt>
                <c:pt idx="7">
                  <c:v>332</c:v>
                </c:pt>
                <c:pt idx="8">
                  <c:v>333</c:v>
                </c:pt>
                <c:pt idx="9">
                  <c:v>334</c:v>
                </c:pt>
                <c:pt idx="10">
                  <c:v>335</c:v>
                </c:pt>
                <c:pt idx="11">
                  <c:v>336</c:v>
                </c:pt>
                <c:pt idx="12">
                  <c:v>337</c:v>
                </c:pt>
                <c:pt idx="13">
                  <c:v>338</c:v>
                </c:pt>
                <c:pt idx="14">
                  <c:v>339</c:v>
                </c:pt>
                <c:pt idx="15">
                  <c:v>340</c:v>
                </c:pt>
                <c:pt idx="16">
                  <c:v>341</c:v>
                </c:pt>
                <c:pt idx="17">
                  <c:v>342</c:v>
                </c:pt>
                <c:pt idx="18">
                  <c:v>343</c:v>
                </c:pt>
                <c:pt idx="19">
                  <c:v>344</c:v>
                </c:pt>
                <c:pt idx="20">
                  <c:v>345</c:v>
                </c:pt>
              </c:numCache>
            </c:numRef>
          </c:cat>
          <c:val>
            <c:numRef>
              <c:f>'C-Graf Simul Tarifa Avançado'!$AO$11:$AO$31</c:f>
              <c:numCache>
                <c:formatCode>0.0</c:formatCode>
                <c:ptCount val="21"/>
                <c:pt idx="0">
                  <c:v>42.428997656470976</c:v>
                </c:pt>
                <c:pt idx="1">
                  <c:v>41.883983449303727</c:v>
                </c:pt>
                <c:pt idx="2">
                  <c:v>41.352793433694679</c:v>
                </c:pt>
                <c:pt idx="3">
                  <c:v>40.834908224343984</c:v>
                </c:pt>
                <c:pt idx="4">
                  <c:v>40.329834132403228</c:v>
                </c:pt>
                <c:pt idx="5">
                  <c:v>39.837101595734417</c:v>
                </c:pt>
                <c:pt idx="6">
                  <c:v>39.356263722850983</c:v>
                </c:pt>
                <c:pt idx="7">
                  <c:v>38.88689494104942</c:v>
                </c:pt>
                <c:pt idx="8">
                  <c:v>38.428589740136552</c:v>
                </c:pt>
                <c:pt idx="9">
                  <c:v>37.980961503957708</c:v>
                </c:pt>
                <c:pt idx="10">
                  <c:v>37.543641422648562</c:v>
                </c:pt>
                <c:pt idx="11">
                  <c:v>37.116277479179253</c:v>
                </c:pt>
                <c:pt idx="12">
                  <c:v>36.698533504336908</c:v>
                </c:pt>
                <c:pt idx="13">
                  <c:v>36.290088294815</c:v>
                </c:pt>
                <c:pt idx="14">
                  <c:v>35.890634789547313</c:v>
                </c:pt>
                <c:pt idx="15">
                  <c:v>35.499879299847144</c:v>
                </c:pt>
                <c:pt idx="16">
                  <c:v>35.117540789295518</c:v>
                </c:pt>
                <c:pt idx="17">
                  <c:v>34.74335019966805</c:v>
                </c:pt>
                <c:pt idx="18">
                  <c:v>34.377049819502091</c:v>
                </c:pt>
                <c:pt idx="19">
                  <c:v>34.018392692190744</c:v>
                </c:pt>
                <c:pt idx="20">
                  <c:v>33.667142060746521</c:v>
                </c:pt>
              </c:numCache>
            </c:numRef>
          </c:val>
          <c:extLst>
            <c:ext xmlns:c16="http://schemas.microsoft.com/office/drawing/2014/chart" uri="{C3380CC4-5D6E-409C-BE32-E72D297353CC}">
              <c16:uniqueId val="{00000001-9058-495D-8429-51FBF9F40ED8}"/>
            </c:ext>
          </c:extLst>
        </c:ser>
        <c:dLbls>
          <c:showLegendKey val="0"/>
          <c:showVal val="0"/>
          <c:showCatName val="0"/>
          <c:showSerName val="0"/>
          <c:showPercent val="0"/>
          <c:showBubbleSize val="0"/>
        </c:dLbls>
        <c:gapWidth val="100"/>
        <c:overlap val="-24"/>
        <c:axId val="196999040"/>
        <c:axId val="197001216"/>
      </c:barChart>
      <c:catAx>
        <c:axId val="196999040"/>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7001216"/>
        <c:crosses val="autoZero"/>
        <c:auto val="1"/>
        <c:lblAlgn val="ctr"/>
        <c:lblOffset val="100"/>
        <c:noMultiLvlLbl val="1"/>
      </c:catAx>
      <c:valAx>
        <c:axId val="197001216"/>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6999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pt-BR"/>
              <a:t>TAXA DE LUCRATIVIDADE</a:t>
            </a:r>
          </a:p>
        </c:rich>
      </c:tx>
      <c:overlay val="0"/>
      <c:spPr>
        <a:noFill/>
        <a:ln>
          <a:noFill/>
        </a:ln>
        <a:effectLst/>
      </c:spPr>
    </c:title>
    <c:autoTitleDeleted val="0"/>
    <c:plotArea>
      <c:layout/>
      <c:barChart>
        <c:barDir val="col"/>
        <c:grouping val="clustered"/>
        <c:varyColors val="1"/>
        <c:ser>
          <c:idx val="0"/>
          <c:order val="0"/>
          <c:tx>
            <c:strRef>
              <c:f>'C-Graf Simul Tarifa Avançado'!$AL$10</c:f>
              <c:strCache>
                <c:ptCount val="1"/>
                <c:pt idx="0">
                  <c:v>Taxa de Lucratividade — Projeto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Avançado'!$AH$11:$AH$31</c:f>
              <c:numCache>
                <c:formatCode>General</c:formatCode>
                <c:ptCount val="21"/>
                <c:pt idx="0">
                  <c:v>325</c:v>
                </c:pt>
                <c:pt idx="1">
                  <c:v>326</c:v>
                </c:pt>
                <c:pt idx="2">
                  <c:v>327</c:v>
                </c:pt>
                <c:pt idx="3">
                  <c:v>328</c:v>
                </c:pt>
                <c:pt idx="4">
                  <c:v>329</c:v>
                </c:pt>
                <c:pt idx="5">
                  <c:v>330</c:v>
                </c:pt>
                <c:pt idx="6">
                  <c:v>331</c:v>
                </c:pt>
                <c:pt idx="7">
                  <c:v>332</c:v>
                </c:pt>
                <c:pt idx="8">
                  <c:v>333</c:v>
                </c:pt>
                <c:pt idx="9">
                  <c:v>334</c:v>
                </c:pt>
                <c:pt idx="10">
                  <c:v>335</c:v>
                </c:pt>
                <c:pt idx="11">
                  <c:v>336</c:v>
                </c:pt>
                <c:pt idx="12">
                  <c:v>337</c:v>
                </c:pt>
                <c:pt idx="13">
                  <c:v>338</c:v>
                </c:pt>
                <c:pt idx="14">
                  <c:v>339</c:v>
                </c:pt>
                <c:pt idx="15">
                  <c:v>340</c:v>
                </c:pt>
                <c:pt idx="16">
                  <c:v>341</c:v>
                </c:pt>
                <c:pt idx="17">
                  <c:v>342</c:v>
                </c:pt>
                <c:pt idx="18">
                  <c:v>343</c:v>
                </c:pt>
                <c:pt idx="19">
                  <c:v>344</c:v>
                </c:pt>
                <c:pt idx="20">
                  <c:v>345</c:v>
                </c:pt>
              </c:numCache>
            </c:numRef>
          </c:cat>
          <c:val>
            <c:numRef>
              <c:f>'C-Graf Simul Tarifa Avançado'!$AL$11:$AL$31</c:f>
              <c:numCache>
                <c:formatCode>0%</c:formatCode>
                <c:ptCount val="21"/>
                <c:pt idx="0">
                  <c:v>0.91820263960237181</c:v>
                </c:pt>
                <c:pt idx="1">
                  <c:v>0.92608873363434452</c:v>
                </c:pt>
                <c:pt idx="2">
                  <c:v>0.93397482766631668</c:v>
                </c:pt>
                <c:pt idx="3">
                  <c:v>0.94186092169828894</c:v>
                </c:pt>
                <c:pt idx="4">
                  <c:v>0.94974701573026077</c:v>
                </c:pt>
                <c:pt idx="5">
                  <c:v>0.95763310976223348</c:v>
                </c:pt>
                <c:pt idx="6">
                  <c:v>0.96551920379420564</c:v>
                </c:pt>
                <c:pt idx="7">
                  <c:v>0.9734052978261778</c:v>
                </c:pt>
                <c:pt idx="8">
                  <c:v>0.98129139185815051</c:v>
                </c:pt>
                <c:pt idx="9">
                  <c:v>0.98917748589012233</c:v>
                </c:pt>
                <c:pt idx="10">
                  <c:v>0.99706357992209482</c:v>
                </c:pt>
                <c:pt idx="11">
                  <c:v>1.0049496739540671</c:v>
                </c:pt>
                <c:pt idx="12">
                  <c:v>1.0128357679860389</c:v>
                </c:pt>
                <c:pt idx="13">
                  <c:v>1.0207218620180116</c:v>
                </c:pt>
                <c:pt idx="14">
                  <c:v>1.0286079560499837</c:v>
                </c:pt>
                <c:pt idx="15">
                  <c:v>1.0364940500819557</c:v>
                </c:pt>
                <c:pt idx="16">
                  <c:v>1.0443801441139287</c:v>
                </c:pt>
                <c:pt idx="17">
                  <c:v>1.0522662381459005</c:v>
                </c:pt>
                <c:pt idx="18">
                  <c:v>1.0601523321778727</c:v>
                </c:pt>
                <c:pt idx="19">
                  <c:v>1.068038426209845</c:v>
                </c:pt>
                <c:pt idx="20">
                  <c:v>1.0759245202418175</c:v>
                </c:pt>
              </c:numCache>
            </c:numRef>
          </c:val>
          <c:extLst>
            <c:ext xmlns:c16="http://schemas.microsoft.com/office/drawing/2014/chart" uri="{C3380CC4-5D6E-409C-BE32-E72D297353CC}">
              <c16:uniqueId val="{00000000-A3E9-42F4-91D2-C7E2011AB923}"/>
            </c:ext>
          </c:extLst>
        </c:ser>
        <c:ser>
          <c:idx val="1"/>
          <c:order val="1"/>
          <c:tx>
            <c:strRef>
              <c:f>'C-Graf Simul Tarifa Avançado'!$AP$10</c:f>
              <c:strCache>
                <c:ptCount val="1"/>
                <c:pt idx="0">
                  <c:v>Taxa de Lucratividade — Acionista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Avançado'!$AH$11:$AH$31</c:f>
              <c:numCache>
                <c:formatCode>General</c:formatCode>
                <c:ptCount val="21"/>
                <c:pt idx="0">
                  <c:v>325</c:v>
                </c:pt>
                <c:pt idx="1">
                  <c:v>326</c:v>
                </c:pt>
                <c:pt idx="2">
                  <c:v>327</c:v>
                </c:pt>
                <c:pt idx="3">
                  <c:v>328</c:v>
                </c:pt>
                <c:pt idx="4">
                  <c:v>329</c:v>
                </c:pt>
                <c:pt idx="5">
                  <c:v>330</c:v>
                </c:pt>
                <c:pt idx="6">
                  <c:v>331</c:v>
                </c:pt>
                <c:pt idx="7">
                  <c:v>332</c:v>
                </c:pt>
                <c:pt idx="8">
                  <c:v>333</c:v>
                </c:pt>
                <c:pt idx="9">
                  <c:v>334</c:v>
                </c:pt>
                <c:pt idx="10">
                  <c:v>335</c:v>
                </c:pt>
                <c:pt idx="11">
                  <c:v>336</c:v>
                </c:pt>
                <c:pt idx="12">
                  <c:v>337</c:v>
                </c:pt>
                <c:pt idx="13">
                  <c:v>338</c:v>
                </c:pt>
                <c:pt idx="14">
                  <c:v>339</c:v>
                </c:pt>
                <c:pt idx="15">
                  <c:v>340</c:v>
                </c:pt>
                <c:pt idx="16">
                  <c:v>341</c:v>
                </c:pt>
                <c:pt idx="17">
                  <c:v>342</c:v>
                </c:pt>
                <c:pt idx="18">
                  <c:v>343</c:v>
                </c:pt>
                <c:pt idx="19">
                  <c:v>344</c:v>
                </c:pt>
                <c:pt idx="20">
                  <c:v>345</c:v>
                </c:pt>
              </c:numCache>
            </c:numRef>
          </c:cat>
          <c:val>
            <c:numRef>
              <c:f>'C-Graf Simul Tarifa Avançado'!$AP$11:$AP$31</c:f>
              <c:numCache>
                <c:formatCode>0%</c:formatCode>
                <c:ptCount val="21"/>
                <c:pt idx="0">
                  <c:v>-0.27649339531578349</c:v>
                </c:pt>
                <c:pt idx="1">
                  <c:v>-0.25020641520921039</c:v>
                </c:pt>
                <c:pt idx="2">
                  <c:v>-0.22391943510263571</c:v>
                </c:pt>
                <c:pt idx="3">
                  <c:v>-0.19763245499606077</c:v>
                </c:pt>
                <c:pt idx="4">
                  <c:v>-0.1713454748894877</c:v>
                </c:pt>
                <c:pt idx="5">
                  <c:v>-0.14505849478291261</c:v>
                </c:pt>
                <c:pt idx="6">
                  <c:v>-0.11877151467633748</c:v>
                </c:pt>
                <c:pt idx="7">
                  <c:v>-9.2484534569763993E-2</c:v>
                </c:pt>
                <c:pt idx="8">
                  <c:v>-6.6197554463189909E-2</c:v>
                </c:pt>
                <c:pt idx="9">
                  <c:v>-3.9910574356616019E-2</c:v>
                </c:pt>
                <c:pt idx="10">
                  <c:v>-1.362359425004131E-2</c:v>
                </c:pt>
                <c:pt idx="11">
                  <c:v>1.2663385856533397E-2</c:v>
                </c:pt>
                <c:pt idx="12">
                  <c:v>3.8950365963106873E-2</c:v>
                </c:pt>
                <c:pt idx="13">
                  <c:v>6.5237346069681179E-2</c:v>
                </c:pt>
                <c:pt idx="14">
                  <c:v>9.1524326176255985E-2</c:v>
                </c:pt>
                <c:pt idx="15">
                  <c:v>0.11781130628282946</c:v>
                </c:pt>
                <c:pt idx="16">
                  <c:v>0.14409828638940447</c:v>
                </c:pt>
                <c:pt idx="17">
                  <c:v>0.17038526649597774</c:v>
                </c:pt>
                <c:pt idx="18">
                  <c:v>0.19667224660255245</c:v>
                </c:pt>
                <c:pt idx="19">
                  <c:v>0.22295922670912738</c:v>
                </c:pt>
                <c:pt idx="20">
                  <c:v>0.24924620681570045</c:v>
                </c:pt>
              </c:numCache>
            </c:numRef>
          </c:val>
          <c:extLst>
            <c:ext xmlns:c16="http://schemas.microsoft.com/office/drawing/2014/chart" uri="{C3380CC4-5D6E-409C-BE32-E72D297353CC}">
              <c16:uniqueId val="{00000001-A3E9-42F4-91D2-C7E2011AB923}"/>
            </c:ext>
          </c:extLst>
        </c:ser>
        <c:dLbls>
          <c:showLegendKey val="0"/>
          <c:showVal val="0"/>
          <c:showCatName val="0"/>
          <c:showSerName val="0"/>
          <c:showPercent val="0"/>
          <c:showBubbleSize val="0"/>
        </c:dLbls>
        <c:gapWidth val="100"/>
        <c:overlap val="-24"/>
        <c:axId val="197040768"/>
        <c:axId val="197051136"/>
      </c:barChart>
      <c:catAx>
        <c:axId val="197040768"/>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pt-BR"/>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7051136"/>
        <c:crosses val="autoZero"/>
        <c:auto val="1"/>
        <c:lblAlgn val="ctr"/>
        <c:lblOffset val="100"/>
        <c:noMultiLvlLbl val="1"/>
      </c:catAx>
      <c:valAx>
        <c:axId val="197051136"/>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pt-B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7040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HN"/>
              <a:t>VPL (R$ MM)</a:t>
            </a:r>
          </a:p>
        </c:rich>
      </c:tx>
      <c:overlay val="0"/>
      <c:spPr>
        <a:noFill/>
        <a:ln>
          <a:noFill/>
        </a:ln>
        <a:effectLst/>
      </c:spPr>
    </c:title>
    <c:autoTitleDeleted val="0"/>
    <c:plotArea>
      <c:layout/>
      <c:barChart>
        <c:barDir val="col"/>
        <c:grouping val="clustered"/>
        <c:varyColors val="1"/>
        <c:ser>
          <c:idx val="0"/>
          <c:order val="0"/>
          <c:tx>
            <c:strRef>
              <c:f>'C-Graf Simul Tarifa Avançado'!$AS$10</c:f>
              <c:strCache>
                <c:ptCount val="1"/>
                <c:pt idx="0">
                  <c:v>VPL — Projeto (R$ MM)</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Avançado'!$AR$11:$AR$31</c:f>
              <c:numCache>
                <c:formatCode>General</c:formatCode>
                <c:ptCount val="2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numCache>
            </c:numRef>
          </c:cat>
          <c:val>
            <c:numRef>
              <c:f>'C-Graf Simul Tarifa Avançado'!$AS$11:$AS$31</c:f>
              <c:numCache>
                <c:formatCode>0.0</c:formatCode>
                <c:ptCount val="21"/>
                <c:pt idx="0">
                  <c:v>-471.26007962275366</c:v>
                </c:pt>
                <c:pt idx="1">
                  <c:v>-424.67654216461483</c:v>
                </c:pt>
                <c:pt idx="2">
                  <c:v>-378.09300470647599</c:v>
                </c:pt>
                <c:pt idx="3">
                  <c:v>-331.50946724833716</c:v>
                </c:pt>
                <c:pt idx="4">
                  <c:v>-284.92592979019832</c:v>
                </c:pt>
                <c:pt idx="5">
                  <c:v>-238.34239233205949</c:v>
                </c:pt>
                <c:pt idx="6">
                  <c:v>-191.75885487392065</c:v>
                </c:pt>
                <c:pt idx="7">
                  <c:v>-145.17531741578182</c:v>
                </c:pt>
                <c:pt idx="8">
                  <c:v>-98.591779957642984</c:v>
                </c:pt>
                <c:pt idx="9">
                  <c:v>-52.008242499504149</c:v>
                </c:pt>
                <c:pt idx="10">
                  <c:v>-5.4247050413653142</c:v>
                </c:pt>
                <c:pt idx="11">
                  <c:v>41.158832416773521</c:v>
                </c:pt>
                <c:pt idx="12">
                  <c:v>87.742369874912356</c:v>
                </c:pt>
                <c:pt idx="13">
                  <c:v>134.32590733305119</c:v>
                </c:pt>
                <c:pt idx="14">
                  <c:v>180.90944479119003</c:v>
                </c:pt>
                <c:pt idx="15">
                  <c:v>227.49298224932886</c:v>
                </c:pt>
                <c:pt idx="16">
                  <c:v>274.0765197074677</c:v>
                </c:pt>
                <c:pt idx="17">
                  <c:v>320.66005716560653</c:v>
                </c:pt>
                <c:pt idx="18">
                  <c:v>367.24359462374537</c:v>
                </c:pt>
                <c:pt idx="19">
                  <c:v>413.8271320818842</c:v>
                </c:pt>
                <c:pt idx="20">
                  <c:v>460.41066954002304</c:v>
                </c:pt>
              </c:numCache>
            </c:numRef>
          </c:val>
          <c:extLst>
            <c:ext xmlns:c16="http://schemas.microsoft.com/office/drawing/2014/chart" uri="{C3380CC4-5D6E-409C-BE32-E72D297353CC}">
              <c16:uniqueId val="{00000000-182B-4BFD-82EC-DF9BEA716B16}"/>
            </c:ext>
          </c:extLst>
        </c:ser>
        <c:ser>
          <c:idx val="1"/>
          <c:order val="1"/>
          <c:tx>
            <c:strRef>
              <c:f>'C-Graf Simul Tarifa Avançado'!$AW$10</c:f>
              <c:strCache>
                <c:ptCount val="1"/>
                <c:pt idx="0">
                  <c:v>VPL — Acionista (R$ MM)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Avançado'!$AR$11:$AR$31</c:f>
              <c:numCache>
                <c:formatCode>General</c:formatCode>
                <c:ptCount val="2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numCache>
            </c:numRef>
          </c:cat>
          <c:val>
            <c:numRef>
              <c:f>'C-Graf Simul Tarifa Avançado'!$AW$11:$AW$31</c:f>
              <c:numCache>
                <c:formatCode>0.0</c:formatCode>
                <c:ptCount val="21"/>
                <c:pt idx="0">
                  <c:v>-740.41452577467135</c:v>
                </c:pt>
                <c:pt idx="1">
                  <c:v>-735.2537752788088</c:v>
                </c:pt>
                <c:pt idx="2">
                  <c:v>-727.77256407370578</c:v>
                </c:pt>
                <c:pt idx="3">
                  <c:v>-717.97089215936228</c:v>
                </c:pt>
                <c:pt idx="4">
                  <c:v>-705.84875953577819</c:v>
                </c:pt>
                <c:pt idx="5">
                  <c:v>-691.40616620295361</c:v>
                </c:pt>
                <c:pt idx="6">
                  <c:v>-674.64311216088856</c:v>
                </c:pt>
                <c:pt idx="7">
                  <c:v>-655.55959740958303</c:v>
                </c:pt>
                <c:pt idx="8">
                  <c:v>-634.15562194903703</c:v>
                </c:pt>
                <c:pt idx="9">
                  <c:v>-610.43118577925043</c:v>
                </c:pt>
                <c:pt idx="10">
                  <c:v>-561.7665942773707</c:v>
                </c:pt>
                <c:pt idx="11">
                  <c:v>-513.10200277549097</c:v>
                </c:pt>
                <c:pt idx="12">
                  <c:v>-464.43741127361119</c:v>
                </c:pt>
                <c:pt idx="13">
                  <c:v>-415.77281977173141</c:v>
                </c:pt>
                <c:pt idx="14">
                  <c:v>-367.10822826985162</c:v>
                </c:pt>
                <c:pt idx="15">
                  <c:v>-318.44363676797184</c:v>
                </c:pt>
                <c:pt idx="16">
                  <c:v>-269.77904526609206</c:v>
                </c:pt>
                <c:pt idx="17">
                  <c:v>-221.11445376421227</c:v>
                </c:pt>
                <c:pt idx="18">
                  <c:v>-172.44986226233249</c:v>
                </c:pt>
                <c:pt idx="19">
                  <c:v>-123.7852707604527</c:v>
                </c:pt>
                <c:pt idx="20">
                  <c:v>-75.12067925857292</c:v>
                </c:pt>
              </c:numCache>
            </c:numRef>
          </c:val>
          <c:extLst>
            <c:ext xmlns:c16="http://schemas.microsoft.com/office/drawing/2014/chart" uri="{C3380CC4-5D6E-409C-BE32-E72D297353CC}">
              <c16:uniqueId val="{00000001-182B-4BFD-82EC-DF9BEA716B16}"/>
            </c:ext>
          </c:extLst>
        </c:ser>
        <c:dLbls>
          <c:showLegendKey val="0"/>
          <c:showVal val="0"/>
          <c:showCatName val="0"/>
          <c:showSerName val="0"/>
          <c:showPercent val="0"/>
          <c:showBubbleSize val="0"/>
        </c:dLbls>
        <c:gapWidth val="100"/>
        <c:overlap val="-24"/>
        <c:axId val="219180416"/>
        <c:axId val="219198976"/>
      </c:barChart>
      <c:catAx>
        <c:axId val="219180416"/>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19198976"/>
        <c:crosses val="autoZero"/>
        <c:auto val="1"/>
        <c:lblAlgn val="ctr"/>
        <c:lblOffset val="100"/>
        <c:noMultiLvlLbl val="1"/>
      </c:catAx>
      <c:valAx>
        <c:axId val="219198976"/>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19180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HN"/>
              <a:t>TIR (%)</a:t>
            </a:r>
          </a:p>
        </c:rich>
      </c:tx>
      <c:overlay val="0"/>
      <c:spPr>
        <a:noFill/>
        <a:ln>
          <a:noFill/>
        </a:ln>
        <a:effectLst/>
      </c:spPr>
    </c:title>
    <c:autoTitleDeleted val="0"/>
    <c:plotArea>
      <c:layout/>
      <c:barChart>
        <c:barDir val="col"/>
        <c:grouping val="clustered"/>
        <c:varyColors val="1"/>
        <c:ser>
          <c:idx val="0"/>
          <c:order val="0"/>
          <c:tx>
            <c:strRef>
              <c:f>'C-Graf Simul Tarifa Avançado'!$AT$10</c:f>
              <c:strCache>
                <c:ptCount val="1"/>
                <c:pt idx="0">
                  <c:v>TIR — Projeto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Avançado'!$AR$11:$AR$31</c:f>
              <c:numCache>
                <c:formatCode>General</c:formatCode>
                <c:ptCount val="2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numCache>
            </c:numRef>
          </c:cat>
          <c:val>
            <c:numRef>
              <c:f>'C-Graf Simul Tarifa Avançado'!$AT$11:$AT$31</c:f>
              <c:numCache>
                <c:formatCode>0.0%</c:formatCode>
                <c:ptCount val="21"/>
                <c:pt idx="0">
                  <c:v>-6.7463586682894539E-2</c:v>
                </c:pt>
                <c:pt idx="1">
                  <c:v>-5.5870723216945084E-2</c:v>
                </c:pt>
                <c:pt idx="2">
                  <c:v>-4.5934059310448472E-2</c:v>
                </c:pt>
                <c:pt idx="3">
                  <c:v>-3.7352091233017859E-2</c:v>
                </c:pt>
                <c:pt idx="4">
                  <c:v>-2.9889519946278753E-2</c:v>
                </c:pt>
                <c:pt idx="5">
                  <c:v>-2.3360418513276415E-2</c:v>
                </c:pt>
                <c:pt idx="6">
                  <c:v>-1.7616213364513467E-2</c:v>
                </c:pt>
                <c:pt idx="7">
                  <c:v>-1.2536963084547659E-2</c:v>
                </c:pt>
                <c:pt idx="8">
                  <c:v>-8.0249362006526992E-3</c:v>
                </c:pt>
                <c:pt idx="9">
                  <c:v>-3.9998180268847605E-3</c:v>
                </c:pt>
                <c:pt idx="10">
                  <c:v>-3.950889933029833E-4</c:v>
                </c:pt>
                <c:pt idx="11">
                  <c:v>2.8447430325317935E-3</c:v>
                </c:pt>
                <c:pt idx="12">
                  <c:v>5.7662799943924981E-3</c:v>
                </c:pt>
                <c:pt idx="13">
                  <c:v>8.4089001161444799E-3</c:v>
                </c:pt>
                <c:pt idx="14">
                  <c:v>1.0806068984258399E-2</c:v>
                </c:pt>
                <c:pt idx="15">
                  <c:v>1.2986379673286752E-2</c:v>
                </c:pt>
                <c:pt idx="16">
                  <c:v>1.4974384352671954E-2</c:v>
                </c:pt>
                <c:pt idx="17">
                  <c:v>1.6791264025866059E-2</c:v>
                </c:pt>
                <c:pt idx="18">
                  <c:v>1.8455371590681224E-2</c:v>
                </c:pt>
                <c:pt idx="19">
                  <c:v>1.9982675001918748E-2</c:v>
                </c:pt>
                <c:pt idx="20">
                  <c:v>2.1387121089831318E-2</c:v>
                </c:pt>
              </c:numCache>
            </c:numRef>
          </c:val>
          <c:extLst>
            <c:ext xmlns:c16="http://schemas.microsoft.com/office/drawing/2014/chart" uri="{C3380CC4-5D6E-409C-BE32-E72D297353CC}">
              <c16:uniqueId val="{00000000-89EF-478E-823F-EB4954709F62}"/>
            </c:ext>
          </c:extLst>
        </c:ser>
        <c:ser>
          <c:idx val="1"/>
          <c:order val="1"/>
          <c:tx>
            <c:strRef>
              <c:f>'C-Graf Simul Tarifa Avançado'!$AX$10</c:f>
              <c:strCache>
                <c:ptCount val="1"/>
                <c:pt idx="0">
                  <c:v>TIR — Acionista (%)</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Avançado'!$AR$11:$AR$31</c:f>
              <c:numCache>
                <c:formatCode>General</c:formatCode>
                <c:ptCount val="2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numCache>
            </c:numRef>
          </c:cat>
          <c:val>
            <c:numRef>
              <c:f>'C-Graf Simul Tarifa Avançado'!$AX$11:$AX$31</c:f>
              <c:numCache>
                <c:formatCode>0.0%</c:formatCode>
                <c:ptCount val="21"/>
                <c:pt idx="0">
                  <c:v>0</c:v>
                </c:pt>
                <c:pt idx="1">
                  <c:v>0</c:v>
                </c:pt>
                <c:pt idx="2">
                  <c:v>0</c:v>
                </c:pt>
                <c:pt idx="3">
                  <c:v>0</c:v>
                </c:pt>
                <c:pt idx="4">
                  <c:v>-0.18236713714822428</c:v>
                </c:pt>
                <c:pt idx="5">
                  <c:v>-0.15592682442771466</c:v>
                </c:pt>
                <c:pt idx="6">
                  <c:v>-0.13430351239291871</c:v>
                </c:pt>
                <c:pt idx="7">
                  <c:v>-0.11620978540358207</c:v>
                </c:pt>
                <c:pt idx="8">
                  <c:v>-0.10081677851818283</c:v>
                </c:pt>
                <c:pt idx="9">
                  <c:v>-8.7554879994907298E-2</c:v>
                </c:pt>
                <c:pt idx="10">
                  <c:v>-6.8229352657547482E-2</c:v>
                </c:pt>
                <c:pt idx="11">
                  <c:v>-5.4768354019667953E-2</c:v>
                </c:pt>
                <c:pt idx="12">
                  <c:v>-4.4487143639007298E-2</c:v>
                </c:pt>
                <c:pt idx="13">
                  <c:v>-3.623360424714861E-2</c:v>
                </c:pt>
                <c:pt idx="14">
                  <c:v>-2.9396281962315807E-2</c:v>
                </c:pt>
                <c:pt idx="15">
                  <c:v>-2.3607620662056794E-2</c:v>
                </c:pt>
                <c:pt idx="16">
                  <c:v>-1.8627648549930598E-2</c:v>
                </c:pt>
                <c:pt idx="17">
                  <c:v>-1.4290191269692443E-2</c:v>
                </c:pt>
                <c:pt idx="18">
                  <c:v>-1.0474998698885019E-2</c:v>
                </c:pt>
                <c:pt idx="19">
                  <c:v>-7.0920357832863212E-3</c:v>
                </c:pt>
                <c:pt idx="20">
                  <c:v>-4.0720371450257975E-3</c:v>
                </c:pt>
              </c:numCache>
            </c:numRef>
          </c:val>
          <c:extLst>
            <c:ext xmlns:c16="http://schemas.microsoft.com/office/drawing/2014/chart" uri="{C3380CC4-5D6E-409C-BE32-E72D297353CC}">
              <c16:uniqueId val="{00000001-89EF-478E-823F-EB4954709F62}"/>
            </c:ext>
          </c:extLst>
        </c:ser>
        <c:dLbls>
          <c:showLegendKey val="0"/>
          <c:showVal val="0"/>
          <c:showCatName val="0"/>
          <c:showSerName val="0"/>
          <c:showPercent val="0"/>
          <c:showBubbleSize val="0"/>
        </c:dLbls>
        <c:gapWidth val="100"/>
        <c:overlap val="-24"/>
        <c:axId val="219246976"/>
        <c:axId val="219248896"/>
      </c:barChart>
      <c:catAx>
        <c:axId val="219246976"/>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19248896"/>
        <c:crosses val="autoZero"/>
        <c:auto val="1"/>
        <c:lblAlgn val="ctr"/>
        <c:lblOffset val="100"/>
        <c:noMultiLvlLbl val="1"/>
      </c:catAx>
      <c:valAx>
        <c:axId val="219248896"/>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1924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pt-BR"/>
              <a:t>TAXA DE LUCRATIVIDADE</a:t>
            </a:r>
          </a:p>
        </c:rich>
      </c:tx>
      <c:overlay val="0"/>
      <c:spPr>
        <a:noFill/>
        <a:ln>
          <a:noFill/>
        </a:ln>
        <a:effectLst/>
      </c:spPr>
    </c:title>
    <c:autoTitleDeleted val="0"/>
    <c:plotArea>
      <c:layout/>
      <c:barChart>
        <c:barDir val="col"/>
        <c:grouping val="clustered"/>
        <c:varyColors val="1"/>
        <c:ser>
          <c:idx val="0"/>
          <c:order val="0"/>
          <c:tx>
            <c:strRef>
              <c:f>'C-Graf Simul Tarifa Avançado'!$AV$10</c:f>
              <c:strCache>
                <c:ptCount val="1"/>
                <c:pt idx="0">
                  <c:v>Taxa de Lucratividade — Projeto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Avançado'!$AR$11:$AR$31</c:f>
              <c:numCache>
                <c:formatCode>General</c:formatCode>
                <c:ptCount val="2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numCache>
            </c:numRef>
          </c:cat>
          <c:val>
            <c:numRef>
              <c:f>'C-Graf Simul Tarifa Avançado'!$AV$11:$AV$31</c:f>
              <c:numCache>
                <c:formatCode>0%</c:formatCode>
                <c:ptCount val="21"/>
                <c:pt idx="0">
                  <c:v>0.73385126294371339</c:v>
                </c:pt>
                <c:pt idx="1">
                  <c:v>0.76119451565632201</c:v>
                </c:pt>
                <c:pt idx="2">
                  <c:v>0.78830284748273305</c:v>
                </c:pt>
                <c:pt idx="3">
                  <c:v>0.81517927297445092</c:v>
                </c:pt>
                <c:pt idx="4">
                  <c:v>0.84182675532489371</c:v>
                </c:pt>
                <c:pt idx="5">
                  <c:v>0.86824820745847153</c:v>
                </c:pt>
                <c:pt idx="6">
                  <c:v>0.8944464930920687</c:v>
                </c:pt>
                <c:pt idx="7">
                  <c:v>0.92042442776974165</c:v>
                </c:pt>
                <c:pt idx="8">
                  <c:v>0.94618477987141769</c:v>
                </c:pt>
                <c:pt idx="9">
                  <c:v>0.97173027159635494</c:v>
                </c:pt>
                <c:pt idx="10">
                  <c:v>0.99706357992209482</c:v>
                </c:pt>
                <c:pt idx="11">
                  <c:v>1.0221873375396187</c:v>
                </c:pt>
                <c:pt idx="12">
                  <c:v>1.0471041337653941</c:v>
                </c:pt>
                <c:pt idx="13">
                  <c:v>1.0718165154309733</c:v>
                </c:pt>
                <c:pt idx="14">
                  <c:v>1.0963269877507871</c:v>
                </c:pt>
                <c:pt idx="15">
                  <c:v>1.1206380151687549</c:v>
                </c:pt>
                <c:pt idx="16">
                  <c:v>1.1447520221843115</c:v>
                </c:pt>
                <c:pt idx="17">
                  <c:v>1.1686713941584315</c:v>
                </c:pt>
                <c:pt idx="18">
                  <c:v>1.1923984781002164</c:v>
                </c:pt>
                <c:pt idx="19">
                  <c:v>1.2159355834345844</c:v>
                </c:pt>
                <c:pt idx="20">
                  <c:v>1.2392849827515979</c:v>
                </c:pt>
              </c:numCache>
            </c:numRef>
          </c:val>
          <c:extLst>
            <c:ext xmlns:c16="http://schemas.microsoft.com/office/drawing/2014/chart" uri="{C3380CC4-5D6E-409C-BE32-E72D297353CC}">
              <c16:uniqueId val="{00000000-279A-4A87-B4F3-95CC31F2BF03}"/>
            </c:ext>
          </c:extLst>
        </c:ser>
        <c:ser>
          <c:idx val="1"/>
          <c:order val="1"/>
          <c:tx>
            <c:strRef>
              <c:f>'C-Graf Simul Tarifa Avançado'!$AZ$10</c:f>
              <c:strCache>
                <c:ptCount val="1"/>
                <c:pt idx="0">
                  <c:v>Taxa de Lucratividade — Acionista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Avançado'!$AR$11:$AR$31</c:f>
              <c:numCache>
                <c:formatCode>General</c:formatCode>
                <c:ptCount val="2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numCache>
            </c:numRef>
          </c:cat>
          <c:val>
            <c:numRef>
              <c:f>'C-Graf Simul Tarifa Avançado'!$AZ$11:$AZ$31</c:f>
              <c:numCache>
                <c:formatCode>0%</c:formatCode>
                <c:ptCount val="21"/>
                <c:pt idx="0">
                  <c:v>-0.39385447267820278</c:v>
                </c:pt>
                <c:pt idx="1">
                  <c:v>-0.378167589431816</c:v>
                </c:pt>
                <c:pt idx="2">
                  <c:v>-0.35828466873470827</c:v>
                </c:pt>
                <c:pt idx="3">
                  <c:v>-0.33425955497345039</c:v>
                </c:pt>
                <c:pt idx="4">
                  <c:v>-0.306145175202581</c:v>
                </c:pt>
                <c:pt idx="5">
                  <c:v>-0.273993558597173</c:v>
                </c:pt>
                <c:pt idx="6">
                  <c:v>-0.23785585541248497</c:v>
                </c:pt>
                <c:pt idx="7">
                  <c:v>-0.19778235546521097</c:v>
                </c:pt>
                <c:pt idx="8">
                  <c:v>-0.15382250615035153</c:v>
                </c:pt>
                <c:pt idx="9">
                  <c:v>-0.10602493000726242</c:v>
                </c:pt>
                <c:pt idx="10">
                  <c:v>-1.362359425004131E-2</c:v>
                </c:pt>
                <c:pt idx="11">
                  <c:v>7.8013421067896854E-2</c:v>
                </c:pt>
                <c:pt idx="12">
                  <c:v>0.16889556028351785</c:v>
                </c:pt>
                <c:pt idx="13">
                  <c:v>0.25903211277325622</c:v>
                </c:pt>
                <c:pt idx="14">
                  <c:v>0.3484322161182285</c:v>
                </c:pt>
                <c:pt idx="15">
                  <c:v>0.43710485919217867</c:v>
                </c:pt>
                <c:pt idx="16">
                  <c:v>0.52505888517434829</c:v>
                </c:pt>
                <c:pt idx="17">
                  <c:v>0.61230299448939163</c:v>
                </c:pt>
                <c:pt idx="18">
                  <c:v>0.69884574767638918</c:v>
                </c:pt>
                <c:pt idx="19">
                  <c:v>0.78469556818894604</c:v>
                </c:pt>
                <c:pt idx="20">
                  <c:v>0.86986074512829825</c:v>
                </c:pt>
              </c:numCache>
            </c:numRef>
          </c:val>
          <c:extLst>
            <c:ext xmlns:c16="http://schemas.microsoft.com/office/drawing/2014/chart" uri="{C3380CC4-5D6E-409C-BE32-E72D297353CC}">
              <c16:uniqueId val="{00000001-279A-4A87-B4F3-95CC31F2BF03}"/>
            </c:ext>
          </c:extLst>
        </c:ser>
        <c:dLbls>
          <c:showLegendKey val="0"/>
          <c:showVal val="0"/>
          <c:showCatName val="0"/>
          <c:showSerName val="0"/>
          <c:showPercent val="0"/>
          <c:showBubbleSize val="0"/>
        </c:dLbls>
        <c:gapWidth val="100"/>
        <c:overlap val="-24"/>
        <c:axId val="219300992"/>
        <c:axId val="219302912"/>
      </c:barChart>
      <c:catAx>
        <c:axId val="219300992"/>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pt-BR"/>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19302912"/>
        <c:crosses val="autoZero"/>
        <c:auto val="1"/>
        <c:lblAlgn val="ctr"/>
        <c:lblOffset val="100"/>
        <c:noMultiLvlLbl val="1"/>
      </c:catAx>
      <c:valAx>
        <c:axId val="219302912"/>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pt-B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19300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2.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 Id="rId9"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17320</xdr:rowOff>
    </xdr:from>
    <xdr:to>
      <xdr:col>7</xdr:col>
      <xdr:colOff>322771</xdr:colOff>
      <xdr:row>20</xdr:row>
      <xdr:rowOff>225136</xdr:rowOff>
    </xdr:to>
    <xdr:pic>
      <xdr:nvPicPr>
        <xdr:cNvPr id="2" name="Imagem 1">
          <a:extLst>
            <a:ext uri="{FF2B5EF4-FFF2-40B4-BE49-F238E27FC236}">
              <a16:creationId xmlns:a16="http://schemas.microsoft.com/office/drawing/2014/main" id="{AE77FD8E-AED4-4440-A9E5-07A638DBB162}"/>
            </a:ext>
          </a:extLst>
        </xdr:cNvPr>
        <xdr:cNvPicPr>
          <a:picLocks noChangeAspect="1"/>
        </xdr:cNvPicPr>
      </xdr:nvPicPr>
      <xdr:blipFill>
        <a:blip xmlns:r="http://schemas.openxmlformats.org/officeDocument/2006/relationships" r:embed="rId1"/>
        <a:stretch>
          <a:fillRect/>
        </a:stretch>
      </xdr:blipFill>
      <xdr:spPr>
        <a:xfrm>
          <a:off x="0" y="2675661"/>
          <a:ext cx="6739157" cy="3602180"/>
        </a:xfrm>
        <a:prstGeom prst="rect">
          <a:avLst/>
        </a:prstGeom>
      </xdr:spPr>
    </xdr:pic>
    <xdr:clientData/>
  </xdr:twoCellAnchor>
  <xdr:twoCellAnchor editAs="oneCell">
    <xdr:from>
      <xdr:col>1</xdr:col>
      <xdr:colOff>79375</xdr:colOff>
      <xdr:row>0</xdr:row>
      <xdr:rowOff>0</xdr:rowOff>
    </xdr:from>
    <xdr:to>
      <xdr:col>17</xdr:col>
      <xdr:colOff>668260</xdr:colOff>
      <xdr:row>3</xdr:row>
      <xdr:rowOff>125275</xdr:rowOff>
    </xdr:to>
    <xdr:pic>
      <xdr:nvPicPr>
        <xdr:cNvPr id="5" name="Imagem 4">
          <a:extLst>
            <a:ext uri="{FF2B5EF4-FFF2-40B4-BE49-F238E27FC236}">
              <a16:creationId xmlns:a16="http://schemas.microsoft.com/office/drawing/2014/main" id="{4A83EC2E-0BA8-42B2-813A-F0A0E08045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54000" y="0"/>
          <a:ext cx="13574635" cy="2204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7</xdr:col>
      <xdr:colOff>152401</xdr:colOff>
      <xdr:row>4</xdr:row>
      <xdr:rowOff>112078</xdr:rowOff>
    </xdr:from>
    <xdr:ext cx="9784079" cy="4134802"/>
    <xdr:graphicFrame macro="">
      <xdr:nvGraphicFramePr>
        <xdr:cNvPr id="3" name="Chart 3">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278116</xdr:colOff>
      <xdr:row>1</xdr:row>
      <xdr:rowOff>21445</xdr:rowOff>
    </xdr:from>
    <xdr:ext cx="2795284" cy="628795"/>
    <xdr:pic>
      <xdr:nvPicPr>
        <xdr:cNvPr id="2" name="image14.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2" cstate="print"/>
        <a:stretch>
          <a:fillRect/>
        </a:stretch>
      </xdr:blipFill>
      <xdr:spPr>
        <a:xfrm>
          <a:off x="4951716" y="82405"/>
          <a:ext cx="2795284" cy="62879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5</xdr:col>
      <xdr:colOff>100178</xdr:colOff>
      <xdr:row>1</xdr:row>
      <xdr:rowOff>301383</xdr:rowOff>
    </xdr:from>
    <xdr:ext cx="1080000" cy="252000"/>
    <xdr:sp macro="[0]!AtualizaPreco" textlink="">
      <xdr:nvSpPr>
        <xdr:cNvPr id="2" name="Retângulo: Cantos Arredondados 1">
          <a:extLst>
            <a:ext uri="{FF2B5EF4-FFF2-40B4-BE49-F238E27FC236}">
              <a16:creationId xmlns:a16="http://schemas.microsoft.com/office/drawing/2014/main" id="{00000000-0008-0000-0B00-000002000000}"/>
            </a:ext>
          </a:extLst>
        </xdr:cNvPr>
        <xdr:cNvSpPr/>
      </xdr:nvSpPr>
      <xdr:spPr>
        <a:xfrm>
          <a:off x="4855058" y="362343"/>
          <a:ext cx="1080000" cy="252000"/>
        </a:xfrm>
        <a:prstGeom prst="roundRect">
          <a:avLst/>
        </a:prstGeom>
        <a:solidFill>
          <a:schemeClr val="accent6">
            <a:lumMod val="40000"/>
            <a:lumOff val="60000"/>
          </a:schemeClr>
        </a:solidFill>
        <a:ln w="12700" cap="flat" cmpd="sng" algn="ctr">
          <a:solidFill>
            <a:schemeClr val="accent6">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lang="pt-BR" sz="1100" b="1">
              <a:solidFill>
                <a:sysClr val="windowText" lastClr="000000"/>
              </a:solidFill>
            </a:rPr>
            <a:t>Atualizar</a:t>
          </a:r>
        </a:p>
      </xdr:txBody>
    </xdr:sp>
    <xdr:clientData fLocksWithSheet="0"/>
  </xdr:oneCellAnchor>
  <xdr:oneCellAnchor>
    <xdr:from>
      <xdr:col>23</xdr:col>
      <xdr:colOff>85089</xdr:colOff>
      <xdr:row>2</xdr:row>
      <xdr:rowOff>193040</xdr:rowOff>
    </xdr:from>
    <xdr:ext cx="1080000" cy="252000"/>
    <xdr:sp macro="[0]!AtualizaPrazo" textlink="">
      <xdr:nvSpPr>
        <xdr:cNvPr id="3" name="Retângulo: Cantos Arredondados 2">
          <a:extLst>
            <a:ext uri="{FF2B5EF4-FFF2-40B4-BE49-F238E27FC236}">
              <a16:creationId xmlns:a16="http://schemas.microsoft.com/office/drawing/2014/main" id="{00000000-0008-0000-0B00-000003000000}"/>
            </a:ext>
          </a:extLst>
        </xdr:cNvPr>
        <xdr:cNvSpPr/>
      </xdr:nvSpPr>
      <xdr:spPr>
        <a:xfrm>
          <a:off x="17235169" y="508000"/>
          <a:ext cx="1080000" cy="252000"/>
        </a:xfrm>
        <a:prstGeom prst="roundRect">
          <a:avLst/>
        </a:prstGeom>
        <a:solidFill>
          <a:schemeClr val="accent6">
            <a:lumMod val="40000"/>
            <a:lumOff val="60000"/>
          </a:schemeClr>
        </a:solidFill>
        <a:ln w="12700" cap="flat" cmpd="sng" algn="ctr">
          <a:solidFill>
            <a:schemeClr val="accent6">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lang="pt-BR" sz="1100" b="1">
              <a:solidFill>
                <a:sysClr val="windowText" lastClr="000000"/>
              </a:solidFill>
            </a:rPr>
            <a:t>Atualizar</a:t>
          </a:r>
        </a:p>
      </xdr:txBody>
    </xdr:sp>
    <xdr:clientData fLocksWithSheet="0"/>
  </xdr:oneCellAnchor>
  <xdr:oneCellAnchor>
    <xdr:from>
      <xdr:col>0</xdr:col>
      <xdr:colOff>333375</xdr:colOff>
      <xdr:row>6</xdr:row>
      <xdr:rowOff>171450</xdr:rowOff>
    </xdr:from>
    <xdr:ext cx="11420475" cy="3276600"/>
    <xdr:graphicFrame macro="">
      <xdr:nvGraphicFramePr>
        <xdr:cNvPr id="4" name="Chart 4">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0</xdr:colOff>
      <xdr:row>23</xdr:row>
      <xdr:rowOff>55826</xdr:rowOff>
    </xdr:from>
    <xdr:ext cx="11420475" cy="3324225"/>
    <xdr:graphicFrame macro="">
      <xdr:nvGraphicFramePr>
        <xdr:cNvPr id="5" name="Chart 5">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xdr:col>
      <xdr:colOff>9595</xdr:colOff>
      <xdr:row>40</xdr:row>
      <xdr:rowOff>19714</xdr:rowOff>
    </xdr:from>
    <xdr:ext cx="11420475" cy="3324225"/>
    <xdr:graphicFrame macro="">
      <xdr:nvGraphicFramePr>
        <xdr:cNvPr id="6" name="Chart 6">
          <a:extLst>
            <a:ext uri="{FF2B5EF4-FFF2-40B4-BE49-F238E27FC236}">
              <a16:creationId xmlns:a16="http://schemas.microsoft.com/office/drawing/2014/main" id="{00000000-0008-0000-0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xdr:col>
      <xdr:colOff>6420</xdr:colOff>
      <xdr:row>59</xdr:row>
      <xdr:rowOff>16608</xdr:rowOff>
    </xdr:from>
    <xdr:ext cx="11420475" cy="3324225"/>
    <xdr:graphicFrame macro="">
      <xdr:nvGraphicFramePr>
        <xdr:cNvPr id="7" name="Chart 7">
          <a:extLst>
            <a:ext uri="{FF2B5EF4-FFF2-40B4-BE49-F238E27FC236}">
              <a16:creationId xmlns:a16="http://schemas.microsoft.com/office/drawing/2014/main" id="{00000000-0008-0000-0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15</xdr:col>
      <xdr:colOff>0</xdr:colOff>
      <xdr:row>6</xdr:row>
      <xdr:rowOff>195385</xdr:rowOff>
    </xdr:from>
    <xdr:ext cx="11410950" cy="3276600"/>
    <xdr:graphicFrame macro="">
      <xdr:nvGraphicFramePr>
        <xdr:cNvPr id="8" name="Chart 8">
          <a:extLst>
            <a:ext uri="{FF2B5EF4-FFF2-40B4-BE49-F238E27FC236}">
              <a16:creationId xmlns:a16="http://schemas.microsoft.com/office/drawing/2014/main" id="{00000000-0008-0000-0B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15</xdr:col>
      <xdr:colOff>0</xdr:colOff>
      <xdr:row>23</xdr:row>
      <xdr:rowOff>65351</xdr:rowOff>
    </xdr:from>
    <xdr:ext cx="11410950" cy="3324225"/>
    <xdr:graphicFrame macro="">
      <xdr:nvGraphicFramePr>
        <xdr:cNvPr id="9" name="Chart 9">
          <a:extLst>
            <a:ext uri="{FF2B5EF4-FFF2-40B4-BE49-F238E27FC236}">
              <a16:creationId xmlns:a16="http://schemas.microsoft.com/office/drawing/2014/main" id="{00000000-0008-0000-0B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15</xdr:col>
      <xdr:colOff>0</xdr:colOff>
      <xdr:row>59</xdr:row>
      <xdr:rowOff>26133</xdr:rowOff>
    </xdr:from>
    <xdr:ext cx="11401425" cy="3324225"/>
    <xdr:graphicFrame macro="">
      <xdr:nvGraphicFramePr>
        <xdr:cNvPr id="10" name="Chart 10">
          <a:extLst>
            <a:ext uri="{FF2B5EF4-FFF2-40B4-BE49-F238E27FC236}">
              <a16:creationId xmlns:a16="http://schemas.microsoft.com/office/drawing/2014/main" id="{00000000-0008-0000-0B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15</xdr:col>
      <xdr:colOff>0</xdr:colOff>
      <xdr:row>40</xdr:row>
      <xdr:rowOff>19714</xdr:rowOff>
    </xdr:from>
    <xdr:ext cx="11439525" cy="3324225"/>
    <xdr:graphicFrame macro="">
      <xdr:nvGraphicFramePr>
        <xdr:cNvPr id="11" name="Chart 11">
          <a:extLst>
            <a:ext uri="{FF2B5EF4-FFF2-40B4-BE49-F238E27FC236}">
              <a16:creationId xmlns:a16="http://schemas.microsoft.com/office/drawing/2014/main" id="{00000000-0008-0000-0B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7</xdr:col>
      <xdr:colOff>92483</xdr:colOff>
      <xdr:row>1</xdr:row>
      <xdr:rowOff>2358</xdr:rowOff>
    </xdr:from>
    <xdr:ext cx="2340000" cy="612000"/>
    <xdr:pic>
      <xdr:nvPicPr>
        <xdr:cNvPr id="12" name="image15.png">
          <a:extLst>
            <a:ext uri="{FF2B5EF4-FFF2-40B4-BE49-F238E27FC236}">
              <a16:creationId xmlns:a16="http://schemas.microsoft.com/office/drawing/2014/main" id="{00000000-0008-0000-0B00-00000C000000}"/>
            </a:ext>
          </a:extLst>
        </xdr:cNvPr>
        <xdr:cNvPicPr preferRelativeResize="0"/>
      </xdr:nvPicPr>
      <xdr:blipFill>
        <a:blip xmlns:r="http://schemas.openxmlformats.org/officeDocument/2006/relationships" r:embed="rId9" cstate="print"/>
        <a:stretch>
          <a:fillRect/>
        </a:stretch>
      </xdr:blipFill>
      <xdr:spPr>
        <a:xfrm>
          <a:off x="6716803" y="63318"/>
          <a:ext cx="2340000" cy="612000"/>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12700</xdr:colOff>
      <xdr:row>4</xdr:row>
      <xdr:rowOff>60960</xdr:rowOff>
    </xdr:from>
    <xdr:ext cx="12758420" cy="6146800"/>
    <xdr:graphicFrame macro="">
      <xdr:nvGraphicFramePr>
        <xdr:cNvPr id="2" name="Chart 2">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141604</xdr:colOff>
      <xdr:row>1</xdr:row>
      <xdr:rowOff>10159</xdr:rowOff>
    </xdr:from>
    <xdr:ext cx="2340000" cy="612000"/>
    <xdr:pic>
      <xdr:nvPicPr>
        <xdr:cNvPr id="3" name="image13.png">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xfrm>
          <a:off x="6806564" y="71119"/>
          <a:ext cx="2340000" cy="612000"/>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7</xdr:col>
      <xdr:colOff>10160</xdr:colOff>
      <xdr:row>2</xdr:row>
      <xdr:rowOff>91440</xdr:rowOff>
    </xdr:from>
    <xdr:ext cx="2185684" cy="486555"/>
    <xdr:pic>
      <xdr:nvPicPr>
        <xdr:cNvPr id="2" name="image14.png">
          <a:extLst>
            <a:ext uri="{FF2B5EF4-FFF2-40B4-BE49-F238E27FC236}">
              <a16:creationId xmlns:a16="http://schemas.microsoft.com/office/drawing/2014/main" id="{5088F3B7-5070-44BB-A6C3-41A99C520119}"/>
            </a:ext>
          </a:extLst>
        </xdr:cNvPr>
        <xdr:cNvPicPr preferRelativeResize="0"/>
      </xdr:nvPicPr>
      <xdr:blipFill>
        <a:blip xmlns:r="http://schemas.openxmlformats.org/officeDocument/2006/relationships" r:embed="rId1" cstate="print"/>
        <a:stretch>
          <a:fillRect/>
        </a:stretch>
      </xdr:blipFill>
      <xdr:spPr>
        <a:xfrm>
          <a:off x="7254240" y="599440"/>
          <a:ext cx="2185684" cy="486555"/>
        </a:xfrm>
        <a:prstGeom prst="rect">
          <a:avLst/>
        </a:prstGeom>
        <a:noFill/>
      </xdr:spPr>
    </xdr:pic>
    <xdr:clientData fLocksWithSheet="0"/>
  </xdr:oneCellAnchor>
  <xdr:twoCellAnchor editAs="oneCell">
    <xdr:from>
      <xdr:col>19</xdr:col>
      <xdr:colOff>677334</xdr:colOff>
      <xdr:row>2</xdr:row>
      <xdr:rowOff>58170</xdr:rowOff>
    </xdr:from>
    <xdr:to>
      <xdr:col>21</xdr:col>
      <xdr:colOff>778934</xdr:colOff>
      <xdr:row>5</xdr:row>
      <xdr:rowOff>31674</xdr:rowOff>
    </xdr:to>
    <xdr:pic>
      <xdr:nvPicPr>
        <xdr:cNvPr id="4" name="Imagem 3">
          <a:extLst>
            <a:ext uri="{FF2B5EF4-FFF2-40B4-BE49-F238E27FC236}">
              <a16:creationId xmlns:a16="http://schemas.microsoft.com/office/drawing/2014/main" id="{5E939F23-14CB-442A-AE90-E8A544D13169}"/>
            </a:ext>
          </a:extLst>
        </xdr:cNvPr>
        <xdr:cNvPicPr>
          <a:picLocks noChangeAspect="1"/>
        </xdr:cNvPicPr>
      </xdr:nvPicPr>
      <xdr:blipFill>
        <a:blip xmlns:r="http://schemas.openxmlformats.org/officeDocument/2006/relationships" r:embed="rId2"/>
        <a:stretch>
          <a:fillRect/>
        </a:stretch>
      </xdr:blipFill>
      <xdr:spPr>
        <a:xfrm>
          <a:off x="16603134" y="566170"/>
          <a:ext cx="2023533" cy="5407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7</xdr:col>
      <xdr:colOff>20320</xdr:colOff>
      <xdr:row>2</xdr:row>
      <xdr:rowOff>86666</xdr:rowOff>
    </xdr:from>
    <xdr:ext cx="2185684" cy="486555"/>
    <xdr:pic>
      <xdr:nvPicPr>
        <xdr:cNvPr id="2" name="image14.png">
          <a:extLst>
            <a:ext uri="{FF2B5EF4-FFF2-40B4-BE49-F238E27FC236}">
              <a16:creationId xmlns:a16="http://schemas.microsoft.com/office/drawing/2014/main" id="{49063134-DE14-4672-AB15-A84285FDF15C}"/>
            </a:ext>
          </a:extLst>
        </xdr:cNvPr>
        <xdr:cNvPicPr preferRelativeResize="0"/>
      </xdr:nvPicPr>
      <xdr:blipFill>
        <a:blip xmlns:r="http://schemas.openxmlformats.org/officeDocument/2006/relationships" r:embed="rId1" cstate="print"/>
        <a:stretch>
          <a:fillRect/>
        </a:stretch>
      </xdr:blipFill>
      <xdr:spPr>
        <a:xfrm>
          <a:off x="7264400" y="594666"/>
          <a:ext cx="2185684" cy="486555"/>
        </a:xfrm>
        <a:prstGeom prst="rect">
          <a:avLst/>
        </a:prstGeom>
        <a:noFill/>
      </xdr:spPr>
    </xdr:pic>
    <xdr:clientData fLocksWithSheet="0"/>
  </xdr:oneCellAnchor>
  <xdr:twoCellAnchor editAs="oneCell">
    <xdr:from>
      <xdr:col>19</xdr:col>
      <xdr:colOff>735264</xdr:colOff>
      <xdr:row>2</xdr:row>
      <xdr:rowOff>66842</xdr:rowOff>
    </xdr:from>
    <xdr:to>
      <xdr:col>27</xdr:col>
      <xdr:colOff>26626</xdr:colOff>
      <xdr:row>5</xdr:row>
      <xdr:rowOff>39455</xdr:rowOff>
    </xdr:to>
    <xdr:pic>
      <xdr:nvPicPr>
        <xdr:cNvPr id="4" name="Imagem 3">
          <a:extLst>
            <a:ext uri="{FF2B5EF4-FFF2-40B4-BE49-F238E27FC236}">
              <a16:creationId xmlns:a16="http://schemas.microsoft.com/office/drawing/2014/main" id="{701D5E86-7C3D-4BDE-BA9D-24B87B8B7CE2}"/>
            </a:ext>
          </a:extLst>
        </xdr:cNvPr>
        <xdr:cNvPicPr>
          <a:picLocks noChangeAspect="1"/>
        </xdr:cNvPicPr>
      </xdr:nvPicPr>
      <xdr:blipFill>
        <a:blip xmlns:r="http://schemas.openxmlformats.org/officeDocument/2006/relationships" r:embed="rId2"/>
        <a:stretch>
          <a:fillRect/>
        </a:stretch>
      </xdr:blipFill>
      <xdr:spPr>
        <a:xfrm>
          <a:off x="16610264" y="568158"/>
          <a:ext cx="2023533" cy="5407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7</xdr:col>
      <xdr:colOff>10160</xdr:colOff>
      <xdr:row>2</xdr:row>
      <xdr:rowOff>96826</xdr:rowOff>
    </xdr:from>
    <xdr:ext cx="2185684" cy="486555"/>
    <xdr:pic>
      <xdr:nvPicPr>
        <xdr:cNvPr id="2" name="image14.png">
          <a:extLst>
            <a:ext uri="{FF2B5EF4-FFF2-40B4-BE49-F238E27FC236}">
              <a16:creationId xmlns:a16="http://schemas.microsoft.com/office/drawing/2014/main" id="{26736760-D426-4508-9AF3-18202BE7FB3B}"/>
            </a:ext>
          </a:extLst>
        </xdr:cNvPr>
        <xdr:cNvPicPr preferRelativeResize="0"/>
      </xdr:nvPicPr>
      <xdr:blipFill>
        <a:blip xmlns:r="http://schemas.openxmlformats.org/officeDocument/2006/relationships" r:embed="rId1" cstate="print"/>
        <a:stretch>
          <a:fillRect/>
        </a:stretch>
      </xdr:blipFill>
      <xdr:spPr>
        <a:xfrm>
          <a:off x="7254240" y="604826"/>
          <a:ext cx="2185684" cy="486555"/>
        </a:xfrm>
        <a:prstGeom prst="rect">
          <a:avLst/>
        </a:prstGeom>
        <a:noFill/>
      </xdr:spPr>
    </xdr:pic>
    <xdr:clientData fLocksWithSheet="0"/>
  </xdr:oneCellAnchor>
  <xdr:twoCellAnchor editAs="oneCell">
    <xdr:from>
      <xdr:col>19</xdr:col>
      <xdr:colOff>728134</xdr:colOff>
      <xdr:row>2</xdr:row>
      <xdr:rowOff>42334</xdr:rowOff>
    </xdr:from>
    <xdr:to>
      <xdr:col>27</xdr:col>
      <xdr:colOff>8467</xdr:colOff>
      <xdr:row>5</xdr:row>
      <xdr:rowOff>15838</xdr:rowOff>
    </xdr:to>
    <xdr:pic>
      <xdr:nvPicPr>
        <xdr:cNvPr id="4" name="Imagem 3">
          <a:extLst>
            <a:ext uri="{FF2B5EF4-FFF2-40B4-BE49-F238E27FC236}">
              <a16:creationId xmlns:a16="http://schemas.microsoft.com/office/drawing/2014/main" id="{29C3C77B-D81C-4CBB-A7E6-1AF1A242A340}"/>
            </a:ext>
          </a:extLst>
        </xdr:cNvPr>
        <xdr:cNvPicPr>
          <a:picLocks noChangeAspect="1"/>
        </xdr:cNvPicPr>
      </xdr:nvPicPr>
      <xdr:blipFill>
        <a:blip xmlns:r="http://schemas.openxmlformats.org/officeDocument/2006/relationships" r:embed="rId2"/>
        <a:stretch>
          <a:fillRect/>
        </a:stretch>
      </xdr:blipFill>
      <xdr:spPr>
        <a:xfrm>
          <a:off x="16653934" y="550334"/>
          <a:ext cx="2023533" cy="5407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7</xdr:col>
      <xdr:colOff>10160</xdr:colOff>
      <xdr:row>2</xdr:row>
      <xdr:rowOff>96826</xdr:rowOff>
    </xdr:from>
    <xdr:ext cx="2185684" cy="486555"/>
    <xdr:pic>
      <xdr:nvPicPr>
        <xdr:cNvPr id="2" name="image14.png">
          <a:extLst>
            <a:ext uri="{FF2B5EF4-FFF2-40B4-BE49-F238E27FC236}">
              <a16:creationId xmlns:a16="http://schemas.microsoft.com/office/drawing/2014/main" id="{2B171B99-CE47-42FC-8086-2167D91D8689}"/>
            </a:ext>
          </a:extLst>
        </xdr:cNvPr>
        <xdr:cNvPicPr preferRelativeResize="0"/>
      </xdr:nvPicPr>
      <xdr:blipFill>
        <a:blip xmlns:r="http://schemas.openxmlformats.org/officeDocument/2006/relationships" r:embed="rId1" cstate="print"/>
        <a:stretch>
          <a:fillRect/>
        </a:stretch>
      </xdr:blipFill>
      <xdr:spPr>
        <a:xfrm>
          <a:off x="7254240" y="604826"/>
          <a:ext cx="2185684" cy="486555"/>
        </a:xfrm>
        <a:prstGeom prst="rect">
          <a:avLst/>
        </a:prstGeom>
        <a:noFill/>
      </xdr:spPr>
    </xdr:pic>
    <xdr:clientData fLocksWithSheet="0"/>
  </xdr:oneCellAnchor>
  <xdr:twoCellAnchor editAs="oneCell">
    <xdr:from>
      <xdr:col>19</xdr:col>
      <xdr:colOff>736601</xdr:colOff>
      <xdr:row>2</xdr:row>
      <xdr:rowOff>42334</xdr:rowOff>
    </xdr:from>
    <xdr:to>
      <xdr:col>27</xdr:col>
      <xdr:colOff>16934</xdr:colOff>
      <xdr:row>5</xdr:row>
      <xdr:rowOff>15838</xdr:rowOff>
    </xdr:to>
    <xdr:pic>
      <xdr:nvPicPr>
        <xdr:cNvPr id="4" name="Imagem 3">
          <a:extLst>
            <a:ext uri="{FF2B5EF4-FFF2-40B4-BE49-F238E27FC236}">
              <a16:creationId xmlns:a16="http://schemas.microsoft.com/office/drawing/2014/main" id="{07D3CC22-5421-40B1-8880-BB4DF0784B5E}"/>
            </a:ext>
          </a:extLst>
        </xdr:cNvPr>
        <xdr:cNvPicPr>
          <a:picLocks noChangeAspect="1"/>
        </xdr:cNvPicPr>
      </xdr:nvPicPr>
      <xdr:blipFill>
        <a:blip xmlns:r="http://schemas.openxmlformats.org/officeDocument/2006/relationships" r:embed="rId2"/>
        <a:stretch>
          <a:fillRect/>
        </a:stretch>
      </xdr:blipFill>
      <xdr:spPr>
        <a:xfrm>
          <a:off x="16662401" y="550334"/>
          <a:ext cx="2023533" cy="5407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7</xdr:col>
      <xdr:colOff>20320</xdr:colOff>
      <xdr:row>2</xdr:row>
      <xdr:rowOff>86666</xdr:rowOff>
    </xdr:from>
    <xdr:ext cx="2185684" cy="486555"/>
    <xdr:pic>
      <xdr:nvPicPr>
        <xdr:cNvPr id="2" name="image14.png">
          <a:extLst>
            <a:ext uri="{FF2B5EF4-FFF2-40B4-BE49-F238E27FC236}">
              <a16:creationId xmlns:a16="http://schemas.microsoft.com/office/drawing/2014/main" id="{7774B2FF-9104-4276-8A28-6247D140B3ED}"/>
            </a:ext>
          </a:extLst>
        </xdr:cNvPr>
        <xdr:cNvPicPr preferRelativeResize="0"/>
      </xdr:nvPicPr>
      <xdr:blipFill>
        <a:blip xmlns:r="http://schemas.openxmlformats.org/officeDocument/2006/relationships" r:embed="rId1" cstate="print"/>
        <a:stretch>
          <a:fillRect/>
        </a:stretch>
      </xdr:blipFill>
      <xdr:spPr>
        <a:xfrm>
          <a:off x="7264400" y="594666"/>
          <a:ext cx="2185684" cy="486555"/>
        </a:xfrm>
        <a:prstGeom prst="rect">
          <a:avLst/>
        </a:prstGeom>
        <a:noFill/>
      </xdr:spPr>
    </xdr:pic>
    <xdr:clientData fLocksWithSheet="0"/>
  </xdr:oneCellAnchor>
  <xdr:twoCellAnchor editAs="oneCell">
    <xdr:from>
      <xdr:col>19</xdr:col>
      <xdr:colOff>736601</xdr:colOff>
      <xdr:row>2</xdr:row>
      <xdr:rowOff>59267</xdr:rowOff>
    </xdr:from>
    <xdr:to>
      <xdr:col>27</xdr:col>
      <xdr:colOff>16934</xdr:colOff>
      <xdr:row>5</xdr:row>
      <xdr:rowOff>32771</xdr:rowOff>
    </xdr:to>
    <xdr:pic>
      <xdr:nvPicPr>
        <xdr:cNvPr id="4" name="Imagem 3">
          <a:extLst>
            <a:ext uri="{FF2B5EF4-FFF2-40B4-BE49-F238E27FC236}">
              <a16:creationId xmlns:a16="http://schemas.microsoft.com/office/drawing/2014/main" id="{4299EF8D-4BAA-48E0-9CE4-BC5396154664}"/>
            </a:ext>
          </a:extLst>
        </xdr:cNvPr>
        <xdr:cNvPicPr>
          <a:picLocks noChangeAspect="1"/>
        </xdr:cNvPicPr>
      </xdr:nvPicPr>
      <xdr:blipFill>
        <a:blip xmlns:r="http://schemas.openxmlformats.org/officeDocument/2006/relationships" r:embed="rId2"/>
        <a:stretch>
          <a:fillRect/>
        </a:stretch>
      </xdr:blipFill>
      <xdr:spPr>
        <a:xfrm>
          <a:off x="16662401" y="567267"/>
          <a:ext cx="2023533" cy="54077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7</xdr:col>
      <xdr:colOff>10160</xdr:colOff>
      <xdr:row>2</xdr:row>
      <xdr:rowOff>86666</xdr:rowOff>
    </xdr:from>
    <xdr:ext cx="2185684" cy="486555"/>
    <xdr:pic>
      <xdr:nvPicPr>
        <xdr:cNvPr id="2" name="image14.png">
          <a:extLst>
            <a:ext uri="{FF2B5EF4-FFF2-40B4-BE49-F238E27FC236}">
              <a16:creationId xmlns:a16="http://schemas.microsoft.com/office/drawing/2014/main" id="{0CDEFD1C-C1A6-417D-8DB9-BA5CA78F9789}"/>
            </a:ext>
          </a:extLst>
        </xdr:cNvPr>
        <xdr:cNvPicPr preferRelativeResize="0"/>
      </xdr:nvPicPr>
      <xdr:blipFill>
        <a:blip xmlns:r="http://schemas.openxmlformats.org/officeDocument/2006/relationships" r:embed="rId1" cstate="print"/>
        <a:stretch>
          <a:fillRect/>
        </a:stretch>
      </xdr:blipFill>
      <xdr:spPr>
        <a:xfrm>
          <a:off x="7254240" y="594666"/>
          <a:ext cx="2185684" cy="486555"/>
        </a:xfrm>
        <a:prstGeom prst="rect">
          <a:avLst/>
        </a:prstGeom>
        <a:noFill/>
      </xdr:spPr>
    </xdr:pic>
    <xdr:clientData fLocksWithSheet="0"/>
  </xdr:oneCellAnchor>
  <xdr:twoCellAnchor editAs="oneCell">
    <xdr:from>
      <xdr:col>19</xdr:col>
      <xdr:colOff>753533</xdr:colOff>
      <xdr:row>2</xdr:row>
      <xdr:rowOff>50801</xdr:rowOff>
    </xdr:from>
    <xdr:to>
      <xdr:col>27</xdr:col>
      <xdr:colOff>33866</xdr:colOff>
      <xdr:row>5</xdr:row>
      <xdr:rowOff>24305</xdr:rowOff>
    </xdr:to>
    <xdr:pic>
      <xdr:nvPicPr>
        <xdr:cNvPr id="4" name="Imagem 3">
          <a:extLst>
            <a:ext uri="{FF2B5EF4-FFF2-40B4-BE49-F238E27FC236}">
              <a16:creationId xmlns:a16="http://schemas.microsoft.com/office/drawing/2014/main" id="{EE8F95F9-B2CA-4652-85C1-8EC803D94C4B}"/>
            </a:ext>
          </a:extLst>
        </xdr:cNvPr>
        <xdr:cNvPicPr>
          <a:picLocks noChangeAspect="1"/>
        </xdr:cNvPicPr>
      </xdr:nvPicPr>
      <xdr:blipFill>
        <a:blip xmlns:r="http://schemas.openxmlformats.org/officeDocument/2006/relationships" r:embed="rId2"/>
        <a:stretch>
          <a:fillRect/>
        </a:stretch>
      </xdr:blipFill>
      <xdr:spPr>
        <a:xfrm>
          <a:off x="16679333" y="558801"/>
          <a:ext cx="2023533" cy="5407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7</xdr:col>
      <xdr:colOff>10160</xdr:colOff>
      <xdr:row>2</xdr:row>
      <xdr:rowOff>86666</xdr:rowOff>
    </xdr:from>
    <xdr:ext cx="2185684" cy="486555"/>
    <xdr:pic>
      <xdr:nvPicPr>
        <xdr:cNvPr id="2" name="image14.png">
          <a:extLst>
            <a:ext uri="{FF2B5EF4-FFF2-40B4-BE49-F238E27FC236}">
              <a16:creationId xmlns:a16="http://schemas.microsoft.com/office/drawing/2014/main" id="{21FEE48F-8E9B-499A-91AF-13278F977559}"/>
            </a:ext>
          </a:extLst>
        </xdr:cNvPr>
        <xdr:cNvPicPr preferRelativeResize="0"/>
      </xdr:nvPicPr>
      <xdr:blipFill>
        <a:blip xmlns:r="http://schemas.openxmlformats.org/officeDocument/2006/relationships" r:embed="rId1" cstate="print"/>
        <a:stretch>
          <a:fillRect/>
        </a:stretch>
      </xdr:blipFill>
      <xdr:spPr>
        <a:xfrm>
          <a:off x="7254240" y="594666"/>
          <a:ext cx="2185684" cy="486555"/>
        </a:xfrm>
        <a:prstGeom prst="rect">
          <a:avLst/>
        </a:prstGeom>
        <a:noFill/>
      </xdr:spPr>
    </xdr:pic>
    <xdr:clientData fLocksWithSheet="0"/>
  </xdr:oneCellAnchor>
  <xdr:twoCellAnchor editAs="oneCell">
    <xdr:from>
      <xdr:col>19</xdr:col>
      <xdr:colOff>719667</xdr:colOff>
      <xdr:row>2</xdr:row>
      <xdr:rowOff>50800</xdr:rowOff>
    </xdr:from>
    <xdr:to>
      <xdr:col>22</xdr:col>
      <xdr:colOff>0</xdr:colOff>
      <xdr:row>5</xdr:row>
      <xdr:rowOff>24304</xdr:rowOff>
    </xdr:to>
    <xdr:pic>
      <xdr:nvPicPr>
        <xdr:cNvPr id="4" name="Imagem 3">
          <a:extLst>
            <a:ext uri="{FF2B5EF4-FFF2-40B4-BE49-F238E27FC236}">
              <a16:creationId xmlns:a16="http://schemas.microsoft.com/office/drawing/2014/main" id="{A7D93EB3-318C-4C67-B234-7DC11A61BADC}"/>
            </a:ext>
          </a:extLst>
        </xdr:cNvPr>
        <xdr:cNvPicPr>
          <a:picLocks noChangeAspect="1"/>
        </xdr:cNvPicPr>
      </xdr:nvPicPr>
      <xdr:blipFill>
        <a:blip xmlns:r="http://schemas.openxmlformats.org/officeDocument/2006/relationships" r:embed="rId2"/>
        <a:stretch>
          <a:fillRect/>
        </a:stretch>
      </xdr:blipFill>
      <xdr:spPr>
        <a:xfrm>
          <a:off x="16645467" y="558800"/>
          <a:ext cx="2023533" cy="5407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1778000</xdr:colOff>
      <xdr:row>0</xdr:row>
      <xdr:rowOff>19050</xdr:rowOff>
    </xdr:from>
    <xdr:ext cx="2225999" cy="565150"/>
    <xdr:pic>
      <xdr:nvPicPr>
        <xdr:cNvPr id="3" name="image4.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11950700" y="19050"/>
          <a:ext cx="2225999" cy="565150"/>
        </a:xfrm>
        <a:prstGeom prst="rect">
          <a:avLst/>
        </a:prstGeom>
        <a:noFill/>
      </xdr:spPr>
    </xdr:pic>
    <xdr:clientData fLocksWithSheet="0"/>
  </xdr:oneCellAnchor>
</xdr:wsDr>
</file>

<file path=xl/drawings/drawing20.xml><?xml version="1.0" encoding="utf-8"?>
<xdr:wsDr xmlns:xdr="http://schemas.openxmlformats.org/drawingml/2006/spreadsheetDrawing" xmlns:a="http://schemas.openxmlformats.org/drawingml/2006/main">
  <xdr:oneCellAnchor>
    <xdr:from>
      <xdr:col>37</xdr:col>
      <xdr:colOff>171450</xdr:colOff>
      <xdr:row>47</xdr:row>
      <xdr:rowOff>0</xdr:rowOff>
    </xdr:from>
    <xdr:ext cx="12477750" cy="7219950"/>
    <xdr:pic>
      <xdr:nvPicPr>
        <xdr:cNvPr id="2" name="image19.png">
          <a:extLst>
            <a:ext uri="{FF2B5EF4-FFF2-40B4-BE49-F238E27FC236}">
              <a16:creationId xmlns:a16="http://schemas.microsoft.com/office/drawing/2014/main" id="{00000000-0008-0000-1300-000002000000}"/>
            </a:ext>
          </a:extLst>
        </xdr:cNvPr>
        <xdr:cNvPicPr preferRelativeResize="0"/>
      </xdr:nvPicPr>
      <xdr:blipFill>
        <a:blip xmlns:r="http://schemas.openxmlformats.org/officeDocument/2006/relationships" r:embed="rId1" cstate="print"/>
        <a:stretch>
          <a:fillRect/>
        </a:stretch>
      </xdr:blipFill>
      <xdr:spPr>
        <a:xfrm>
          <a:off x="25634950" y="6096000"/>
          <a:ext cx="12477750" cy="7219950"/>
        </a:xfrm>
        <a:prstGeom prst="rect">
          <a:avLst/>
        </a:prstGeom>
        <a:noFill/>
      </xdr:spPr>
    </xdr:pic>
    <xdr:clientData fLocksWithSheet="0"/>
  </xdr:oneCellAnchor>
  <xdr:oneCellAnchor>
    <xdr:from>
      <xdr:col>7</xdr:col>
      <xdr:colOff>20320</xdr:colOff>
      <xdr:row>2</xdr:row>
      <xdr:rowOff>106986</xdr:rowOff>
    </xdr:from>
    <xdr:ext cx="2185684" cy="486555"/>
    <xdr:pic>
      <xdr:nvPicPr>
        <xdr:cNvPr id="3" name="image14.png">
          <a:extLst>
            <a:ext uri="{FF2B5EF4-FFF2-40B4-BE49-F238E27FC236}">
              <a16:creationId xmlns:a16="http://schemas.microsoft.com/office/drawing/2014/main" id="{4370477C-BCC6-4F66-8DFF-ED952FEC29E2}"/>
            </a:ext>
          </a:extLst>
        </xdr:cNvPr>
        <xdr:cNvPicPr preferRelativeResize="0"/>
      </xdr:nvPicPr>
      <xdr:blipFill>
        <a:blip xmlns:r="http://schemas.openxmlformats.org/officeDocument/2006/relationships" r:embed="rId2" cstate="print"/>
        <a:stretch>
          <a:fillRect/>
        </a:stretch>
      </xdr:blipFill>
      <xdr:spPr>
        <a:xfrm>
          <a:off x="7233920" y="614986"/>
          <a:ext cx="2185684" cy="486555"/>
        </a:xfrm>
        <a:prstGeom prst="rect">
          <a:avLst/>
        </a:prstGeom>
        <a:noFill/>
      </xdr:spPr>
    </xdr:pic>
    <xdr:clientData fLocksWithSheet="0"/>
  </xdr:oneCellAnchor>
  <xdr:twoCellAnchor editAs="oneCell">
    <xdr:from>
      <xdr:col>19</xdr:col>
      <xdr:colOff>728132</xdr:colOff>
      <xdr:row>2</xdr:row>
      <xdr:rowOff>76200</xdr:rowOff>
    </xdr:from>
    <xdr:to>
      <xdr:col>22</xdr:col>
      <xdr:colOff>0</xdr:colOff>
      <xdr:row>5</xdr:row>
      <xdr:rowOff>41238</xdr:rowOff>
    </xdr:to>
    <xdr:pic>
      <xdr:nvPicPr>
        <xdr:cNvPr id="5" name="Imagem 4">
          <a:extLst>
            <a:ext uri="{FF2B5EF4-FFF2-40B4-BE49-F238E27FC236}">
              <a16:creationId xmlns:a16="http://schemas.microsoft.com/office/drawing/2014/main" id="{3853DC87-F54E-456C-8687-C4B9CB5A0495}"/>
            </a:ext>
          </a:extLst>
        </xdr:cNvPr>
        <xdr:cNvPicPr>
          <a:picLocks noChangeAspect="1"/>
        </xdr:cNvPicPr>
      </xdr:nvPicPr>
      <xdr:blipFill>
        <a:blip xmlns:r="http://schemas.openxmlformats.org/officeDocument/2006/relationships" r:embed="rId3"/>
        <a:stretch>
          <a:fillRect/>
        </a:stretch>
      </xdr:blipFill>
      <xdr:spPr>
        <a:xfrm>
          <a:off x="16628532" y="584200"/>
          <a:ext cx="2023533" cy="5407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13</xdr:col>
      <xdr:colOff>14968</xdr:colOff>
      <xdr:row>1</xdr:row>
      <xdr:rowOff>34018</xdr:rowOff>
    </xdr:from>
    <xdr:ext cx="1809750" cy="476250"/>
    <xdr:pic>
      <xdr:nvPicPr>
        <xdr:cNvPr id="3" name="image6.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xfrm>
          <a:off x="12783911" y="197304"/>
          <a:ext cx="1809750" cy="4762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13</xdr:col>
      <xdr:colOff>29936</xdr:colOff>
      <xdr:row>0</xdr:row>
      <xdr:rowOff>113846</xdr:rowOff>
    </xdr:from>
    <xdr:ext cx="1838325" cy="514350"/>
    <xdr:pic>
      <xdr:nvPicPr>
        <xdr:cNvPr id="2" name="image7.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2475936" y="113846"/>
          <a:ext cx="1838325" cy="5143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19</xdr:col>
      <xdr:colOff>281448</xdr:colOff>
      <xdr:row>29</xdr:row>
      <xdr:rowOff>21208</xdr:rowOff>
    </xdr:from>
    <xdr:ext cx="0" cy="311727"/>
    <xdr:cxnSp macro="">
      <xdr:nvCxnSpPr>
        <xdr:cNvPr id="52" name="Conector reto 51">
          <a:extLst>
            <a:ext uri="{FF2B5EF4-FFF2-40B4-BE49-F238E27FC236}">
              <a16:creationId xmlns:a16="http://schemas.microsoft.com/office/drawing/2014/main" id="{00000000-0008-0000-0400-000034000000}"/>
            </a:ext>
          </a:extLst>
        </xdr:cNvPr>
        <xdr:cNvCxnSpPr/>
      </xdr:nvCxnSpPr>
      <xdr:spPr>
        <a:xfrm>
          <a:off x="4737031" y="3859430"/>
          <a:ext cx="0" cy="311727"/>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9</xdr:col>
      <xdr:colOff>106716</xdr:colOff>
      <xdr:row>15</xdr:row>
      <xdr:rowOff>9137</xdr:rowOff>
    </xdr:from>
    <xdr:ext cx="440" cy="1141801"/>
    <xdr:cxnSp macro="">
      <xdr:nvCxnSpPr>
        <xdr:cNvPr id="2" name="Conector reto 1">
          <a:extLst>
            <a:ext uri="{FF2B5EF4-FFF2-40B4-BE49-F238E27FC236}">
              <a16:creationId xmlns:a16="http://schemas.microsoft.com/office/drawing/2014/main" id="{00000000-0008-0000-0400-000002000000}"/>
            </a:ext>
          </a:extLst>
        </xdr:cNvPr>
        <xdr:cNvCxnSpPr/>
      </xdr:nvCxnSpPr>
      <xdr:spPr>
        <a:xfrm>
          <a:off x="2507810" y="1945887"/>
          <a:ext cx="440" cy="1141801"/>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295279</xdr:colOff>
      <xdr:row>11</xdr:row>
      <xdr:rowOff>0</xdr:rowOff>
    </xdr:from>
    <xdr:ext cx="22221" cy="5127625"/>
    <xdr:cxnSp macro="">
      <xdr:nvCxnSpPr>
        <xdr:cNvPr id="3" name="Conector reto 2">
          <a:extLst>
            <a:ext uri="{FF2B5EF4-FFF2-40B4-BE49-F238E27FC236}">
              <a16:creationId xmlns:a16="http://schemas.microsoft.com/office/drawing/2014/main" id="{00000000-0008-0000-0400-000003000000}"/>
            </a:ext>
          </a:extLst>
        </xdr:cNvPr>
        <xdr:cNvCxnSpPr/>
      </xdr:nvCxnSpPr>
      <xdr:spPr>
        <a:xfrm>
          <a:off x="469904" y="1500188"/>
          <a:ext cx="22221" cy="5127625"/>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13</xdr:col>
      <xdr:colOff>0</xdr:colOff>
      <xdr:row>24</xdr:row>
      <xdr:rowOff>98136</xdr:rowOff>
    </xdr:from>
    <xdr:ext cx="1152991" cy="4441"/>
    <xdr:cxnSp macro="">
      <xdr:nvCxnSpPr>
        <xdr:cNvPr id="4" name="Conector reto 3">
          <a:extLst>
            <a:ext uri="{FF2B5EF4-FFF2-40B4-BE49-F238E27FC236}">
              <a16:creationId xmlns:a16="http://schemas.microsoft.com/office/drawing/2014/main" id="{00000000-0008-0000-0400-000004000000}"/>
            </a:ext>
          </a:extLst>
        </xdr:cNvPr>
        <xdr:cNvCxnSpPr/>
      </xdr:nvCxnSpPr>
      <xdr:spPr>
        <a:xfrm flipV="1">
          <a:off x="2974731" y="3138809"/>
          <a:ext cx="1152991" cy="4441"/>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8</xdr:col>
      <xdr:colOff>152400</xdr:colOff>
      <xdr:row>21</xdr:row>
      <xdr:rowOff>123825</xdr:rowOff>
    </xdr:from>
    <xdr:ext cx="0" cy="0"/>
    <xdr:cxnSp macro="">
      <xdr:nvCxnSpPr>
        <xdr:cNvPr id="5" name="Conector reto 4">
          <a:extLst>
            <a:ext uri="{FF2B5EF4-FFF2-40B4-BE49-F238E27FC236}">
              <a16:creationId xmlns:a16="http://schemas.microsoft.com/office/drawing/2014/main" id="{00000000-0008-0000-0400-000005000000}"/>
            </a:ext>
          </a:extLst>
        </xdr:cNvPr>
        <xdr:cNvCxnSpPr/>
      </xdr:nvCxnSpPr>
      <xdr:spPr>
        <a:xfrm>
          <a:off x="2174521" y="2000251"/>
          <a:ext cx="0"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6</xdr:col>
      <xdr:colOff>3981</xdr:colOff>
      <xdr:row>14</xdr:row>
      <xdr:rowOff>123789</xdr:rowOff>
    </xdr:from>
    <xdr:ext cx="614795" cy="1"/>
    <xdr:cxnSp macro="">
      <xdr:nvCxnSpPr>
        <xdr:cNvPr id="7" name="Conector reto 6">
          <a:extLst>
            <a:ext uri="{FF2B5EF4-FFF2-40B4-BE49-F238E27FC236}">
              <a16:creationId xmlns:a16="http://schemas.microsoft.com/office/drawing/2014/main" id="{00000000-0008-0000-0400-000007000000}"/>
            </a:ext>
          </a:extLst>
        </xdr:cNvPr>
        <xdr:cNvCxnSpPr/>
      </xdr:nvCxnSpPr>
      <xdr:spPr>
        <a:xfrm flipV="1">
          <a:off x="1506814" y="1933539"/>
          <a:ext cx="614795" cy="1"/>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14</xdr:col>
      <xdr:colOff>9114</xdr:colOff>
      <xdr:row>26</xdr:row>
      <xdr:rowOff>95250</xdr:rowOff>
    </xdr:from>
    <xdr:ext cx="1495836" cy="8362"/>
    <xdr:cxnSp macro="">
      <xdr:nvCxnSpPr>
        <xdr:cNvPr id="8" name="Conector reto 7">
          <a:extLst>
            <a:ext uri="{FF2B5EF4-FFF2-40B4-BE49-F238E27FC236}">
              <a16:creationId xmlns:a16="http://schemas.microsoft.com/office/drawing/2014/main" id="{00000000-0008-0000-0400-000008000000}"/>
            </a:ext>
          </a:extLst>
        </xdr:cNvPr>
        <xdr:cNvCxnSpPr/>
      </xdr:nvCxnSpPr>
      <xdr:spPr>
        <a:xfrm flipV="1">
          <a:off x="3533364" y="3352800"/>
          <a:ext cx="1495836" cy="8362"/>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6</xdr:col>
      <xdr:colOff>378</xdr:colOff>
      <xdr:row>18</xdr:row>
      <xdr:rowOff>122483</xdr:rowOff>
    </xdr:from>
    <xdr:ext cx="1271323" cy="5651"/>
    <xdr:cxnSp macro="">
      <xdr:nvCxnSpPr>
        <xdr:cNvPr id="9" name="Conector reto 8">
          <a:extLst>
            <a:ext uri="{FF2B5EF4-FFF2-40B4-BE49-F238E27FC236}">
              <a16:creationId xmlns:a16="http://schemas.microsoft.com/office/drawing/2014/main" id="{00000000-0008-0000-0400-000009000000}"/>
            </a:ext>
          </a:extLst>
        </xdr:cNvPr>
        <xdr:cNvCxnSpPr/>
      </xdr:nvCxnSpPr>
      <xdr:spPr>
        <a:xfrm>
          <a:off x="1492628" y="2376733"/>
          <a:ext cx="1271323" cy="5651"/>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6</xdr:col>
      <xdr:colOff>4536</xdr:colOff>
      <xdr:row>22</xdr:row>
      <xdr:rowOff>113392</xdr:rowOff>
    </xdr:from>
    <xdr:ext cx="2337026" cy="5670"/>
    <xdr:cxnSp macro="">
      <xdr:nvCxnSpPr>
        <xdr:cNvPr id="10" name="Conector reto 9">
          <a:extLst>
            <a:ext uri="{FF2B5EF4-FFF2-40B4-BE49-F238E27FC236}">
              <a16:creationId xmlns:a16="http://schemas.microsoft.com/office/drawing/2014/main" id="{00000000-0008-0000-0400-00000A000000}"/>
            </a:ext>
          </a:extLst>
        </xdr:cNvPr>
        <xdr:cNvCxnSpPr/>
      </xdr:nvCxnSpPr>
      <xdr:spPr>
        <a:xfrm>
          <a:off x="1520599" y="2883580"/>
          <a:ext cx="2337026" cy="567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20</xdr:col>
      <xdr:colOff>4233</xdr:colOff>
      <xdr:row>36</xdr:row>
      <xdr:rowOff>111125</xdr:rowOff>
    </xdr:from>
    <xdr:ext cx="2115079" cy="1235"/>
    <xdr:cxnSp macro="">
      <xdr:nvCxnSpPr>
        <xdr:cNvPr id="12" name="Conector reto 11">
          <a:extLst>
            <a:ext uri="{FF2B5EF4-FFF2-40B4-BE49-F238E27FC236}">
              <a16:creationId xmlns:a16="http://schemas.microsoft.com/office/drawing/2014/main" id="{00000000-0008-0000-0400-00000C000000}"/>
            </a:ext>
          </a:extLst>
        </xdr:cNvPr>
        <xdr:cNvCxnSpPr/>
      </xdr:nvCxnSpPr>
      <xdr:spPr>
        <a:xfrm flipV="1">
          <a:off x="5250921" y="4833938"/>
          <a:ext cx="2115079" cy="1235"/>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6</xdr:col>
      <xdr:colOff>5772</xdr:colOff>
      <xdr:row>32</xdr:row>
      <xdr:rowOff>109682</xdr:rowOff>
    </xdr:from>
    <xdr:ext cx="2927928" cy="4618"/>
    <xdr:cxnSp macro="">
      <xdr:nvCxnSpPr>
        <xdr:cNvPr id="13" name="Conector reto 12">
          <a:extLst>
            <a:ext uri="{FF2B5EF4-FFF2-40B4-BE49-F238E27FC236}">
              <a16:creationId xmlns:a16="http://schemas.microsoft.com/office/drawing/2014/main" id="{00000000-0008-0000-0400-00000D000000}"/>
            </a:ext>
          </a:extLst>
        </xdr:cNvPr>
        <xdr:cNvCxnSpPr/>
      </xdr:nvCxnSpPr>
      <xdr:spPr>
        <a:xfrm>
          <a:off x="1444047" y="4157807"/>
          <a:ext cx="2927928" cy="4618"/>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13</xdr:col>
      <xdr:colOff>6939</xdr:colOff>
      <xdr:row>42</xdr:row>
      <xdr:rowOff>121885</xdr:rowOff>
    </xdr:from>
    <xdr:ext cx="5174661" cy="1940"/>
    <xdr:cxnSp macro="">
      <xdr:nvCxnSpPr>
        <xdr:cNvPr id="14" name="Conector reto 13">
          <a:extLst>
            <a:ext uri="{FF2B5EF4-FFF2-40B4-BE49-F238E27FC236}">
              <a16:creationId xmlns:a16="http://schemas.microsoft.com/office/drawing/2014/main" id="{00000000-0008-0000-0400-00000E000000}"/>
            </a:ext>
          </a:extLst>
        </xdr:cNvPr>
        <xdr:cNvCxnSpPr/>
      </xdr:nvCxnSpPr>
      <xdr:spPr>
        <a:xfrm>
          <a:off x="2978739" y="5589235"/>
          <a:ext cx="5174661" cy="194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38</xdr:col>
      <xdr:colOff>4618</xdr:colOff>
      <xdr:row>44</xdr:row>
      <xdr:rowOff>103910</xdr:rowOff>
    </xdr:from>
    <xdr:ext cx="1490807" cy="865"/>
    <xdr:cxnSp macro="">
      <xdr:nvCxnSpPr>
        <xdr:cNvPr id="15" name="Conector reto 14">
          <a:extLst>
            <a:ext uri="{FF2B5EF4-FFF2-40B4-BE49-F238E27FC236}">
              <a16:creationId xmlns:a16="http://schemas.microsoft.com/office/drawing/2014/main" id="{00000000-0008-0000-0400-00000F000000}"/>
            </a:ext>
          </a:extLst>
        </xdr:cNvPr>
        <xdr:cNvCxnSpPr/>
      </xdr:nvCxnSpPr>
      <xdr:spPr>
        <a:xfrm>
          <a:off x="9234343" y="5866535"/>
          <a:ext cx="1490807" cy="865"/>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6413</xdr:colOff>
      <xdr:row>42</xdr:row>
      <xdr:rowOff>121883</xdr:rowOff>
    </xdr:from>
    <xdr:ext cx="692727" cy="0"/>
    <xdr:cxnSp macro="">
      <xdr:nvCxnSpPr>
        <xdr:cNvPr id="16" name="Conector reto 15">
          <a:extLst>
            <a:ext uri="{FF2B5EF4-FFF2-40B4-BE49-F238E27FC236}">
              <a16:creationId xmlns:a16="http://schemas.microsoft.com/office/drawing/2014/main" id="{00000000-0008-0000-0400-000010000000}"/>
            </a:ext>
          </a:extLst>
        </xdr:cNvPr>
        <xdr:cNvCxnSpPr/>
      </xdr:nvCxnSpPr>
      <xdr:spPr>
        <a:xfrm>
          <a:off x="9228024" y="6203772"/>
          <a:ext cx="692727"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38</xdr:col>
      <xdr:colOff>881</xdr:colOff>
      <xdr:row>46</xdr:row>
      <xdr:rowOff>134252</xdr:rowOff>
    </xdr:from>
    <xdr:ext cx="2456569" cy="8623"/>
    <xdr:cxnSp macro="">
      <xdr:nvCxnSpPr>
        <xdr:cNvPr id="17" name="Conector reto 16">
          <a:extLst>
            <a:ext uri="{FF2B5EF4-FFF2-40B4-BE49-F238E27FC236}">
              <a16:creationId xmlns:a16="http://schemas.microsoft.com/office/drawing/2014/main" id="{00000000-0008-0000-0400-000011000000}"/>
            </a:ext>
          </a:extLst>
        </xdr:cNvPr>
        <xdr:cNvCxnSpPr/>
      </xdr:nvCxnSpPr>
      <xdr:spPr>
        <a:xfrm>
          <a:off x="9230606" y="6192152"/>
          <a:ext cx="2456569" cy="8623"/>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304800</xdr:colOff>
      <xdr:row>14</xdr:row>
      <xdr:rowOff>106894</xdr:rowOff>
    </xdr:from>
    <xdr:ext cx="420914" cy="454"/>
    <xdr:cxnSp macro="">
      <xdr:nvCxnSpPr>
        <xdr:cNvPr id="18" name="Conector reto 17">
          <a:extLst>
            <a:ext uri="{FF2B5EF4-FFF2-40B4-BE49-F238E27FC236}">
              <a16:creationId xmlns:a16="http://schemas.microsoft.com/office/drawing/2014/main" id="{00000000-0008-0000-0400-000012000000}"/>
            </a:ext>
          </a:extLst>
        </xdr:cNvPr>
        <xdr:cNvCxnSpPr/>
      </xdr:nvCxnSpPr>
      <xdr:spPr>
        <a:xfrm>
          <a:off x="484717" y="1916644"/>
          <a:ext cx="420914" cy="454"/>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305657</xdr:colOff>
      <xdr:row>18</xdr:row>
      <xdr:rowOff>121318</xdr:rowOff>
    </xdr:from>
    <xdr:ext cx="422855" cy="0"/>
    <xdr:cxnSp macro="">
      <xdr:nvCxnSpPr>
        <xdr:cNvPr id="19" name="Conector reto 18">
          <a:extLst>
            <a:ext uri="{FF2B5EF4-FFF2-40B4-BE49-F238E27FC236}">
              <a16:creationId xmlns:a16="http://schemas.microsoft.com/office/drawing/2014/main" id="{00000000-0008-0000-0400-000013000000}"/>
            </a:ext>
          </a:extLst>
        </xdr:cNvPr>
        <xdr:cNvCxnSpPr/>
      </xdr:nvCxnSpPr>
      <xdr:spPr>
        <a:xfrm>
          <a:off x="480282" y="2375568"/>
          <a:ext cx="422855"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301224</xdr:colOff>
      <xdr:row>32</xdr:row>
      <xdr:rowOff>110892</xdr:rowOff>
    </xdr:from>
    <xdr:ext cx="428625" cy="0"/>
    <xdr:cxnSp macro="">
      <xdr:nvCxnSpPr>
        <xdr:cNvPr id="20" name="Conector reto 19">
          <a:extLst>
            <a:ext uri="{FF2B5EF4-FFF2-40B4-BE49-F238E27FC236}">
              <a16:creationId xmlns:a16="http://schemas.microsoft.com/office/drawing/2014/main" id="{00000000-0008-0000-0400-000014000000}"/>
            </a:ext>
          </a:extLst>
        </xdr:cNvPr>
        <xdr:cNvCxnSpPr/>
      </xdr:nvCxnSpPr>
      <xdr:spPr>
        <a:xfrm>
          <a:off x="474085" y="4291309"/>
          <a:ext cx="428625"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307981</xdr:colOff>
      <xdr:row>48</xdr:row>
      <xdr:rowOff>103715</xdr:rowOff>
    </xdr:from>
    <xdr:ext cx="11198219" cy="29635"/>
    <xdr:cxnSp macro="">
      <xdr:nvCxnSpPr>
        <xdr:cNvPr id="21" name="Conector reto 20">
          <a:extLst>
            <a:ext uri="{FF2B5EF4-FFF2-40B4-BE49-F238E27FC236}">
              <a16:creationId xmlns:a16="http://schemas.microsoft.com/office/drawing/2014/main" id="{00000000-0008-0000-0400-000015000000}"/>
            </a:ext>
          </a:extLst>
        </xdr:cNvPr>
        <xdr:cNvCxnSpPr/>
      </xdr:nvCxnSpPr>
      <xdr:spPr>
        <a:xfrm>
          <a:off x="469906" y="6494990"/>
          <a:ext cx="11198219" cy="29635"/>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17</xdr:col>
      <xdr:colOff>36935</xdr:colOff>
      <xdr:row>23</xdr:row>
      <xdr:rowOff>0</xdr:rowOff>
    </xdr:from>
    <xdr:ext cx="2753" cy="182563"/>
    <xdr:cxnSp macro="">
      <xdr:nvCxnSpPr>
        <xdr:cNvPr id="22" name="Conector reto 21">
          <a:extLst>
            <a:ext uri="{FF2B5EF4-FFF2-40B4-BE49-F238E27FC236}">
              <a16:creationId xmlns:a16="http://schemas.microsoft.com/office/drawing/2014/main" id="{00000000-0008-0000-0400-000016000000}"/>
            </a:ext>
          </a:extLst>
        </xdr:cNvPr>
        <xdr:cNvCxnSpPr/>
      </xdr:nvCxnSpPr>
      <xdr:spPr>
        <a:xfrm>
          <a:off x="4212060" y="3000375"/>
          <a:ext cx="2753" cy="182563"/>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12</xdr:col>
      <xdr:colOff>79375</xdr:colOff>
      <xdr:row>19</xdr:row>
      <xdr:rowOff>17371</xdr:rowOff>
    </xdr:from>
    <xdr:ext cx="3243" cy="601754"/>
    <xdr:cxnSp macro="">
      <xdr:nvCxnSpPr>
        <xdr:cNvPr id="23" name="Conector reto 22">
          <a:extLst>
            <a:ext uri="{FF2B5EF4-FFF2-40B4-BE49-F238E27FC236}">
              <a16:creationId xmlns:a16="http://schemas.microsoft.com/office/drawing/2014/main" id="{00000000-0008-0000-0400-000017000000}"/>
            </a:ext>
          </a:extLst>
        </xdr:cNvPr>
        <xdr:cNvCxnSpPr/>
      </xdr:nvCxnSpPr>
      <xdr:spPr>
        <a:xfrm flipH="1">
          <a:off x="2952750" y="2485934"/>
          <a:ext cx="3243" cy="601754"/>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29</xdr:col>
      <xdr:colOff>198438</xdr:colOff>
      <xdr:row>32</xdr:row>
      <xdr:rowOff>149930</xdr:rowOff>
    </xdr:from>
    <xdr:ext cx="4409" cy="79375"/>
    <xdr:cxnSp macro="">
      <xdr:nvCxnSpPr>
        <xdr:cNvPr id="24" name="Conector reto 23">
          <a:extLst>
            <a:ext uri="{FF2B5EF4-FFF2-40B4-BE49-F238E27FC236}">
              <a16:creationId xmlns:a16="http://schemas.microsoft.com/office/drawing/2014/main" id="{00000000-0008-0000-0400-000018000000}"/>
            </a:ext>
          </a:extLst>
        </xdr:cNvPr>
        <xdr:cNvCxnSpPr/>
      </xdr:nvCxnSpPr>
      <xdr:spPr>
        <a:xfrm>
          <a:off x="6244167" y="3073576"/>
          <a:ext cx="4409" cy="79375"/>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19</xdr:col>
      <xdr:colOff>142875</xdr:colOff>
      <xdr:row>22</xdr:row>
      <xdr:rowOff>142875</xdr:rowOff>
    </xdr:from>
    <xdr:ext cx="0" cy="47625"/>
    <xdr:cxnSp macro="">
      <xdr:nvCxnSpPr>
        <xdr:cNvPr id="25" name="Conector reto 24">
          <a:extLst>
            <a:ext uri="{FF2B5EF4-FFF2-40B4-BE49-F238E27FC236}">
              <a16:creationId xmlns:a16="http://schemas.microsoft.com/office/drawing/2014/main" id="{00000000-0008-0000-0400-000019000000}"/>
            </a:ext>
          </a:extLst>
        </xdr:cNvPr>
        <xdr:cNvCxnSpPr/>
      </xdr:nvCxnSpPr>
      <xdr:spPr>
        <a:xfrm flipH="1">
          <a:off x="3885221" y="2149662"/>
          <a:ext cx="864" cy="41088"/>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10</xdr:col>
      <xdr:colOff>2698</xdr:colOff>
      <xdr:row>31</xdr:row>
      <xdr:rowOff>17317</xdr:rowOff>
    </xdr:from>
    <xdr:ext cx="4358" cy="1478461"/>
    <xdr:cxnSp macro="">
      <xdr:nvCxnSpPr>
        <xdr:cNvPr id="27" name="Conector reto 26">
          <a:extLst>
            <a:ext uri="{FF2B5EF4-FFF2-40B4-BE49-F238E27FC236}">
              <a16:creationId xmlns:a16="http://schemas.microsoft.com/office/drawing/2014/main" id="{00000000-0008-0000-0400-00001B000000}"/>
            </a:ext>
          </a:extLst>
        </xdr:cNvPr>
        <xdr:cNvCxnSpPr/>
      </xdr:nvCxnSpPr>
      <xdr:spPr>
        <a:xfrm>
          <a:off x="2729670" y="4148345"/>
          <a:ext cx="4358" cy="1478461"/>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5</xdr:col>
      <xdr:colOff>588152</xdr:colOff>
      <xdr:row>42</xdr:row>
      <xdr:rowOff>112358</xdr:rowOff>
    </xdr:from>
    <xdr:ext cx="907625" cy="531"/>
    <xdr:cxnSp macro="">
      <xdr:nvCxnSpPr>
        <xdr:cNvPr id="28" name="Conector reto 27">
          <a:extLst>
            <a:ext uri="{FF2B5EF4-FFF2-40B4-BE49-F238E27FC236}">
              <a16:creationId xmlns:a16="http://schemas.microsoft.com/office/drawing/2014/main" id="{00000000-0008-0000-0400-00001C000000}"/>
            </a:ext>
          </a:extLst>
        </xdr:cNvPr>
        <xdr:cNvCxnSpPr/>
      </xdr:nvCxnSpPr>
      <xdr:spPr>
        <a:xfrm>
          <a:off x="1484208" y="6194247"/>
          <a:ext cx="907625" cy="531"/>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38</xdr:col>
      <xdr:colOff>3175</xdr:colOff>
      <xdr:row>38</xdr:row>
      <xdr:rowOff>116416</xdr:rowOff>
    </xdr:from>
    <xdr:ext cx="1482725" cy="7409"/>
    <xdr:cxnSp macro="">
      <xdr:nvCxnSpPr>
        <xdr:cNvPr id="29" name="Conector reto 28">
          <a:extLst>
            <a:ext uri="{FF2B5EF4-FFF2-40B4-BE49-F238E27FC236}">
              <a16:creationId xmlns:a16="http://schemas.microsoft.com/office/drawing/2014/main" id="{00000000-0008-0000-0400-00001D000000}"/>
            </a:ext>
          </a:extLst>
        </xdr:cNvPr>
        <xdr:cNvCxnSpPr/>
      </xdr:nvCxnSpPr>
      <xdr:spPr>
        <a:xfrm>
          <a:off x="9232900" y="5031316"/>
          <a:ext cx="1482725" cy="7409"/>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33</xdr:col>
      <xdr:colOff>0</xdr:colOff>
      <xdr:row>36</xdr:row>
      <xdr:rowOff>103611</xdr:rowOff>
    </xdr:from>
    <xdr:ext cx="1514475" cy="10689"/>
    <xdr:cxnSp macro="">
      <xdr:nvCxnSpPr>
        <xdr:cNvPr id="30" name="Conector reto 29">
          <a:extLst>
            <a:ext uri="{FF2B5EF4-FFF2-40B4-BE49-F238E27FC236}">
              <a16:creationId xmlns:a16="http://schemas.microsoft.com/office/drawing/2014/main" id="{00000000-0008-0000-0400-00001E000000}"/>
            </a:ext>
          </a:extLst>
        </xdr:cNvPr>
        <xdr:cNvCxnSpPr/>
      </xdr:nvCxnSpPr>
      <xdr:spPr>
        <a:xfrm>
          <a:off x="8162925" y="4704186"/>
          <a:ext cx="1514475" cy="10689"/>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258762</xdr:colOff>
      <xdr:row>40</xdr:row>
      <xdr:rowOff>112358</xdr:rowOff>
    </xdr:from>
    <xdr:ext cx="2455863" cy="11467"/>
    <xdr:cxnSp macro="">
      <xdr:nvCxnSpPr>
        <xdr:cNvPr id="31" name="Conector reto 30">
          <a:extLst>
            <a:ext uri="{FF2B5EF4-FFF2-40B4-BE49-F238E27FC236}">
              <a16:creationId xmlns:a16="http://schemas.microsoft.com/office/drawing/2014/main" id="{00000000-0008-0000-0400-00001F000000}"/>
            </a:ext>
          </a:extLst>
        </xdr:cNvPr>
        <xdr:cNvCxnSpPr/>
      </xdr:nvCxnSpPr>
      <xdr:spPr>
        <a:xfrm>
          <a:off x="9221787" y="5322533"/>
          <a:ext cx="2455863" cy="11467"/>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32</xdr:col>
      <xdr:colOff>0</xdr:colOff>
      <xdr:row>32</xdr:row>
      <xdr:rowOff>122286</xdr:rowOff>
    </xdr:from>
    <xdr:ext cx="2714625" cy="11064"/>
    <xdr:cxnSp macro="">
      <xdr:nvCxnSpPr>
        <xdr:cNvPr id="33" name="Conector reto 32">
          <a:extLst>
            <a:ext uri="{FF2B5EF4-FFF2-40B4-BE49-F238E27FC236}">
              <a16:creationId xmlns:a16="http://schemas.microsoft.com/office/drawing/2014/main" id="{00000000-0008-0000-0400-000021000000}"/>
            </a:ext>
          </a:extLst>
        </xdr:cNvPr>
        <xdr:cNvCxnSpPr/>
      </xdr:nvCxnSpPr>
      <xdr:spPr>
        <a:xfrm>
          <a:off x="8001000" y="4170411"/>
          <a:ext cx="2714625" cy="11064"/>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38</xdr:col>
      <xdr:colOff>660</xdr:colOff>
      <xdr:row>28</xdr:row>
      <xdr:rowOff>123825</xdr:rowOff>
    </xdr:from>
    <xdr:ext cx="1447140" cy="1904"/>
    <xdr:cxnSp macro="">
      <xdr:nvCxnSpPr>
        <xdr:cNvPr id="35" name="Conector reto 34">
          <a:extLst>
            <a:ext uri="{FF2B5EF4-FFF2-40B4-BE49-F238E27FC236}">
              <a16:creationId xmlns:a16="http://schemas.microsoft.com/office/drawing/2014/main" id="{00000000-0008-0000-0400-000023000000}"/>
            </a:ext>
          </a:extLst>
        </xdr:cNvPr>
        <xdr:cNvCxnSpPr/>
      </xdr:nvCxnSpPr>
      <xdr:spPr>
        <a:xfrm flipV="1">
          <a:off x="9230385" y="3629025"/>
          <a:ext cx="1447140" cy="1904"/>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28</xdr:col>
      <xdr:colOff>2025</xdr:colOff>
      <xdr:row>26</xdr:row>
      <xdr:rowOff>103007</xdr:rowOff>
    </xdr:from>
    <xdr:ext cx="2788800" cy="1768"/>
    <xdr:cxnSp macro="">
      <xdr:nvCxnSpPr>
        <xdr:cNvPr id="36" name="Conector reto 35">
          <a:extLst>
            <a:ext uri="{FF2B5EF4-FFF2-40B4-BE49-F238E27FC236}">
              <a16:creationId xmlns:a16="http://schemas.microsoft.com/office/drawing/2014/main" id="{00000000-0008-0000-0400-000024000000}"/>
            </a:ext>
          </a:extLst>
        </xdr:cNvPr>
        <xdr:cNvCxnSpPr/>
      </xdr:nvCxnSpPr>
      <xdr:spPr>
        <a:xfrm>
          <a:off x="6879075" y="3360557"/>
          <a:ext cx="2788800" cy="1768"/>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38</xdr:col>
      <xdr:colOff>7493</xdr:colOff>
      <xdr:row>30</xdr:row>
      <xdr:rowOff>114300</xdr:rowOff>
    </xdr:from>
    <xdr:ext cx="2430907" cy="9628"/>
    <xdr:cxnSp macro="">
      <xdr:nvCxnSpPr>
        <xdr:cNvPr id="37" name="Conector reto 36">
          <a:extLst>
            <a:ext uri="{FF2B5EF4-FFF2-40B4-BE49-F238E27FC236}">
              <a16:creationId xmlns:a16="http://schemas.microsoft.com/office/drawing/2014/main" id="{00000000-0008-0000-0400-000025000000}"/>
            </a:ext>
          </a:extLst>
        </xdr:cNvPr>
        <xdr:cNvCxnSpPr/>
      </xdr:nvCxnSpPr>
      <xdr:spPr>
        <a:xfrm flipV="1">
          <a:off x="9237218" y="3905250"/>
          <a:ext cx="2430907" cy="9628"/>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266391</xdr:colOff>
      <xdr:row>26</xdr:row>
      <xdr:rowOff>113136</xdr:rowOff>
    </xdr:from>
    <xdr:ext cx="309" cy="549742"/>
    <xdr:cxnSp macro="">
      <xdr:nvCxnSpPr>
        <xdr:cNvPr id="38" name="Conector reto 37">
          <a:extLst>
            <a:ext uri="{FF2B5EF4-FFF2-40B4-BE49-F238E27FC236}">
              <a16:creationId xmlns:a16="http://schemas.microsoft.com/office/drawing/2014/main" id="{00000000-0008-0000-0400-000026000000}"/>
            </a:ext>
          </a:extLst>
        </xdr:cNvPr>
        <xdr:cNvCxnSpPr/>
      </xdr:nvCxnSpPr>
      <xdr:spPr>
        <a:xfrm flipH="1">
          <a:off x="9500220" y="3504965"/>
          <a:ext cx="309" cy="549742"/>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245154</xdr:colOff>
      <xdr:row>24</xdr:row>
      <xdr:rowOff>114300</xdr:rowOff>
    </xdr:from>
    <xdr:ext cx="2469471" cy="7583"/>
    <xdr:cxnSp macro="">
      <xdr:nvCxnSpPr>
        <xdr:cNvPr id="39" name="Conector reto 38">
          <a:extLst>
            <a:ext uri="{FF2B5EF4-FFF2-40B4-BE49-F238E27FC236}">
              <a16:creationId xmlns:a16="http://schemas.microsoft.com/office/drawing/2014/main" id="{00000000-0008-0000-0400-000027000000}"/>
            </a:ext>
          </a:extLst>
        </xdr:cNvPr>
        <xdr:cNvCxnSpPr/>
      </xdr:nvCxnSpPr>
      <xdr:spPr>
        <a:xfrm flipV="1">
          <a:off x="9208179" y="3105150"/>
          <a:ext cx="2469471" cy="7583"/>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22</xdr:col>
      <xdr:colOff>309996</xdr:colOff>
      <xdr:row>22</xdr:row>
      <xdr:rowOff>95250</xdr:rowOff>
    </xdr:from>
    <xdr:ext cx="4100079" cy="2886"/>
    <xdr:cxnSp macro="">
      <xdr:nvCxnSpPr>
        <xdr:cNvPr id="40" name="Conector reto 39">
          <a:extLst>
            <a:ext uri="{FF2B5EF4-FFF2-40B4-BE49-F238E27FC236}">
              <a16:creationId xmlns:a16="http://schemas.microsoft.com/office/drawing/2014/main" id="{00000000-0008-0000-0400-000028000000}"/>
            </a:ext>
          </a:extLst>
        </xdr:cNvPr>
        <xdr:cNvCxnSpPr/>
      </xdr:nvCxnSpPr>
      <xdr:spPr>
        <a:xfrm flipV="1">
          <a:off x="5577321" y="2790825"/>
          <a:ext cx="4100079" cy="2886"/>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264620</xdr:colOff>
      <xdr:row>36</xdr:row>
      <xdr:rowOff>103609</xdr:rowOff>
    </xdr:from>
    <xdr:ext cx="3492" cy="626641"/>
    <xdr:cxnSp macro="">
      <xdr:nvCxnSpPr>
        <xdr:cNvPr id="42" name="Conector reto 41">
          <a:extLst>
            <a:ext uri="{FF2B5EF4-FFF2-40B4-BE49-F238E27FC236}">
              <a16:creationId xmlns:a16="http://schemas.microsoft.com/office/drawing/2014/main" id="{00000000-0008-0000-0400-00002A000000}"/>
            </a:ext>
          </a:extLst>
        </xdr:cNvPr>
        <xdr:cNvCxnSpPr/>
      </xdr:nvCxnSpPr>
      <xdr:spPr>
        <a:xfrm>
          <a:off x="9496814" y="4851998"/>
          <a:ext cx="3492" cy="626641"/>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265545</xdr:colOff>
      <xdr:row>42</xdr:row>
      <xdr:rowOff>111476</xdr:rowOff>
    </xdr:from>
    <xdr:ext cx="1155" cy="627434"/>
    <xdr:cxnSp macro="">
      <xdr:nvCxnSpPr>
        <xdr:cNvPr id="43" name="Conector reto 42">
          <a:extLst>
            <a:ext uri="{FF2B5EF4-FFF2-40B4-BE49-F238E27FC236}">
              <a16:creationId xmlns:a16="http://schemas.microsoft.com/office/drawing/2014/main" id="{00000000-0008-0000-0400-00002B000000}"/>
            </a:ext>
          </a:extLst>
        </xdr:cNvPr>
        <xdr:cNvCxnSpPr/>
      </xdr:nvCxnSpPr>
      <xdr:spPr>
        <a:xfrm flipH="1">
          <a:off x="9542318" y="6092021"/>
          <a:ext cx="1155" cy="627434"/>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257098</xdr:colOff>
      <xdr:row>20</xdr:row>
      <xdr:rowOff>123269</xdr:rowOff>
    </xdr:from>
    <xdr:ext cx="2448002" cy="556"/>
    <xdr:cxnSp macro="">
      <xdr:nvCxnSpPr>
        <xdr:cNvPr id="44" name="Conector reto 43">
          <a:extLst>
            <a:ext uri="{FF2B5EF4-FFF2-40B4-BE49-F238E27FC236}">
              <a16:creationId xmlns:a16="http://schemas.microsoft.com/office/drawing/2014/main" id="{00000000-0008-0000-0400-00002C000000}"/>
            </a:ext>
          </a:extLst>
        </xdr:cNvPr>
        <xdr:cNvCxnSpPr/>
      </xdr:nvCxnSpPr>
      <xdr:spPr>
        <a:xfrm>
          <a:off x="9220123" y="2561669"/>
          <a:ext cx="2448002" cy="556"/>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17</xdr:col>
      <xdr:colOff>271096</xdr:colOff>
      <xdr:row>18</xdr:row>
      <xdr:rowOff>114300</xdr:rowOff>
    </xdr:from>
    <xdr:ext cx="5329604" cy="2931"/>
    <xdr:cxnSp macro="">
      <xdr:nvCxnSpPr>
        <xdr:cNvPr id="45" name="Conector reto 44">
          <a:extLst>
            <a:ext uri="{FF2B5EF4-FFF2-40B4-BE49-F238E27FC236}">
              <a16:creationId xmlns:a16="http://schemas.microsoft.com/office/drawing/2014/main" id="{00000000-0008-0000-0400-00002D000000}"/>
            </a:ext>
          </a:extLst>
        </xdr:cNvPr>
        <xdr:cNvCxnSpPr/>
      </xdr:nvCxnSpPr>
      <xdr:spPr>
        <a:xfrm flipV="1">
          <a:off x="4338271" y="2295525"/>
          <a:ext cx="5329604" cy="2931"/>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247805</xdr:colOff>
      <xdr:row>16</xdr:row>
      <xdr:rowOff>120806</xdr:rowOff>
    </xdr:from>
    <xdr:ext cx="2438245" cy="3019"/>
    <xdr:cxnSp macro="">
      <xdr:nvCxnSpPr>
        <xdr:cNvPr id="47" name="Conector reto 46">
          <a:extLst>
            <a:ext uri="{FF2B5EF4-FFF2-40B4-BE49-F238E27FC236}">
              <a16:creationId xmlns:a16="http://schemas.microsoft.com/office/drawing/2014/main" id="{00000000-0008-0000-0400-00002F000000}"/>
            </a:ext>
          </a:extLst>
        </xdr:cNvPr>
        <xdr:cNvCxnSpPr/>
      </xdr:nvCxnSpPr>
      <xdr:spPr>
        <a:xfrm>
          <a:off x="9210830" y="2054381"/>
          <a:ext cx="2438245" cy="3019"/>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15</xdr:col>
      <xdr:colOff>19050</xdr:colOff>
      <xdr:row>14</xdr:row>
      <xdr:rowOff>107156</xdr:rowOff>
    </xdr:from>
    <xdr:ext cx="6041231" cy="7145"/>
    <xdr:cxnSp macro="">
      <xdr:nvCxnSpPr>
        <xdr:cNvPr id="48" name="Conector reto 47">
          <a:extLst>
            <a:ext uri="{FF2B5EF4-FFF2-40B4-BE49-F238E27FC236}">
              <a16:creationId xmlns:a16="http://schemas.microsoft.com/office/drawing/2014/main" id="{00000000-0008-0000-0400-000030000000}"/>
            </a:ext>
          </a:extLst>
        </xdr:cNvPr>
        <xdr:cNvCxnSpPr/>
      </xdr:nvCxnSpPr>
      <xdr:spPr>
        <a:xfrm flipV="1">
          <a:off x="3614738" y="1809750"/>
          <a:ext cx="6041231" cy="7145"/>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254668</xdr:colOff>
      <xdr:row>14</xdr:row>
      <xdr:rowOff>134157</xdr:rowOff>
    </xdr:from>
    <xdr:ext cx="758" cy="274057"/>
    <xdr:cxnSp macro="">
      <xdr:nvCxnSpPr>
        <xdr:cNvPr id="49" name="Conector reto 48">
          <a:extLst>
            <a:ext uri="{FF2B5EF4-FFF2-40B4-BE49-F238E27FC236}">
              <a16:creationId xmlns:a16="http://schemas.microsoft.com/office/drawing/2014/main" id="{00000000-0008-0000-0400-000031000000}"/>
            </a:ext>
          </a:extLst>
        </xdr:cNvPr>
        <xdr:cNvCxnSpPr/>
      </xdr:nvCxnSpPr>
      <xdr:spPr>
        <a:xfrm flipH="1">
          <a:off x="9488497" y="1868791"/>
          <a:ext cx="758" cy="274057"/>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30</xdr:col>
      <xdr:colOff>88900</xdr:colOff>
      <xdr:row>33</xdr:row>
      <xdr:rowOff>6350</xdr:rowOff>
    </xdr:from>
    <xdr:ext cx="6350" cy="93662"/>
    <xdr:cxnSp macro="">
      <xdr:nvCxnSpPr>
        <xdr:cNvPr id="50" name="Conector reto 49">
          <a:extLst>
            <a:ext uri="{FF2B5EF4-FFF2-40B4-BE49-F238E27FC236}">
              <a16:creationId xmlns:a16="http://schemas.microsoft.com/office/drawing/2014/main" id="{00000000-0008-0000-0400-000032000000}"/>
            </a:ext>
          </a:extLst>
        </xdr:cNvPr>
        <xdr:cNvCxnSpPr/>
      </xdr:nvCxnSpPr>
      <xdr:spPr>
        <a:xfrm>
          <a:off x="7410450" y="4286250"/>
          <a:ext cx="6350" cy="93662"/>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9</xdr:col>
      <xdr:colOff>317500</xdr:colOff>
      <xdr:row>26</xdr:row>
      <xdr:rowOff>109681</xdr:rowOff>
    </xdr:from>
    <xdr:ext cx="331452" cy="657"/>
    <xdr:cxnSp macro="">
      <xdr:nvCxnSpPr>
        <xdr:cNvPr id="51" name="Conector reto 50">
          <a:extLst>
            <a:ext uri="{FF2B5EF4-FFF2-40B4-BE49-F238E27FC236}">
              <a16:creationId xmlns:a16="http://schemas.microsoft.com/office/drawing/2014/main" id="{00000000-0008-0000-0400-000033000000}"/>
            </a:ext>
          </a:extLst>
        </xdr:cNvPr>
        <xdr:cNvCxnSpPr/>
      </xdr:nvCxnSpPr>
      <xdr:spPr>
        <a:xfrm>
          <a:off x="2718955" y="3590636"/>
          <a:ext cx="331452" cy="657"/>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25</xdr:col>
      <xdr:colOff>321814</xdr:colOff>
      <xdr:row>32</xdr:row>
      <xdr:rowOff>108858</xdr:rowOff>
    </xdr:from>
    <xdr:ext cx="319784" cy="1"/>
    <xdr:cxnSp macro="">
      <xdr:nvCxnSpPr>
        <xdr:cNvPr id="53" name="Conector reto 52">
          <a:extLst>
            <a:ext uri="{FF2B5EF4-FFF2-40B4-BE49-F238E27FC236}">
              <a16:creationId xmlns:a16="http://schemas.microsoft.com/office/drawing/2014/main" id="{00000000-0008-0000-0400-000035000000}"/>
            </a:ext>
          </a:extLst>
        </xdr:cNvPr>
        <xdr:cNvCxnSpPr/>
      </xdr:nvCxnSpPr>
      <xdr:spPr>
        <a:xfrm flipV="1">
          <a:off x="6315237" y="4219262"/>
          <a:ext cx="319784" cy="1"/>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19</xdr:col>
      <xdr:colOff>290138</xdr:colOff>
      <xdr:row>33</xdr:row>
      <xdr:rowOff>7056</xdr:rowOff>
    </xdr:from>
    <xdr:ext cx="0" cy="345722"/>
    <xdr:cxnSp macro="">
      <xdr:nvCxnSpPr>
        <xdr:cNvPr id="54" name="Conector reto 53">
          <a:extLst>
            <a:ext uri="{FF2B5EF4-FFF2-40B4-BE49-F238E27FC236}">
              <a16:creationId xmlns:a16="http://schemas.microsoft.com/office/drawing/2014/main" id="{00000000-0008-0000-0400-000036000000}"/>
            </a:ext>
          </a:extLst>
        </xdr:cNvPr>
        <xdr:cNvCxnSpPr/>
      </xdr:nvCxnSpPr>
      <xdr:spPr>
        <a:xfrm>
          <a:off x="4750626" y="4430373"/>
          <a:ext cx="0" cy="345722"/>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20</xdr:col>
      <xdr:colOff>0</xdr:colOff>
      <xdr:row>32</xdr:row>
      <xdr:rowOff>117858</xdr:rowOff>
    </xdr:from>
    <xdr:ext cx="721798" cy="0"/>
    <xdr:cxnSp macro="">
      <xdr:nvCxnSpPr>
        <xdr:cNvPr id="55" name="Conector reto 54">
          <a:extLst>
            <a:ext uri="{FF2B5EF4-FFF2-40B4-BE49-F238E27FC236}">
              <a16:creationId xmlns:a16="http://schemas.microsoft.com/office/drawing/2014/main" id="{00000000-0008-0000-0400-000037000000}"/>
            </a:ext>
          </a:extLst>
        </xdr:cNvPr>
        <xdr:cNvCxnSpPr/>
      </xdr:nvCxnSpPr>
      <xdr:spPr>
        <a:xfrm>
          <a:off x="5064125" y="4467608"/>
          <a:ext cx="721798"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23</xdr:col>
      <xdr:colOff>10440</xdr:colOff>
      <xdr:row>26</xdr:row>
      <xdr:rowOff>103223</xdr:rowOff>
    </xdr:from>
    <xdr:ext cx="104775" cy="0"/>
    <xdr:cxnSp macro="">
      <xdr:nvCxnSpPr>
        <xdr:cNvPr id="56" name="Conector reto 55">
          <a:extLst>
            <a:ext uri="{FF2B5EF4-FFF2-40B4-BE49-F238E27FC236}">
              <a16:creationId xmlns:a16="http://schemas.microsoft.com/office/drawing/2014/main" id="{00000000-0008-0000-0400-000038000000}"/>
            </a:ext>
          </a:extLst>
        </xdr:cNvPr>
        <xdr:cNvCxnSpPr/>
      </xdr:nvCxnSpPr>
      <xdr:spPr>
        <a:xfrm>
          <a:off x="5593555" y="3414992"/>
          <a:ext cx="104775"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19</xdr:col>
      <xdr:colOff>283185</xdr:colOff>
      <xdr:row>24</xdr:row>
      <xdr:rowOff>211668</xdr:rowOff>
    </xdr:from>
    <xdr:ext cx="4329" cy="300181"/>
    <xdr:cxnSp macro="">
      <xdr:nvCxnSpPr>
        <xdr:cNvPr id="57" name="Conector reto 56">
          <a:extLst>
            <a:ext uri="{FF2B5EF4-FFF2-40B4-BE49-F238E27FC236}">
              <a16:creationId xmlns:a16="http://schemas.microsoft.com/office/drawing/2014/main" id="{00000000-0008-0000-0400-000039000000}"/>
            </a:ext>
          </a:extLst>
        </xdr:cNvPr>
        <xdr:cNvCxnSpPr/>
      </xdr:nvCxnSpPr>
      <xdr:spPr>
        <a:xfrm flipH="1">
          <a:off x="4738768" y="3302001"/>
          <a:ext cx="4329" cy="300181"/>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8</xdr:col>
      <xdr:colOff>152400</xdr:colOff>
      <xdr:row>21</xdr:row>
      <xdr:rowOff>123825</xdr:rowOff>
    </xdr:from>
    <xdr:ext cx="0" cy="0"/>
    <xdr:cxnSp macro="">
      <xdr:nvCxnSpPr>
        <xdr:cNvPr id="62" name="Conector reto 61">
          <a:extLst>
            <a:ext uri="{FF2B5EF4-FFF2-40B4-BE49-F238E27FC236}">
              <a16:creationId xmlns:a16="http://schemas.microsoft.com/office/drawing/2014/main" id="{00000000-0008-0000-0400-00003E000000}"/>
            </a:ext>
          </a:extLst>
        </xdr:cNvPr>
        <xdr:cNvCxnSpPr/>
      </xdr:nvCxnSpPr>
      <xdr:spPr>
        <a:xfrm>
          <a:off x="2174521" y="2000251"/>
          <a:ext cx="0"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302767</xdr:colOff>
      <xdr:row>22</xdr:row>
      <xdr:rowOff>98671</xdr:rowOff>
    </xdr:from>
    <xdr:ext cx="412585" cy="0"/>
    <xdr:cxnSp macro="">
      <xdr:nvCxnSpPr>
        <xdr:cNvPr id="68" name="Conector reto 67">
          <a:extLst>
            <a:ext uri="{FF2B5EF4-FFF2-40B4-BE49-F238E27FC236}">
              <a16:creationId xmlns:a16="http://schemas.microsoft.com/office/drawing/2014/main" id="{00000000-0008-0000-0400-000044000000}"/>
            </a:ext>
          </a:extLst>
        </xdr:cNvPr>
        <xdr:cNvCxnSpPr/>
      </xdr:nvCxnSpPr>
      <xdr:spPr>
        <a:xfrm>
          <a:off x="482684" y="3051421"/>
          <a:ext cx="412585"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304800</xdr:colOff>
      <xdr:row>42</xdr:row>
      <xdr:rowOff>121884</xdr:rowOff>
    </xdr:from>
    <xdr:ext cx="428625" cy="0"/>
    <xdr:cxnSp macro="">
      <xdr:nvCxnSpPr>
        <xdr:cNvPr id="83" name="Conector reto 82">
          <a:extLst>
            <a:ext uri="{FF2B5EF4-FFF2-40B4-BE49-F238E27FC236}">
              <a16:creationId xmlns:a16="http://schemas.microsoft.com/office/drawing/2014/main" id="{00000000-0008-0000-0400-000053000000}"/>
            </a:ext>
          </a:extLst>
        </xdr:cNvPr>
        <xdr:cNvCxnSpPr/>
      </xdr:nvCxnSpPr>
      <xdr:spPr>
        <a:xfrm>
          <a:off x="496671" y="10035193"/>
          <a:ext cx="428625"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8</xdr:col>
      <xdr:colOff>152400</xdr:colOff>
      <xdr:row>21</xdr:row>
      <xdr:rowOff>123825</xdr:rowOff>
    </xdr:from>
    <xdr:ext cx="0" cy="0"/>
    <xdr:cxnSp macro="">
      <xdr:nvCxnSpPr>
        <xdr:cNvPr id="119" name="Conector reto 118">
          <a:extLst>
            <a:ext uri="{FF2B5EF4-FFF2-40B4-BE49-F238E27FC236}">
              <a16:creationId xmlns:a16="http://schemas.microsoft.com/office/drawing/2014/main" id="{00000000-0008-0000-0400-000077000000}"/>
            </a:ext>
          </a:extLst>
        </xdr:cNvPr>
        <xdr:cNvCxnSpPr/>
      </xdr:nvCxnSpPr>
      <xdr:spPr>
        <a:xfrm>
          <a:off x="2174521" y="2000251"/>
          <a:ext cx="0"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314782</xdr:colOff>
      <xdr:row>42</xdr:row>
      <xdr:rowOff>121883</xdr:rowOff>
    </xdr:from>
    <xdr:ext cx="354235" cy="0"/>
    <xdr:cxnSp macro="">
      <xdr:nvCxnSpPr>
        <xdr:cNvPr id="140" name="Conector reto 139">
          <a:extLst>
            <a:ext uri="{FF2B5EF4-FFF2-40B4-BE49-F238E27FC236}">
              <a16:creationId xmlns:a16="http://schemas.microsoft.com/office/drawing/2014/main" id="{00000000-0008-0000-0400-00008C000000}"/>
            </a:ext>
          </a:extLst>
        </xdr:cNvPr>
        <xdr:cNvCxnSpPr/>
      </xdr:nvCxnSpPr>
      <xdr:spPr>
        <a:xfrm>
          <a:off x="487139" y="7669312"/>
          <a:ext cx="354235"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16</xdr:col>
      <xdr:colOff>158749</xdr:colOff>
      <xdr:row>49</xdr:row>
      <xdr:rowOff>6652</xdr:rowOff>
    </xdr:from>
    <xdr:ext cx="3161393" cy="658586"/>
    <xdr:sp macro="" textlink="">
      <xdr:nvSpPr>
        <xdr:cNvPr id="59" name="CaixaDeTexto 58">
          <a:extLst>
            <a:ext uri="{FF2B5EF4-FFF2-40B4-BE49-F238E27FC236}">
              <a16:creationId xmlns:a16="http://schemas.microsoft.com/office/drawing/2014/main" id="{00000000-0008-0000-0400-00003B000000}"/>
            </a:ext>
          </a:extLst>
        </xdr:cNvPr>
        <xdr:cNvSpPr txBox="1"/>
      </xdr:nvSpPr>
      <xdr:spPr>
        <a:xfrm>
          <a:off x="3926416" y="7647819"/>
          <a:ext cx="3161393" cy="658586"/>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lvl="0" algn="ctr"/>
          <a:r>
            <a:rPr lang="pt-BR" sz="1000">
              <a:latin typeface="+mn-lt"/>
            </a:rPr>
            <a:t>Obs.: "evaporação" inclui a massa emitida à atmosfera por combustão na incineração, secagem do CDR, biodegradação e perda de umidade na compostagem e digestão anaeróbia.</a:t>
          </a:r>
        </a:p>
      </xdr:txBody>
    </xdr:sp>
    <xdr:clientData fLocksWithSheet="0"/>
  </xdr:oneCellAnchor>
  <xdr:oneCellAnchor>
    <xdr:from>
      <xdr:col>12</xdr:col>
      <xdr:colOff>73932</xdr:colOff>
      <xdr:row>2</xdr:row>
      <xdr:rowOff>122918</xdr:rowOff>
    </xdr:from>
    <xdr:ext cx="2724150" cy="504825"/>
    <xdr:sp macro="" textlink="">
      <xdr:nvSpPr>
        <xdr:cNvPr id="69" name="CaixaDeTexto 68">
          <a:extLst>
            <a:ext uri="{FF2B5EF4-FFF2-40B4-BE49-F238E27FC236}">
              <a16:creationId xmlns:a16="http://schemas.microsoft.com/office/drawing/2014/main" id="{00000000-0008-0000-0400-000045000000}"/>
            </a:ext>
          </a:extLst>
        </xdr:cNvPr>
        <xdr:cNvSpPr txBox="1"/>
      </xdr:nvSpPr>
      <xdr:spPr>
        <a:xfrm>
          <a:off x="2613932" y="467632"/>
          <a:ext cx="2724150" cy="5048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lvl="0" algn="ctr"/>
          <a:r>
            <a:rPr lang="pt-BR" sz="1000">
              <a:latin typeface="+mn-lt"/>
            </a:rPr>
            <a:t>Fluxo de massa para manejo de RSU.</a:t>
          </a:r>
        </a:p>
        <a:p>
          <a:pPr lvl="0" algn="ctr"/>
          <a:r>
            <a:rPr lang="pt-BR" sz="1000">
              <a:latin typeface="+mn-lt"/>
            </a:rPr>
            <a:t>Dados em toneladas por dia (t/d</a:t>
          </a:r>
          <a:r>
            <a:rPr lang="pt-BR" sz="1000">
              <a:solidFill>
                <a:sysClr val="windowText" lastClr="000000"/>
              </a:solidFill>
              <a:latin typeface="+mn-lt"/>
            </a:rPr>
            <a:t>). A direção do fluxo é para baixo e para a direita.</a:t>
          </a:r>
        </a:p>
      </xdr:txBody>
    </xdr:sp>
    <xdr:clientData fLocksWithSheet="0"/>
  </xdr:oneCellAnchor>
  <xdr:oneCellAnchor>
    <xdr:from>
      <xdr:col>40</xdr:col>
      <xdr:colOff>66675</xdr:colOff>
      <xdr:row>2</xdr:row>
      <xdr:rowOff>84364</xdr:rowOff>
    </xdr:from>
    <xdr:ext cx="2337594" cy="590550"/>
    <xdr:pic>
      <xdr:nvPicPr>
        <xdr:cNvPr id="6" name="image8.pn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1" cstate="print"/>
        <a:stretch>
          <a:fillRect/>
        </a:stretch>
      </xdr:blipFill>
      <xdr:spPr>
        <a:xfrm>
          <a:off x="8348889" y="429078"/>
          <a:ext cx="2337594" cy="590550"/>
        </a:xfrm>
        <a:prstGeom prst="rect">
          <a:avLst/>
        </a:prstGeom>
        <a:noFill/>
      </xdr:spPr>
    </xdr:pic>
    <xdr:clientData fLocksWithSheet="0"/>
  </xdr:oneCellAnchor>
  <xdr:oneCellAnchor>
    <xdr:from>
      <xdr:col>19</xdr:col>
      <xdr:colOff>291171</xdr:colOff>
      <xdr:row>23</xdr:row>
      <xdr:rowOff>0</xdr:rowOff>
    </xdr:from>
    <xdr:ext cx="0" cy="92927"/>
    <xdr:cxnSp macro="">
      <xdr:nvCxnSpPr>
        <xdr:cNvPr id="109" name="Conector reto 37">
          <a:extLst>
            <a:ext uri="{FF2B5EF4-FFF2-40B4-BE49-F238E27FC236}">
              <a16:creationId xmlns:a16="http://schemas.microsoft.com/office/drawing/2014/main" id="{F4E5451D-7415-664D-9550-E7FE3A11C043}"/>
            </a:ext>
          </a:extLst>
        </xdr:cNvPr>
        <xdr:cNvCxnSpPr/>
      </xdr:nvCxnSpPr>
      <xdr:spPr>
        <a:xfrm>
          <a:off x="4751659" y="3020122"/>
          <a:ext cx="0" cy="92927"/>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30</xdr:col>
      <xdr:colOff>91443</xdr:colOff>
      <xdr:row>34</xdr:row>
      <xdr:rowOff>174694</xdr:rowOff>
    </xdr:from>
    <xdr:ext cx="0" cy="155506"/>
    <xdr:cxnSp macro="">
      <xdr:nvCxnSpPr>
        <xdr:cNvPr id="122" name="Conector reto 49">
          <a:extLst>
            <a:ext uri="{FF2B5EF4-FFF2-40B4-BE49-F238E27FC236}">
              <a16:creationId xmlns:a16="http://schemas.microsoft.com/office/drawing/2014/main" id="{3E46D18C-DDF0-6A49-AE88-B917C89B9E5C}"/>
            </a:ext>
          </a:extLst>
        </xdr:cNvPr>
        <xdr:cNvCxnSpPr/>
      </xdr:nvCxnSpPr>
      <xdr:spPr>
        <a:xfrm>
          <a:off x="7542110" y="4894861"/>
          <a:ext cx="0" cy="155506"/>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9</xdr:col>
      <xdr:colOff>307731</xdr:colOff>
      <xdr:row>24</xdr:row>
      <xdr:rowOff>211624</xdr:rowOff>
    </xdr:from>
    <xdr:ext cx="2037" cy="616318"/>
    <xdr:cxnSp macro="">
      <xdr:nvCxnSpPr>
        <xdr:cNvPr id="124" name="Conector reto 57">
          <a:extLst>
            <a:ext uri="{FF2B5EF4-FFF2-40B4-BE49-F238E27FC236}">
              <a16:creationId xmlns:a16="http://schemas.microsoft.com/office/drawing/2014/main" id="{C9F895EB-7AF2-E54E-83AD-D44ED9D8844D}"/>
            </a:ext>
          </a:extLst>
        </xdr:cNvPr>
        <xdr:cNvCxnSpPr/>
      </xdr:nvCxnSpPr>
      <xdr:spPr>
        <a:xfrm flipH="1">
          <a:off x="2645019" y="3252297"/>
          <a:ext cx="2037" cy="616318"/>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260554</xdr:colOff>
      <xdr:row>18</xdr:row>
      <xdr:rowOff>117929</xdr:rowOff>
    </xdr:from>
    <xdr:ext cx="758" cy="274057"/>
    <xdr:cxnSp macro="">
      <xdr:nvCxnSpPr>
        <xdr:cNvPr id="141" name="Conector reto 140">
          <a:extLst>
            <a:ext uri="{FF2B5EF4-FFF2-40B4-BE49-F238E27FC236}">
              <a16:creationId xmlns:a16="http://schemas.microsoft.com/office/drawing/2014/main" id="{C23B57F7-7C0A-4106-BC70-7F67EF9435AE}"/>
            </a:ext>
          </a:extLst>
        </xdr:cNvPr>
        <xdr:cNvCxnSpPr/>
      </xdr:nvCxnSpPr>
      <xdr:spPr>
        <a:xfrm flipH="1">
          <a:off x="9492748" y="2375707"/>
          <a:ext cx="758" cy="274057"/>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254000</xdr:colOff>
      <xdr:row>22</xdr:row>
      <xdr:rowOff>104321</xdr:rowOff>
    </xdr:from>
    <xdr:ext cx="758" cy="324304"/>
    <xdr:cxnSp macro="">
      <xdr:nvCxnSpPr>
        <xdr:cNvPr id="142" name="Conector reto 141">
          <a:extLst>
            <a:ext uri="{FF2B5EF4-FFF2-40B4-BE49-F238E27FC236}">
              <a16:creationId xmlns:a16="http://schemas.microsoft.com/office/drawing/2014/main" id="{0C62CB78-54AB-404E-965B-CCDB88E6BE37}"/>
            </a:ext>
          </a:extLst>
        </xdr:cNvPr>
        <xdr:cNvCxnSpPr/>
      </xdr:nvCxnSpPr>
      <xdr:spPr>
        <a:xfrm flipH="1">
          <a:off x="9501188" y="2890384"/>
          <a:ext cx="758" cy="324304"/>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8</xdr:col>
      <xdr:colOff>887730</xdr:colOff>
      <xdr:row>1</xdr:row>
      <xdr:rowOff>0</xdr:rowOff>
    </xdr:from>
    <xdr:ext cx="1800225" cy="485775"/>
    <xdr:pic>
      <xdr:nvPicPr>
        <xdr:cNvPr id="2" name="image9.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9307830" y="160020"/>
          <a:ext cx="1800225" cy="4857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15</xdr:col>
      <xdr:colOff>529316</xdr:colOff>
      <xdr:row>1</xdr:row>
      <xdr:rowOff>33536</xdr:rowOff>
    </xdr:from>
    <xdr:ext cx="2041525" cy="542280"/>
    <xdr:pic>
      <xdr:nvPicPr>
        <xdr:cNvPr id="2" name="image10.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8276316" y="1113036"/>
          <a:ext cx="2041525" cy="54228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9</xdr:col>
      <xdr:colOff>1359</xdr:colOff>
      <xdr:row>0</xdr:row>
      <xdr:rowOff>19050</xdr:rowOff>
    </xdr:from>
    <xdr:ext cx="8695601" cy="631063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685800</xdr:colOff>
      <xdr:row>0</xdr:row>
      <xdr:rowOff>40640</xdr:rowOff>
    </xdr:from>
    <xdr:ext cx="2340000" cy="540000"/>
    <xdr:pic>
      <xdr:nvPicPr>
        <xdr:cNvPr id="3" name="image11.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xfrm>
          <a:off x="756920" y="40640"/>
          <a:ext cx="2340000" cy="540000"/>
        </a:xfrm>
        <a:prstGeom prst="rect">
          <a:avLst/>
        </a:prstGeom>
        <a:noFill/>
      </xdr:spPr>
    </xdr:pic>
    <xdr:clientData fLocksWithSheet="0"/>
  </xdr:oneCellAnchor>
  <xdr:twoCellAnchor>
    <xdr:from>
      <xdr:col>5</xdr:col>
      <xdr:colOff>516890</xdr:colOff>
      <xdr:row>29</xdr:row>
      <xdr:rowOff>72390</xdr:rowOff>
    </xdr:from>
    <xdr:to>
      <xdr:col>5</xdr:col>
      <xdr:colOff>2136890</xdr:colOff>
      <xdr:row>30</xdr:row>
      <xdr:rowOff>131350</xdr:rowOff>
    </xdr:to>
    <xdr:sp macro="[0]!Abrir_Frm" textlink="">
      <xdr:nvSpPr>
        <xdr:cNvPr id="4" name="Rectangle 3">
          <a:extLst>
            <a:ext uri="{FF2B5EF4-FFF2-40B4-BE49-F238E27FC236}">
              <a16:creationId xmlns:a16="http://schemas.microsoft.com/office/drawing/2014/main" id="{00000000-0008-0000-0700-000004000000}"/>
            </a:ext>
          </a:extLst>
        </xdr:cNvPr>
        <xdr:cNvSpPr/>
      </xdr:nvSpPr>
      <xdr:spPr>
        <a:xfrm>
          <a:off x="5911850" y="5436870"/>
          <a:ext cx="1620000" cy="252000"/>
        </a:xfrm>
        <a:prstGeom prst="rect">
          <a:avLst/>
        </a:prstGeom>
        <a:ln w="12700">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s-HN" sz="1400" b="1"/>
            <a:t>Atualizar TARIFA</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5</xdr:col>
      <xdr:colOff>20320</xdr:colOff>
      <xdr:row>16</xdr:row>
      <xdr:rowOff>162560</xdr:rowOff>
    </xdr:from>
    <xdr:ext cx="2795284" cy="628795"/>
    <xdr:pic>
      <xdr:nvPicPr>
        <xdr:cNvPr id="2" name="image14.png">
          <a:extLst>
            <a:ext uri="{FF2B5EF4-FFF2-40B4-BE49-F238E27FC236}">
              <a16:creationId xmlns:a16="http://schemas.microsoft.com/office/drawing/2014/main" id="{FC9BF6F8-6498-479C-9B3C-8E4BDE438C29}"/>
            </a:ext>
          </a:extLst>
        </xdr:cNvPr>
        <xdr:cNvPicPr preferRelativeResize="0"/>
      </xdr:nvPicPr>
      <xdr:blipFill>
        <a:blip xmlns:r="http://schemas.openxmlformats.org/officeDocument/2006/relationships" r:embed="rId1" cstate="print"/>
        <a:stretch>
          <a:fillRect/>
        </a:stretch>
      </xdr:blipFill>
      <xdr:spPr>
        <a:xfrm>
          <a:off x="7061200" y="3677920"/>
          <a:ext cx="2795284" cy="62879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Backup%2024%20Jan%202022%20-%20Diret&#243;rios%20de%20Trabalho/2021%20-%20UNIDO/3%20-%20Desenv%20Trabalho%20&amp;%20Produtos/CIRSOP/Entreg&#225;veis%20-%2014%20Mar%202022/0%20-%20Cen&#225;rio%20Futuro%20BASE/CIRSOP%20CB%20RT01%20-%20FRC%20-%20BIODIGEST&#195;O%20-%20Energia%20El&#233;trica%20Biometano%20CDR%20Comp%20Org%20-%2028%20Jan%202022.xlsm?D6BE1FD2" TargetMode="External"/><Relationship Id="rId1" Type="http://schemas.openxmlformats.org/officeDocument/2006/relationships/externalLinkPath" Target="file:///\\D6BE1FD2\CIRSOP%20CB%20RT01%20-%20FRC%20-%20BIODIGEST&#195;O%20-%20Energia%20El&#233;trica%20Biometano%20CDR%20Comp%20Org%20-%2028%20Jan%20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esentação"/>
      <sheetName val="R-Entrada"/>
      <sheetName val="R-Definição"/>
      <sheetName val="R-Avançado"/>
      <sheetName val="R-Fluxo Massa"/>
      <sheetName val="R-Resumo Bal. Massa"/>
      <sheetName val="Saída GEE"/>
      <sheetName val="R&amp;C-Painel de Controle"/>
      <sheetName val="C-Calc Tarifa"/>
      <sheetName val="C-FCL Real"/>
      <sheetName val="C-Dados RT Simplif."/>
      <sheetName val="C-Triagem Man"/>
      <sheetName val="C-Triagem Mec"/>
      <sheetName val="C-Produção CDR-TM"/>
      <sheetName val="C-Produção CDR-TMB"/>
      <sheetName val="C-Compostagem"/>
      <sheetName val="C-Biodigestão"/>
      <sheetName val="C-Incineração"/>
      <sheetName val="C-Aterro Sanitár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6">
          <cell r="D56">
            <v>25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persons/person.xml><?xml version="1.0" encoding="utf-8"?>
<personList xmlns="http://schemas.microsoft.com/office/spreadsheetml/2018/threadedcomments" xmlns:x="http://schemas.openxmlformats.org/spreadsheetml/2006/main">
  <person displayName="Alaim de paula" id="{4FC7C043-DBA9-4841-9AEE-4EE9065B6F99}" userId="88fe9e2322cad260" providerId="Windows Live"/>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13" dT="2020-09-21T22:42:09.36" personId="{4FC7C043-DBA9-4841-9AEE-4EE9065B6F99}" id="{0E6D4CBB-7C04-498F-B9DA-F11CD8046EBA}">
    <text>Comentário: Preço médio líquido de impostos da venda de energia elétrica em R$/MWh a ser gerada em quaisquer das tecnologias de biodigestão, incineração ou via reaproveitamento de biogás de aterro.</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br/mdr/pt-br/assuntos/saneamento/protegeer" TargetMode="External"/><Relationship Id="rId1" Type="http://schemas.openxmlformats.org/officeDocument/2006/relationships/hyperlink" Target="mailto:sanearbrasil@mdr.gov.b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R100"/>
  <sheetViews>
    <sheetView showGridLines="0" tabSelected="1" zoomScale="60" zoomScaleNormal="60" workbookViewId="0">
      <selection activeCell="S4" sqref="S4"/>
    </sheetView>
  </sheetViews>
  <sheetFormatPr defaultColWidth="14.453125" defaultRowHeight="15" customHeight="1" x14ac:dyDescent="0.35"/>
  <cols>
    <col min="1" max="1" width="2.54296875" style="479" customWidth="1"/>
    <col min="2" max="2" width="10.26953125" style="74" customWidth="1"/>
    <col min="3" max="3" width="20" style="74" customWidth="1"/>
    <col min="4" max="4" width="6.26953125" style="74" customWidth="1"/>
    <col min="5" max="5" width="14.54296875" style="74" customWidth="1"/>
    <col min="6" max="6" width="18.7265625" style="74" customWidth="1"/>
    <col min="7" max="7" width="24.26953125" style="74" customWidth="1"/>
    <col min="8" max="8" width="9.453125" style="74" customWidth="1"/>
    <col min="9" max="9" width="10.453125" style="74" customWidth="1"/>
    <col min="10" max="10" width="7.7265625" style="74" customWidth="1"/>
    <col min="11" max="11" width="9.54296875" style="74" customWidth="1"/>
    <col min="12" max="12" width="8" style="74" customWidth="1"/>
    <col min="13" max="13" width="6.26953125" style="74" customWidth="1"/>
    <col min="14" max="15" width="10.54296875" style="74" customWidth="1"/>
    <col min="16" max="16" width="13.54296875" style="74" customWidth="1"/>
    <col min="17" max="17" width="14.7265625" style="74" customWidth="1"/>
    <col min="18" max="18" width="10.7265625" style="74" customWidth="1"/>
  </cols>
  <sheetData>
    <row r="1" spans="2:18" ht="132" customHeight="1" x14ac:dyDescent="0.35">
      <c r="B1" s="1857"/>
      <c r="C1" s="1857"/>
      <c r="D1" s="1857"/>
      <c r="E1" s="1857"/>
      <c r="F1" s="1858"/>
      <c r="G1" s="1858"/>
      <c r="H1" s="1858"/>
      <c r="I1" s="1858"/>
      <c r="J1" s="1859" t="s">
        <v>1021</v>
      </c>
      <c r="K1" s="1858"/>
      <c r="L1" s="1858"/>
      <c r="M1" s="1858"/>
      <c r="N1" s="1858"/>
      <c r="O1" s="1858"/>
      <c r="P1" s="1858"/>
      <c r="Q1" s="1858"/>
      <c r="R1" s="1858"/>
    </row>
    <row r="2" spans="2:18" ht="21.65" customHeight="1" x14ac:dyDescent="0.45">
      <c r="B2" s="1857"/>
      <c r="C2" s="1922"/>
      <c r="D2" s="1923"/>
      <c r="E2" s="1923"/>
      <c r="F2" s="1923"/>
      <c r="G2" s="1923"/>
      <c r="H2" s="1860"/>
      <c r="I2" s="1857"/>
      <c r="J2" s="1857"/>
      <c r="K2" s="1857"/>
      <c r="L2" s="1857"/>
      <c r="M2" s="1857"/>
      <c r="N2" s="1857"/>
      <c r="O2" s="1857"/>
      <c r="P2" s="1857"/>
      <c r="Q2" s="1857"/>
      <c r="R2" s="1857"/>
    </row>
    <row r="3" spans="2:18" ht="10.5" customHeight="1" x14ac:dyDescent="0.35">
      <c r="B3" s="1857"/>
      <c r="C3" s="1861"/>
      <c r="D3" s="1861"/>
      <c r="E3" s="1861"/>
      <c r="F3" s="1861"/>
      <c r="G3" s="1861"/>
      <c r="H3" s="1857"/>
      <c r="I3" s="1857"/>
      <c r="J3" s="1857"/>
      <c r="K3" s="1857"/>
      <c r="L3" s="1857"/>
      <c r="M3" s="1857"/>
      <c r="N3" s="1857"/>
      <c r="O3" s="1857"/>
      <c r="P3" s="1857"/>
      <c r="Q3" s="1857"/>
      <c r="R3" s="1857"/>
    </row>
    <row r="4" spans="2:18" ht="9.75" customHeight="1" x14ac:dyDescent="0.35">
      <c r="B4" s="1862"/>
      <c r="C4" s="1924"/>
      <c r="D4" s="1925"/>
      <c r="E4" s="1925"/>
      <c r="F4" s="1925"/>
      <c r="G4" s="1925"/>
      <c r="H4" s="1863"/>
      <c r="I4" s="1857"/>
      <c r="J4" s="1857"/>
      <c r="K4" s="1857"/>
      <c r="L4" s="1857"/>
      <c r="M4" s="1857"/>
      <c r="N4" s="1857"/>
      <c r="O4" s="1857"/>
      <c r="P4" s="1857"/>
      <c r="Q4" s="1857"/>
      <c r="R4" s="1857"/>
    </row>
    <row r="5" spans="2:18" ht="17.25" customHeight="1" x14ac:dyDescent="0.35">
      <c r="B5" s="1872"/>
      <c r="C5" s="1873"/>
      <c r="D5" s="1873"/>
      <c r="E5" s="1873"/>
      <c r="F5" s="1873"/>
      <c r="G5" s="1873"/>
      <c r="H5" s="1873"/>
      <c r="I5" s="1874"/>
      <c r="J5" s="1875"/>
      <c r="K5" s="1875"/>
      <c r="L5" s="1875"/>
      <c r="M5" s="1875"/>
      <c r="N5" s="1875"/>
      <c r="O5" s="1875"/>
      <c r="P5" s="1875"/>
      <c r="Q5" s="1875"/>
      <c r="R5" s="1875"/>
    </row>
    <row r="6" spans="2:18" ht="18.75" customHeight="1" x14ac:dyDescent="0.35">
      <c r="B6" s="75"/>
      <c r="I6" s="1900" t="s">
        <v>785</v>
      </c>
      <c r="J6" s="1920" t="s">
        <v>505</v>
      </c>
      <c r="K6" s="1921"/>
      <c r="L6" s="1921"/>
      <c r="M6" s="1921"/>
      <c r="N6" s="1921"/>
      <c r="O6" s="1921"/>
      <c r="P6" s="1921"/>
      <c r="Q6" s="1921"/>
      <c r="R6" s="1921"/>
    </row>
    <row r="7" spans="2:18" ht="18.75" customHeight="1" x14ac:dyDescent="0.35">
      <c r="B7" s="75"/>
      <c r="I7" s="376"/>
      <c r="J7" s="1921"/>
      <c r="K7" s="1921"/>
      <c r="L7" s="1921"/>
      <c r="M7" s="1921"/>
      <c r="N7" s="1921"/>
      <c r="O7" s="1921"/>
      <c r="P7" s="1921"/>
      <c r="Q7" s="1921"/>
      <c r="R7" s="1921"/>
    </row>
    <row r="8" spans="2:18" ht="18.75" customHeight="1" x14ac:dyDescent="0.35">
      <c r="B8" s="75"/>
      <c r="I8" s="376"/>
      <c r="J8" s="1880"/>
      <c r="K8" s="1880"/>
      <c r="L8" s="1880"/>
      <c r="M8" s="1880"/>
      <c r="N8" s="1880"/>
      <c r="O8" s="1880"/>
      <c r="P8" s="1880"/>
      <c r="Q8" s="1880"/>
      <c r="R8" s="1880"/>
    </row>
    <row r="9" spans="2:18" ht="18.75" customHeight="1" x14ac:dyDescent="0.35">
      <c r="B9" s="75"/>
      <c r="I9" s="1901" t="s">
        <v>786</v>
      </c>
      <c r="J9" s="1920" t="s">
        <v>1047</v>
      </c>
      <c r="K9" s="1921"/>
      <c r="L9" s="1921"/>
      <c r="M9" s="1921"/>
      <c r="N9" s="1921"/>
      <c r="O9" s="1921"/>
      <c r="P9" s="1921"/>
      <c r="Q9" s="1921"/>
      <c r="R9" s="1921"/>
    </row>
    <row r="10" spans="2:18" ht="18.75" customHeight="1" x14ac:dyDescent="0.35">
      <c r="B10" s="75"/>
      <c r="I10" s="376"/>
      <c r="J10" s="1921"/>
      <c r="K10" s="1921"/>
      <c r="L10" s="1921"/>
      <c r="M10" s="1921"/>
      <c r="N10" s="1921"/>
      <c r="O10" s="1921"/>
      <c r="P10" s="1921"/>
      <c r="Q10" s="1921"/>
      <c r="R10" s="1921"/>
    </row>
    <row r="11" spans="2:18" ht="18.75" customHeight="1" x14ac:dyDescent="0.35">
      <c r="I11" s="376"/>
      <c r="J11" s="1921"/>
      <c r="K11" s="1921"/>
      <c r="L11" s="1921"/>
      <c r="M11" s="1921"/>
      <c r="N11" s="1921"/>
      <c r="O11" s="1921"/>
      <c r="P11" s="1921"/>
      <c r="Q11" s="1921"/>
      <c r="R11" s="1921"/>
    </row>
    <row r="12" spans="2:18" ht="18.75" customHeight="1" x14ac:dyDescent="0.35">
      <c r="I12" s="376"/>
      <c r="J12" s="1881"/>
      <c r="K12" s="1881"/>
      <c r="L12" s="1881"/>
      <c r="M12" s="1881"/>
      <c r="N12" s="1881"/>
      <c r="O12" s="1881"/>
      <c r="P12" s="1881"/>
      <c r="Q12" s="1881"/>
      <c r="R12" s="1881"/>
    </row>
    <row r="13" spans="2:18" ht="18.75" customHeight="1" x14ac:dyDescent="0.35">
      <c r="B13" s="75"/>
      <c r="C13" s="77"/>
      <c r="G13" s="78"/>
      <c r="H13" s="78"/>
      <c r="I13" s="1901" t="s">
        <v>787</v>
      </c>
      <c r="J13" s="1918" t="s">
        <v>1048</v>
      </c>
      <c r="K13" s="1918"/>
      <c r="L13" s="1918"/>
      <c r="M13" s="1918"/>
      <c r="N13" s="1918"/>
      <c r="O13" s="1918"/>
      <c r="P13" s="1918"/>
      <c r="Q13" s="1918"/>
      <c r="R13" s="1918"/>
    </row>
    <row r="14" spans="2:18" ht="18.75" customHeight="1" x14ac:dyDescent="0.35">
      <c r="B14" s="75"/>
      <c r="C14" s="77"/>
      <c r="G14" s="78"/>
      <c r="H14" s="78"/>
      <c r="I14" s="376"/>
      <c r="J14" s="1918"/>
      <c r="K14" s="1918"/>
      <c r="L14" s="1918"/>
      <c r="M14" s="1918"/>
      <c r="N14" s="1918"/>
      <c r="O14" s="1918"/>
      <c r="P14" s="1918"/>
      <c r="Q14" s="1918"/>
      <c r="R14" s="1918"/>
    </row>
    <row r="15" spans="2:18" ht="18.75" customHeight="1" x14ac:dyDescent="0.35">
      <c r="B15" s="75"/>
      <c r="C15" s="77"/>
      <c r="G15" s="78"/>
      <c r="H15" s="78"/>
      <c r="I15" s="376"/>
      <c r="J15" s="1918"/>
      <c r="K15" s="1918"/>
      <c r="L15" s="1918"/>
      <c r="M15" s="1918"/>
      <c r="N15" s="1918"/>
      <c r="O15" s="1918"/>
      <c r="P15" s="1918"/>
      <c r="Q15" s="1918"/>
      <c r="R15" s="1918"/>
    </row>
    <row r="16" spans="2:18" ht="18.75" customHeight="1" x14ac:dyDescent="0.35">
      <c r="B16" s="75"/>
      <c r="C16" s="77"/>
      <c r="G16" s="78"/>
      <c r="H16" s="78"/>
      <c r="I16" s="376"/>
      <c r="J16" s="1918"/>
      <c r="K16" s="1918"/>
      <c r="L16" s="1918"/>
      <c r="M16" s="1918"/>
      <c r="N16" s="1918"/>
      <c r="O16" s="1918"/>
      <c r="P16" s="1918"/>
      <c r="Q16" s="1918"/>
      <c r="R16" s="1918"/>
    </row>
    <row r="17" spans="1:18" ht="18.75" customHeight="1" x14ac:dyDescent="0.35">
      <c r="B17" s="75"/>
      <c r="C17" s="78"/>
      <c r="G17" s="78"/>
      <c r="H17" s="78"/>
      <c r="I17" s="376"/>
      <c r="J17" s="1880"/>
      <c r="K17" s="1880"/>
      <c r="L17" s="1880"/>
      <c r="M17" s="1880"/>
      <c r="N17" s="1880"/>
      <c r="O17" s="1880"/>
      <c r="P17" s="1880"/>
      <c r="Q17" s="1880"/>
      <c r="R17" s="1880"/>
    </row>
    <row r="18" spans="1:18" ht="18.75" customHeight="1" x14ac:dyDescent="0.35">
      <c r="B18" s="75"/>
      <c r="C18" s="77"/>
      <c r="D18" s="78"/>
      <c r="E18" s="78"/>
      <c r="F18" s="78"/>
      <c r="G18" s="78"/>
      <c r="H18" s="78"/>
      <c r="I18" s="1901" t="s">
        <v>788</v>
      </c>
      <c r="J18" s="1920" t="s">
        <v>506</v>
      </c>
      <c r="K18" s="1920"/>
      <c r="L18" s="1920"/>
      <c r="M18" s="1920"/>
      <c r="N18" s="1920"/>
      <c r="O18" s="1920"/>
      <c r="P18" s="1920"/>
      <c r="Q18" s="1920"/>
      <c r="R18" s="1920"/>
    </row>
    <row r="19" spans="1:18" ht="18.75" customHeight="1" x14ac:dyDescent="0.35">
      <c r="B19" s="75"/>
      <c r="C19" s="78"/>
      <c r="D19" s="77"/>
      <c r="E19" s="77"/>
      <c r="F19" s="77"/>
      <c r="G19" s="77"/>
      <c r="H19" s="77"/>
      <c r="I19" s="77"/>
      <c r="J19" s="1920"/>
      <c r="K19" s="1920"/>
      <c r="L19" s="1920"/>
      <c r="M19" s="1920"/>
      <c r="N19" s="1920"/>
      <c r="O19" s="1920"/>
      <c r="P19" s="1920"/>
      <c r="Q19" s="1920"/>
      <c r="R19" s="1920"/>
    </row>
    <row r="20" spans="1:18" ht="18.75" customHeight="1" x14ac:dyDescent="0.35">
      <c r="B20" s="75"/>
      <c r="C20" s="77"/>
      <c r="D20" s="77"/>
      <c r="E20" s="77"/>
      <c r="F20" s="77"/>
      <c r="G20" s="77"/>
      <c r="H20" s="77"/>
      <c r="I20" s="77"/>
      <c r="J20" s="1920"/>
      <c r="K20" s="1920"/>
      <c r="L20" s="1920"/>
      <c r="M20" s="1920"/>
      <c r="N20" s="1920"/>
      <c r="O20" s="1920"/>
      <c r="P20" s="1920"/>
      <c r="Q20" s="1920"/>
      <c r="R20" s="1920"/>
    </row>
    <row r="21" spans="1:18" ht="18.75" customHeight="1" x14ac:dyDescent="0.35">
      <c r="A21" s="480"/>
      <c r="B21" s="1854"/>
      <c r="C21" s="1855"/>
      <c r="D21" s="1855"/>
      <c r="E21" s="1855"/>
      <c r="F21" s="1855"/>
      <c r="G21" s="1856"/>
      <c r="H21" s="195"/>
      <c r="I21" s="77"/>
      <c r="J21" s="1920"/>
      <c r="K21" s="1920"/>
      <c r="L21" s="1920"/>
      <c r="M21" s="1920"/>
      <c r="N21" s="1920"/>
      <c r="O21" s="1920"/>
      <c r="P21" s="1920"/>
      <c r="Q21" s="1920"/>
      <c r="R21" s="1920"/>
    </row>
    <row r="22" spans="1:18" ht="18.75" customHeight="1" x14ac:dyDescent="0.35">
      <c r="B22" s="76"/>
      <c r="C22" s="76"/>
      <c r="D22" s="76"/>
      <c r="E22" s="76"/>
      <c r="F22" s="76"/>
      <c r="G22" s="76"/>
      <c r="H22" s="76"/>
      <c r="I22" s="76"/>
      <c r="J22" s="1920"/>
      <c r="K22" s="1920"/>
      <c r="L22" s="1920"/>
      <c r="M22" s="1920"/>
      <c r="N22" s="1920"/>
      <c r="O22" s="1920"/>
      <c r="P22" s="1920"/>
      <c r="Q22" s="1920"/>
      <c r="R22" s="1920"/>
    </row>
    <row r="23" spans="1:18" ht="14.25" customHeight="1" x14ac:dyDescent="0.35">
      <c r="B23" s="1865"/>
      <c r="F23" s="195"/>
      <c r="G23" s="195"/>
      <c r="H23" s="195"/>
      <c r="I23" s="479"/>
      <c r="J23" s="1920"/>
      <c r="K23" s="1920"/>
      <c r="L23" s="1920"/>
      <c r="M23" s="1920"/>
      <c r="N23" s="1920"/>
      <c r="O23" s="1920"/>
      <c r="P23" s="1920"/>
      <c r="Q23" s="1920"/>
      <c r="R23" s="1920"/>
    </row>
    <row r="24" spans="1:18" ht="16.5" customHeight="1" x14ac:dyDescent="0.35">
      <c r="B24" s="1865"/>
      <c r="F24" s="195"/>
      <c r="G24" s="195"/>
      <c r="H24" s="195"/>
      <c r="I24" s="479"/>
      <c r="J24" s="195"/>
      <c r="K24" s="195"/>
      <c r="L24" s="195"/>
      <c r="M24" s="195"/>
      <c r="N24" s="195"/>
      <c r="O24" s="195"/>
      <c r="P24" s="195"/>
      <c r="Q24" s="195"/>
      <c r="R24" s="195"/>
    </row>
    <row r="25" spans="1:18" ht="16.5" customHeight="1" x14ac:dyDescent="0.35">
      <c r="B25" s="1919" t="s">
        <v>1041</v>
      </c>
      <c r="C25" s="1919"/>
      <c r="D25" s="1876" t="s">
        <v>1051</v>
      </c>
      <c r="E25" s="1857"/>
      <c r="F25" s="1857"/>
      <c r="G25" s="1905"/>
      <c r="H25" s="1857"/>
      <c r="I25" s="1902"/>
      <c r="J25" s="1857"/>
      <c r="K25" s="1857"/>
      <c r="L25" s="1857"/>
      <c r="M25" s="1857"/>
      <c r="N25" s="1857"/>
      <c r="O25" s="1857"/>
      <c r="P25" s="1857"/>
      <c r="Q25" s="1857"/>
      <c r="R25" s="1857"/>
    </row>
    <row r="26" spans="1:18" ht="16.5" customHeight="1" x14ac:dyDescent="0.35">
      <c r="B26" s="1919" t="s">
        <v>1052</v>
      </c>
      <c r="C26" s="1919"/>
      <c r="D26" s="1877" t="s">
        <v>1056</v>
      </c>
      <c r="E26" s="1903"/>
      <c r="F26" s="1903"/>
      <c r="G26" s="1876"/>
      <c r="H26" s="1857"/>
      <c r="I26" s="1857"/>
      <c r="J26" s="1857"/>
      <c r="K26" s="1857"/>
      <c r="L26" s="1857"/>
      <c r="M26" s="1857"/>
      <c r="N26" s="1857"/>
      <c r="O26" s="1857"/>
      <c r="P26" s="1857"/>
      <c r="Q26" s="1857"/>
      <c r="R26" s="1857"/>
    </row>
    <row r="27" spans="1:18" ht="16.5" customHeight="1" x14ac:dyDescent="0.35">
      <c r="B27" s="1857"/>
      <c r="C27" s="1857"/>
      <c r="D27" s="1878" t="s">
        <v>1057</v>
      </c>
      <c r="E27" s="1903"/>
      <c r="F27" s="1903"/>
      <c r="G27" s="1877"/>
      <c r="H27" s="1857"/>
      <c r="I27" s="1857"/>
      <c r="J27" s="1857"/>
      <c r="K27" s="1857"/>
      <c r="L27" s="1857"/>
      <c r="M27" s="1857"/>
      <c r="N27" s="1857"/>
      <c r="O27" s="1857"/>
      <c r="P27" s="1857"/>
      <c r="Q27" s="1857"/>
      <c r="R27" s="1857"/>
    </row>
    <row r="28" spans="1:18" ht="16.5" customHeight="1" x14ac:dyDescent="0.35">
      <c r="B28" s="1857"/>
      <c r="C28" s="1913" t="s">
        <v>1042</v>
      </c>
      <c r="D28" s="1876" t="s">
        <v>1053</v>
      </c>
      <c r="E28" s="1876"/>
      <c r="F28" s="1857"/>
      <c r="G28" s="1878"/>
      <c r="H28" s="1857"/>
      <c r="I28" s="1857"/>
      <c r="J28" s="1857"/>
      <c r="K28" s="1857"/>
      <c r="L28" s="1857"/>
      <c r="M28" s="1857"/>
      <c r="N28" s="1857"/>
      <c r="O28" s="1857"/>
      <c r="P28" s="1857"/>
      <c r="Q28" s="1857"/>
      <c r="R28" s="1857"/>
    </row>
    <row r="29" spans="1:18" ht="16.5" customHeight="1" x14ac:dyDescent="0.35">
      <c r="B29" s="1919" t="s">
        <v>1050</v>
      </c>
      <c r="C29" s="1919"/>
      <c r="D29" s="1879" t="s">
        <v>1043</v>
      </c>
      <c r="E29" s="1857"/>
      <c r="F29" s="1857"/>
      <c r="G29" s="1878"/>
      <c r="H29" s="1857"/>
      <c r="I29" s="1857"/>
      <c r="J29" s="1857"/>
      <c r="K29" s="1857"/>
      <c r="L29" s="1857"/>
      <c r="M29" s="1857"/>
      <c r="N29" s="1857"/>
      <c r="O29" s="1857"/>
      <c r="P29" s="1857"/>
      <c r="Q29" s="1857"/>
      <c r="R29" s="1857"/>
    </row>
    <row r="30" spans="1:18" ht="16.5" customHeight="1" x14ac:dyDescent="0.35">
      <c r="B30" s="1919" t="s">
        <v>1044</v>
      </c>
      <c r="C30" s="1919"/>
      <c r="D30" s="1879" t="s">
        <v>1054</v>
      </c>
      <c r="E30" s="1904"/>
      <c r="F30" s="1904"/>
      <c r="G30" s="1876"/>
      <c r="H30" s="1857"/>
      <c r="I30" s="1857"/>
      <c r="J30" s="1857"/>
      <c r="K30" s="1857"/>
      <c r="L30" s="1857"/>
      <c r="M30" s="1857"/>
      <c r="N30" s="1857"/>
      <c r="O30" s="1857"/>
      <c r="P30" s="1857"/>
      <c r="Q30" s="1857"/>
      <c r="R30" s="1857"/>
    </row>
    <row r="31" spans="1:18" ht="16.5" customHeight="1" x14ac:dyDescent="0.35">
      <c r="B31" s="1857"/>
      <c r="C31" s="1868"/>
      <c r="D31" s="1879" t="s">
        <v>1055</v>
      </c>
      <c r="E31" s="1903"/>
      <c r="F31" s="1903"/>
      <c r="G31" s="1879"/>
      <c r="H31" s="1857"/>
      <c r="I31" s="1857"/>
      <c r="J31" s="1857"/>
      <c r="K31" s="1857"/>
      <c r="L31" s="1857"/>
      <c r="M31" s="1857"/>
      <c r="N31" s="1857"/>
      <c r="O31" s="1857"/>
      <c r="P31" s="1857"/>
      <c r="Q31" s="1857"/>
      <c r="R31" s="1857"/>
    </row>
    <row r="32" spans="1:18" ht="16.5" customHeight="1" x14ac:dyDescent="0.35">
      <c r="B32" s="1857"/>
      <c r="C32" s="1867" t="s">
        <v>1046</v>
      </c>
      <c r="D32" s="1882" t="s">
        <v>1022</v>
      </c>
      <c r="E32" s="1857"/>
      <c r="F32" s="1868"/>
      <c r="G32" s="1879"/>
      <c r="H32" s="1857"/>
      <c r="I32" s="1857"/>
      <c r="J32" s="1857"/>
      <c r="K32" s="1857"/>
      <c r="L32" s="1857"/>
      <c r="M32" s="1857"/>
      <c r="N32" s="1857"/>
      <c r="O32" s="1857"/>
      <c r="P32" s="1857"/>
      <c r="Q32" s="1857"/>
      <c r="R32" s="1857"/>
    </row>
    <row r="33" spans="2:18" ht="16.5" customHeight="1" x14ac:dyDescent="0.35">
      <c r="B33" s="479"/>
      <c r="C33" s="1896"/>
      <c r="D33" s="1897"/>
      <c r="E33" s="479"/>
      <c r="F33" s="1883"/>
      <c r="G33" s="1892"/>
      <c r="H33" s="479"/>
      <c r="I33" s="479"/>
      <c r="J33" s="479"/>
      <c r="K33" s="479"/>
      <c r="L33" s="479"/>
      <c r="M33" s="479"/>
      <c r="N33" s="479"/>
      <c r="O33" s="479"/>
      <c r="P33" s="479"/>
      <c r="Q33" s="479"/>
      <c r="R33" s="479"/>
    </row>
    <row r="34" spans="2:18" ht="16.5" customHeight="1" x14ac:dyDescent="0.35">
      <c r="B34" s="1916" t="s">
        <v>1045</v>
      </c>
      <c r="C34" s="1916"/>
      <c r="D34" s="1916"/>
      <c r="E34" s="1916"/>
      <c r="F34" s="1916"/>
      <c r="G34" s="1916"/>
      <c r="H34" s="1916"/>
      <c r="I34" s="1916"/>
      <c r="J34" s="1916"/>
      <c r="K34" s="1916"/>
      <c r="L34" s="1916"/>
      <c r="M34" s="1916"/>
      <c r="N34" s="1916"/>
      <c r="O34" s="1916"/>
      <c r="P34" s="1916"/>
      <c r="Q34" s="1916"/>
      <c r="R34" s="1916"/>
    </row>
    <row r="35" spans="2:18" ht="14.25" customHeight="1" x14ac:dyDescent="0.35">
      <c r="B35" s="1917" t="s">
        <v>1049</v>
      </c>
      <c r="C35" s="1917"/>
      <c r="D35" s="1917"/>
      <c r="E35" s="1917"/>
      <c r="F35" s="1917"/>
      <c r="G35" s="1917"/>
      <c r="H35" s="1917"/>
      <c r="I35" s="1917"/>
      <c r="J35" s="1917"/>
      <c r="K35" s="1917"/>
      <c r="L35" s="1917"/>
      <c r="M35" s="1917"/>
      <c r="N35" s="1917"/>
      <c r="O35" s="1917"/>
      <c r="P35" s="1917"/>
      <c r="Q35" s="1917"/>
      <c r="R35" s="1917"/>
    </row>
    <row r="36" spans="2:18" ht="33.75" customHeight="1" x14ac:dyDescent="0.35">
      <c r="B36" s="75"/>
      <c r="C36" s="77"/>
      <c r="D36" s="77"/>
      <c r="E36" s="1914"/>
      <c r="F36" s="1914"/>
      <c r="G36" s="1914"/>
      <c r="H36" s="1914"/>
      <c r="I36" s="1914"/>
      <c r="J36" s="1914"/>
      <c r="K36" s="1914"/>
      <c r="L36" s="1914"/>
      <c r="M36" s="1914"/>
      <c r="N36" s="1914"/>
      <c r="O36" s="195"/>
      <c r="P36" s="195"/>
    </row>
    <row r="37" spans="2:18" ht="14.25" customHeight="1" x14ac:dyDescent="0.35">
      <c r="B37" s="75"/>
      <c r="C37" s="77"/>
      <c r="D37" s="77"/>
      <c r="E37" s="1915"/>
      <c r="F37" s="1915"/>
      <c r="G37" s="1915"/>
      <c r="H37" s="1915"/>
      <c r="I37" s="1915"/>
      <c r="J37" s="1915"/>
      <c r="K37" s="1915"/>
      <c r="L37" s="1915"/>
      <c r="M37" s="1915"/>
      <c r="N37" s="1915"/>
      <c r="O37" s="1899"/>
      <c r="P37" s="1899"/>
    </row>
    <row r="38" spans="2:18" ht="14.25" customHeight="1" x14ac:dyDescent="0.35">
      <c r="B38" s="75"/>
      <c r="C38" s="77"/>
      <c r="D38" s="77"/>
      <c r="E38" s="77"/>
      <c r="F38" s="77"/>
      <c r="G38" s="1870"/>
      <c r="H38" s="1864"/>
      <c r="I38" s="1864"/>
      <c r="J38" s="1864"/>
      <c r="K38" s="1864"/>
      <c r="L38" s="1864"/>
      <c r="M38" s="1864"/>
      <c r="N38" s="1864"/>
      <c r="O38" s="1864"/>
      <c r="P38" s="1864"/>
    </row>
    <row r="39" spans="2:18" ht="14.25" customHeight="1" x14ac:dyDescent="0.35">
      <c r="B39" s="75"/>
      <c r="C39" s="77"/>
      <c r="D39" s="77"/>
      <c r="E39" s="77"/>
      <c r="F39" s="77"/>
      <c r="G39" s="77"/>
      <c r="H39" s="1871"/>
      <c r="I39" s="1864"/>
      <c r="J39" s="1864"/>
      <c r="K39" s="1864"/>
    </row>
    <row r="40" spans="2:18" ht="14.25" customHeight="1" x14ac:dyDescent="0.35">
      <c r="B40" s="75"/>
      <c r="C40" s="77"/>
      <c r="D40" s="77"/>
      <c r="E40" s="77"/>
      <c r="F40" s="77"/>
      <c r="G40" s="77"/>
      <c r="H40" s="77"/>
      <c r="I40" s="77"/>
      <c r="J40" s="77"/>
      <c r="K40" s="77"/>
      <c r="L40" s="77"/>
    </row>
    <row r="41" spans="2:18" ht="14.25" customHeight="1" x14ac:dyDescent="0.35">
      <c r="B41" s="75"/>
      <c r="C41" s="77"/>
      <c r="D41" s="77"/>
      <c r="E41" s="77"/>
      <c r="F41" s="77"/>
      <c r="G41" s="77"/>
      <c r="H41" s="77"/>
      <c r="I41" s="77"/>
      <c r="J41" s="77"/>
      <c r="K41" s="77"/>
      <c r="L41" s="77"/>
    </row>
    <row r="42" spans="2:18" ht="14.25" customHeight="1" x14ac:dyDescent="0.35">
      <c r="B42" s="75"/>
      <c r="C42" s="77"/>
      <c r="D42" s="77"/>
      <c r="E42" s="1883"/>
      <c r="F42" s="479"/>
      <c r="G42" s="1884"/>
      <c r="H42" s="1885"/>
      <c r="I42" s="1885"/>
      <c r="J42" s="1886"/>
      <c r="K42" s="1853"/>
      <c r="L42" s="1853"/>
      <c r="M42" s="1887"/>
      <c r="N42" s="1888"/>
    </row>
    <row r="43" spans="2:18" ht="14.25" customHeight="1" x14ac:dyDescent="0.35">
      <c r="B43" s="75"/>
      <c r="C43" s="77"/>
      <c r="D43" s="77"/>
      <c r="E43" s="479"/>
      <c r="F43" s="1889"/>
      <c r="G43" s="1884"/>
      <c r="H43" s="1885"/>
      <c r="I43" s="1885"/>
      <c r="J43" s="1886"/>
      <c r="K43" s="1888"/>
      <c r="L43" s="1888"/>
      <c r="M43" s="1888"/>
      <c r="N43" s="1888"/>
    </row>
    <row r="44" spans="2:18" ht="14.25" customHeight="1" x14ac:dyDescent="0.35">
      <c r="B44" s="75"/>
      <c r="C44" s="77"/>
      <c r="D44" s="77"/>
      <c r="E44" s="479"/>
      <c r="F44" s="1890"/>
      <c r="G44" s="1888"/>
      <c r="H44" s="1885"/>
      <c r="I44" s="1885"/>
      <c r="J44" s="1886"/>
      <c r="K44" s="1888"/>
      <c r="L44" s="1888"/>
      <c r="M44" s="1888"/>
      <c r="N44" s="1888"/>
    </row>
    <row r="45" spans="2:18" ht="14.25" customHeight="1" x14ac:dyDescent="0.35">
      <c r="B45" s="75"/>
      <c r="C45" s="77"/>
      <c r="D45" s="77"/>
      <c r="E45" s="479"/>
      <c r="F45" s="1890"/>
      <c r="G45" s="1888"/>
      <c r="H45" s="1885"/>
      <c r="I45" s="1885"/>
      <c r="J45" s="1886"/>
      <c r="K45" s="1888"/>
      <c r="L45" s="1888"/>
      <c r="M45" s="1888"/>
      <c r="N45" s="1888"/>
    </row>
    <row r="46" spans="2:18" ht="14.25" customHeight="1" x14ac:dyDescent="0.35">
      <c r="B46" s="75"/>
      <c r="C46" s="77"/>
      <c r="D46" s="77"/>
      <c r="E46" s="1891"/>
      <c r="F46" s="1892"/>
      <c r="G46" s="1888"/>
      <c r="H46" s="1885"/>
      <c r="I46" s="1885"/>
      <c r="J46" s="1886"/>
      <c r="K46" s="1888"/>
      <c r="L46" s="1888"/>
      <c r="M46" s="1888"/>
      <c r="N46" s="1888"/>
    </row>
    <row r="47" spans="2:18" ht="14.25" customHeight="1" x14ac:dyDescent="0.35">
      <c r="B47" s="75"/>
      <c r="C47" s="77"/>
      <c r="D47" s="77"/>
      <c r="E47" s="1893"/>
      <c r="F47" s="1894"/>
      <c r="G47" s="1888"/>
      <c r="H47" s="1866"/>
      <c r="I47" s="1866"/>
      <c r="J47" s="1886"/>
      <c r="K47" s="1888"/>
      <c r="L47" s="1888"/>
      <c r="M47" s="1888"/>
      <c r="N47" s="1888"/>
    </row>
    <row r="48" spans="2:18" ht="14.25" customHeight="1" x14ac:dyDescent="0.35">
      <c r="B48" s="75"/>
      <c r="C48" s="77"/>
      <c r="E48" s="1893"/>
      <c r="F48" s="1894"/>
      <c r="G48" s="1895"/>
      <c r="H48" s="1895"/>
      <c r="I48" s="1895"/>
      <c r="J48" s="1887"/>
      <c r="K48" s="1888"/>
      <c r="L48" s="1888"/>
      <c r="M48" s="1888"/>
      <c r="N48" s="1888"/>
    </row>
    <row r="49" spans="2:14" ht="14.25" customHeight="1" x14ac:dyDescent="0.35">
      <c r="B49" s="75"/>
      <c r="C49" s="77"/>
      <c r="E49" s="1883"/>
      <c r="F49" s="1892"/>
      <c r="G49" s="1884"/>
      <c r="H49" s="1887"/>
      <c r="I49" s="1887"/>
      <c r="J49" s="1887"/>
      <c r="K49" s="1888"/>
      <c r="L49" s="1888"/>
      <c r="M49" s="1888"/>
      <c r="N49" s="1888"/>
    </row>
    <row r="50" spans="2:14" ht="14.25" customHeight="1" x14ac:dyDescent="0.35">
      <c r="B50" s="75"/>
      <c r="C50" s="77"/>
      <c r="E50" s="1896"/>
      <c r="F50" s="1897"/>
      <c r="G50" s="1885"/>
      <c r="H50" s="1887"/>
      <c r="I50" s="1887"/>
      <c r="J50" s="1887"/>
      <c r="K50" s="1888"/>
      <c r="L50" s="1888"/>
      <c r="M50" s="1888"/>
      <c r="N50" s="1888"/>
    </row>
    <row r="51" spans="2:14" ht="14.25" customHeight="1" x14ac:dyDescent="0.35">
      <c r="B51" s="75"/>
      <c r="C51" s="77"/>
      <c r="E51" s="1883"/>
      <c r="F51" s="1898"/>
      <c r="G51" s="1885"/>
      <c r="H51" s="1887"/>
      <c r="I51" s="1887"/>
      <c r="J51" s="1887"/>
      <c r="K51" s="1888"/>
      <c r="L51" s="1888"/>
      <c r="M51" s="1888"/>
      <c r="N51" s="1888"/>
    </row>
    <row r="52" spans="2:14" ht="14.25" customHeight="1" x14ac:dyDescent="0.35">
      <c r="B52" s="75"/>
      <c r="C52" s="77"/>
    </row>
    <row r="53" spans="2:14" ht="14.25" customHeight="1" x14ac:dyDescent="0.35">
      <c r="B53" s="75"/>
      <c r="C53" s="79"/>
      <c r="H53" s="479"/>
      <c r="I53" s="1866"/>
      <c r="J53" s="479"/>
      <c r="K53" s="479"/>
      <c r="L53" s="1869"/>
    </row>
    <row r="54" spans="2:14" ht="14.25" customHeight="1" x14ac:dyDescent="0.35">
      <c r="B54" s="75"/>
      <c r="C54" s="80"/>
    </row>
    <row r="55" spans="2:14" ht="14.25" customHeight="1" x14ac:dyDescent="0.35">
      <c r="B55" s="75"/>
      <c r="C55" s="80"/>
    </row>
    <row r="56" spans="2:14" ht="14.25" customHeight="1" x14ac:dyDescent="0.35">
      <c r="B56" s="75"/>
      <c r="C56" s="80"/>
    </row>
    <row r="57" spans="2:14" ht="14.25" customHeight="1" x14ac:dyDescent="0.35">
      <c r="B57" s="75"/>
      <c r="C57" s="80"/>
    </row>
    <row r="58" spans="2:14" ht="14.25" customHeight="1" x14ac:dyDescent="0.35">
      <c r="B58" s="75"/>
      <c r="C58" s="80"/>
    </row>
    <row r="59" spans="2:14" ht="14.25" customHeight="1" x14ac:dyDescent="0.35">
      <c r="B59" s="75"/>
      <c r="C59" s="80"/>
    </row>
    <row r="60" spans="2:14" ht="14.25" customHeight="1" x14ac:dyDescent="0.35">
      <c r="B60" s="75"/>
      <c r="C60" s="80"/>
    </row>
    <row r="61" spans="2:14" ht="14.25" customHeight="1" x14ac:dyDescent="0.35">
      <c r="B61" s="75"/>
      <c r="C61" s="80"/>
    </row>
    <row r="62" spans="2:14" ht="14.25" customHeight="1" x14ac:dyDescent="0.35">
      <c r="B62" s="75"/>
      <c r="C62" s="80"/>
    </row>
    <row r="63" spans="2:14" ht="14.25" customHeight="1" x14ac:dyDescent="0.35">
      <c r="B63" s="75"/>
      <c r="C63" s="80"/>
    </row>
    <row r="64" spans="2:14" ht="14.25" customHeight="1" x14ac:dyDescent="0.35">
      <c r="B64" s="75"/>
      <c r="C64" s="80"/>
    </row>
    <row r="65" spans="2:3" ht="14.25" customHeight="1" x14ac:dyDescent="0.35">
      <c r="B65" s="75"/>
      <c r="C65" s="80"/>
    </row>
    <row r="66" spans="2:3" ht="14.25" customHeight="1" x14ac:dyDescent="0.35">
      <c r="B66" s="75"/>
      <c r="C66" s="80"/>
    </row>
    <row r="67" spans="2:3" ht="14.25" customHeight="1" x14ac:dyDescent="0.35">
      <c r="B67" s="75"/>
      <c r="C67" s="80"/>
    </row>
    <row r="68" spans="2:3" ht="14.25" customHeight="1" x14ac:dyDescent="0.35">
      <c r="B68" s="75"/>
      <c r="C68" s="80"/>
    </row>
    <row r="69" spans="2:3" ht="14.25" customHeight="1" x14ac:dyDescent="0.35">
      <c r="B69" s="75"/>
      <c r="C69" s="80"/>
    </row>
    <row r="70" spans="2:3" ht="14.25" customHeight="1" x14ac:dyDescent="0.35">
      <c r="B70" s="75"/>
      <c r="C70" s="80"/>
    </row>
    <row r="71" spans="2:3" ht="14.25" customHeight="1" x14ac:dyDescent="0.35">
      <c r="B71" s="75"/>
      <c r="C71" s="80"/>
    </row>
    <row r="72" spans="2:3" ht="14.25" customHeight="1" x14ac:dyDescent="0.35">
      <c r="B72" s="75"/>
      <c r="C72" s="80"/>
    </row>
    <row r="73" spans="2:3" ht="14.25" customHeight="1" x14ac:dyDescent="0.35">
      <c r="B73" s="75"/>
      <c r="C73" s="80"/>
    </row>
    <row r="74" spans="2:3" ht="14.25" customHeight="1" x14ac:dyDescent="0.35">
      <c r="B74" s="75"/>
      <c r="C74" s="80"/>
    </row>
    <row r="75" spans="2:3" ht="14.25" customHeight="1" x14ac:dyDescent="0.35">
      <c r="B75" s="75"/>
      <c r="C75" s="80"/>
    </row>
    <row r="76" spans="2:3" ht="14.25" customHeight="1" x14ac:dyDescent="0.35">
      <c r="B76" s="75"/>
      <c r="C76" s="80"/>
    </row>
    <row r="77" spans="2:3" ht="14.25" customHeight="1" x14ac:dyDescent="0.35">
      <c r="B77" s="75"/>
      <c r="C77" s="80"/>
    </row>
    <row r="78" spans="2:3" ht="14.25" customHeight="1" x14ac:dyDescent="0.35">
      <c r="B78" s="75"/>
      <c r="C78" s="80"/>
    </row>
    <row r="79" spans="2:3" ht="14.25" customHeight="1" x14ac:dyDescent="0.35">
      <c r="B79" s="75"/>
      <c r="C79" s="77"/>
    </row>
    <row r="80" spans="2:3" ht="14.25" customHeight="1" x14ac:dyDescent="0.35">
      <c r="B80" s="75"/>
      <c r="C80" s="77"/>
    </row>
    <row r="81" spans="2:3" ht="14.25" customHeight="1" x14ac:dyDescent="0.35">
      <c r="B81" s="75"/>
      <c r="C81" s="77"/>
    </row>
    <row r="82" spans="2:3" ht="14.25" customHeight="1" x14ac:dyDescent="0.35">
      <c r="B82" s="75"/>
      <c r="C82" s="77"/>
    </row>
    <row r="83" spans="2:3" ht="14.25" customHeight="1" x14ac:dyDescent="0.35">
      <c r="B83" s="75"/>
      <c r="C83" s="77"/>
    </row>
    <row r="84" spans="2:3" ht="14.25" customHeight="1" x14ac:dyDescent="0.35">
      <c r="B84" s="75"/>
      <c r="C84" s="77"/>
    </row>
    <row r="85" spans="2:3" ht="14.25" customHeight="1" x14ac:dyDescent="0.35">
      <c r="B85" s="75"/>
      <c r="C85" s="77"/>
    </row>
    <row r="86" spans="2:3" ht="14.25" customHeight="1" x14ac:dyDescent="0.35">
      <c r="B86" s="75"/>
      <c r="C86" s="77"/>
    </row>
    <row r="87" spans="2:3" ht="14.25" customHeight="1" x14ac:dyDescent="0.35">
      <c r="B87" s="75"/>
      <c r="C87" s="77"/>
    </row>
    <row r="88" spans="2:3" ht="14.25" customHeight="1" x14ac:dyDescent="0.35">
      <c r="B88" s="75"/>
      <c r="C88" s="77"/>
    </row>
    <row r="89" spans="2:3" ht="14.25" customHeight="1" x14ac:dyDescent="0.35">
      <c r="B89" s="75"/>
      <c r="C89" s="77"/>
    </row>
    <row r="90" spans="2:3" ht="14.25" customHeight="1" x14ac:dyDescent="0.35">
      <c r="B90" s="75"/>
      <c r="C90" s="77"/>
    </row>
    <row r="91" spans="2:3" ht="14.25" customHeight="1" x14ac:dyDescent="0.35">
      <c r="B91" s="75"/>
      <c r="C91" s="77"/>
    </row>
    <row r="92" spans="2:3" ht="14.25" customHeight="1" x14ac:dyDescent="0.35">
      <c r="B92" s="75"/>
      <c r="C92" s="77"/>
    </row>
    <row r="93" spans="2:3" ht="14.25" customHeight="1" x14ac:dyDescent="0.35">
      <c r="B93" s="75"/>
      <c r="C93" s="77"/>
    </row>
    <row r="94" spans="2:3" ht="14.25" customHeight="1" x14ac:dyDescent="0.35">
      <c r="B94" s="75"/>
      <c r="C94" s="77"/>
    </row>
    <row r="95" spans="2:3" ht="14.25" customHeight="1" x14ac:dyDescent="0.35">
      <c r="B95" s="75"/>
      <c r="C95" s="77"/>
    </row>
    <row r="96" spans="2:3" ht="14.25" customHeight="1" x14ac:dyDescent="0.35">
      <c r="B96" s="75"/>
      <c r="C96" s="77"/>
    </row>
    <row r="97" spans="2:3" ht="14.25" customHeight="1" x14ac:dyDescent="0.35">
      <c r="B97" s="75"/>
      <c r="C97" s="77"/>
    </row>
    <row r="98" spans="2:3" ht="14.25" customHeight="1" x14ac:dyDescent="0.35">
      <c r="B98" s="75"/>
      <c r="C98" s="77"/>
    </row>
    <row r="99" spans="2:3" ht="14.25" customHeight="1" x14ac:dyDescent="0.35">
      <c r="B99" s="75"/>
      <c r="C99" s="77"/>
    </row>
    <row r="100" spans="2:3" ht="14.25" customHeight="1" x14ac:dyDescent="0.35">
      <c r="B100" s="75"/>
      <c r="C100" s="77"/>
    </row>
  </sheetData>
  <sheetProtection password="EDB3" sheet="1" objects="1" scenarios="1"/>
  <mergeCells count="14">
    <mergeCell ref="J9:R11"/>
    <mergeCell ref="C2:G2"/>
    <mergeCell ref="C4:G4"/>
    <mergeCell ref="J6:R7"/>
    <mergeCell ref="B25:C25"/>
    <mergeCell ref="J18:R23"/>
    <mergeCell ref="E36:N36"/>
    <mergeCell ref="E37:N37"/>
    <mergeCell ref="B34:R34"/>
    <mergeCell ref="B35:R35"/>
    <mergeCell ref="J13:R16"/>
    <mergeCell ref="B26:C26"/>
    <mergeCell ref="B29:C29"/>
    <mergeCell ref="B30:C30"/>
  </mergeCells>
  <hyperlinks>
    <hyperlink ref="D32" r:id="rId1" xr:uid="{00000000-0004-0000-0000-000000000000}"/>
    <hyperlink ref="B35" r:id="rId2" xr:uid="{00000000-0004-0000-0000-000001000000}"/>
  </hyperlinks>
  <pageMargins left="0.511811024" right="0.511811024" top="0.78740157499999996" bottom="0.78740157499999996" header="0" footer="0"/>
  <pageSetup paperSize="9" scale="44" fitToHeight="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tabColor theme="9" tint="0.59999389629810485"/>
    <outlinePr summaryBelow="0"/>
  </sheetPr>
  <dimension ref="A1:BF194"/>
  <sheetViews>
    <sheetView showGridLines="0" zoomScale="75" zoomScaleNormal="75" workbookViewId="0">
      <selection activeCell="B2" sqref="B2:C4"/>
    </sheetView>
  </sheetViews>
  <sheetFormatPr defaultColWidth="14.453125" defaultRowHeight="15" customHeight="1" outlineLevelRow="1" x14ac:dyDescent="0.35"/>
  <cols>
    <col min="1" max="1" width="1" style="70" customWidth="1"/>
    <col min="2" max="2" width="55.7265625" style="70" customWidth="1"/>
    <col min="3" max="3" width="11.453125" style="1683" customWidth="1"/>
    <col min="4" max="4" width="5.7265625" style="1683" customWidth="1"/>
    <col min="5" max="5" width="20.7265625" style="1683" customWidth="1"/>
    <col min="6" max="7" width="15.7265625" style="1683" customWidth="1"/>
    <col min="8" max="55" width="11.453125" style="1683" customWidth="1"/>
    <col min="56" max="58" width="8.453125" style="70" customWidth="1"/>
    <col min="59" max="16384" width="14.453125" style="70"/>
  </cols>
  <sheetData>
    <row r="1" spans="2:55" ht="5.15" customHeight="1" x14ac:dyDescent="0.35">
      <c r="E1" s="1684"/>
      <c r="F1" s="1684"/>
      <c r="G1" s="1684"/>
      <c r="H1" s="1684"/>
      <c r="I1" s="1684"/>
      <c r="J1" s="1684"/>
      <c r="K1" s="1684"/>
      <c r="L1" s="1684"/>
      <c r="M1" s="1684"/>
      <c r="N1" s="1684"/>
      <c r="O1" s="1684"/>
      <c r="P1" s="1684"/>
      <c r="Q1" s="1684"/>
      <c r="R1" s="1685"/>
      <c r="S1" s="1684"/>
    </row>
    <row r="2" spans="2:55" s="203" customFormat="1" ht="25.4" customHeight="1" x14ac:dyDescent="0.35">
      <c r="B2" s="2165" t="s">
        <v>881</v>
      </c>
      <c r="C2" s="2166"/>
      <c r="D2" s="1686"/>
      <c r="E2" s="1687"/>
      <c r="F2" s="1687"/>
      <c r="G2" s="1687"/>
      <c r="H2" s="2189" t="s">
        <v>474</v>
      </c>
      <c r="I2" s="2189"/>
      <c r="J2" s="2189"/>
      <c r="K2" s="1687"/>
      <c r="L2" s="1687"/>
      <c r="M2" s="1687"/>
      <c r="N2" s="1687"/>
      <c r="O2" s="1687"/>
      <c r="P2" s="1687"/>
      <c r="Q2" s="1687"/>
      <c r="R2" s="1687"/>
      <c r="S2" s="1688"/>
      <c r="T2" s="1687"/>
      <c r="U2" s="1686"/>
      <c r="V2" s="1686"/>
      <c r="W2" s="1686"/>
      <c r="X2" s="1686"/>
      <c r="Y2" s="1686"/>
      <c r="Z2" s="1686"/>
      <c r="AA2" s="1686"/>
      <c r="AB2" s="1686"/>
      <c r="AC2" s="1686"/>
      <c r="AD2" s="1686"/>
      <c r="AE2" s="1686"/>
      <c r="AF2" s="1686"/>
      <c r="AG2" s="1686"/>
      <c r="AH2" s="1686"/>
      <c r="AI2" s="1686"/>
      <c r="AJ2" s="1686"/>
      <c r="AK2" s="1686"/>
      <c r="AL2" s="1686"/>
      <c r="AM2" s="1686"/>
      <c r="AN2" s="1686"/>
      <c r="AO2" s="1686"/>
      <c r="AP2" s="1686"/>
      <c r="AQ2" s="1686"/>
      <c r="AR2" s="1686"/>
      <c r="AS2" s="1686"/>
      <c r="AT2" s="1686"/>
      <c r="AU2" s="1686"/>
      <c r="AV2" s="1686"/>
      <c r="AW2" s="1686"/>
      <c r="AX2" s="1686"/>
      <c r="AY2" s="1686"/>
      <c r="AZ2" s="1686"/>
      <c r="BA2" s="1686"/>
      <c r="BB2" s="1686"/>
      <c r="BC2" s="1686"/>
    </row>
    <row r="3" spans="2:55" s="203" customFormat="1" ht="20.149999999999999" customHeight="1" x14ac:dyDescent="0.35">
      <c r="B3" s="2167"/>
      <c r="C3" s="2167"/>
      <c r="D3" s="1686"/>
      <c r="E3" s="1687"/>
      <c r="F3" s="1687"/>
      <c r="G3" s="1687"/>
      <c r="H3" s="2190" t="str">
        <f>'C-Calc Tarifa'!H19</f>
        <v>Versão 1.01   -   Maio de 2022</v>
      </c>
      <c r="I3" s="2190"/>
      <c r="J3" s="2190"/>
      <c r="K3" s="1687"/>
      <c r="L3" s="1687"/>
      <c r="M3" s="1687"/>
      <c r="N3" s="1687"/>
      <c r="O3" s="1687"/>
      <c r="P3" s="1687"/>
      <c r="Q3" s="1687"/>
      <c r="R3" s="1687"/>
      <c r="S3" s="1689"/>
      <c r="T3" s="1687"/>
      <c r="U3" s="1686"/>
      <c r="V3" s="1686"/>
      <c r="W3" s="1686"/>
      <c r="X3" s="1686"/>
      <c r="Y3" s="1686"/>
      <c r="Z3" s="1686"/>
      <c r="AA3" s="1686"/>
      <c r="AB3" s="1686"/>
      <c r="AC3" s="1686"/>
      <c r="AD3" s="1686"/>
      <c r="AE3" s="1686"/>
      <c r="AF3" s="1686"/>
      <c r="AG3" s="1686"/>
      <c r="AH3" s="1686"/>
      <c r="AI3" s="1686"/>
      <c r="AJ3" s="1686"/>
      <c r="AK3" s="1686"/>
      <c r="AL3" s="1686"/>
      <c r="AM3" s="1686"/>
      <c r="AN3" s="1686"/>
      <c r="AO3" s="1686"/>
      <c r="AP3" s="1686"/>
      <c r="AQ3" s="1686"/>
      <c r="AR3" s="1686"/>
      <c r="AS3" s="1686"/>
      <c r="AT3" s="1686"/>
      <c r="AU3" s="1686"/>
      <c r="AV3" s="1686"/>
      <c r="AW3" s="1686"/>
      <c r="AX3" s="1686"/>
      <c r="AY3" s="1686"/>
      <c r="AZ3" s="1686"/>
      <c r="BA3" s="1686"/>
      <c r="BB3" s="1686"/>
      <c r="BC3" s="1686"/>
    </row>
    <row r="4" spans="2:55" s="203" customFormat="1" ht="20.149999999999999" customHeight="1" x14ac:dyDescent="0.35">
      <c r="B4" s="2168"/>
      <c r="C4" s="2168"/>
      <c r="D4" s="1686"/>
      <c r="E4" s="1690"/>
      <c r="F4" s="1690"/>
      <c r="G4" s="1690"/>
      <c r="H4" s="1690"/>
      <c r="I4" s="1690"/>
      <c r="J4" s="1690"/>
      <c r="K4" s="1690"/>
      <c r="L4" s="1690"/>
      <c r="M4" s="1690"/>
      <c r="N4" s="1690"/>
      <c r="O4" s="1690"/>
      <c r="P4" s="1690"/>
      <c r="Q4" s="1690"/>
      <c r="R4" s="1690"/>
      <c r="S4" s="1689"/>
      <c r="T4" s="1687"/>
      <c r="U4" s="1686"/>
      <c r="V4" s="1686"/>
      <c r="W4" s="1686"/>
      <c r="X4" s="1686"/>
      <c r="Y4" s="1686"/>
      <c r="Z4" s="1686"/>
      <c r="AA4" s="1686"/>
      <c r="AB4" s="1686"/>
      <c r="AC4" s="1686"/>
      <c r="AD4" s="1686"/>
      <c r="AE4" s="1686"/>
      <c r="AF4" s="1686"/>
      <c r="AG4" s="1686"/>
      <c r="AH4" s="1686"/>
      <c r="AI4" s="1686"/>
      <c r="AJ4" s="1686"/>
      <c r="AK4" s="1686"/>
      <c r="AL4" s="1686"/>
      <c r="AM4" s="1686"/>
      <c r="AN4" s="1686"/>
      <c r="AO4" s="1686"/>
      <c r="AP4" s="1686"/>
      <c r="AQ4" s="1686"/>
      <c r="AR4" s="1686"/>
      <c r="AS4" s="1686"/>
      <c r="AT4" s="1686"/>
      <c r="AU4" s="1686"/>
      <c r="AV4" s="1686"/>
      <c r="AW4" s="1686"/>
      <c r="AX4" s="1686"/>
      <c r="AY4" s="1686"/>
      <c r="AZ4" s="1686"/>
      <c r="BA4" s="1686"/>
      <c r="BB4" s="1686"/>
      <c r="BC4" s="1686"/>
    </row>
    <row r="5" spans="2:55" s="203" customFormat="1" ht="12.65" customHeight="1" thickBot="1" x14ac:dyDescent="0.4">
      <c r="C5" s="1686"/>
      <c r="D5" s="1686"/>
      <c r="E5" s="1690"/>
      <c r="F5" s="1690"/>
      <c r="G5" s="1690"/>
      <c r="H5" s="1690"/>
      <c r="I5" s="1690"/>
      <c r="J5" s="1690"/>
      <c r="K5" s="1690"/>
      <c r="L5" s="1690"/>
      <c r="M5" s="1690"/>
      <c r="N5" s="1690"/>
      <c r="O5" s="1690"/>
      <c r="P5" s="1690"/>
      <c r="Q5" s="1690"/>
      <c r="R5" s="1691"/>
      <c r="S5" s="1689"/>
      <c r="T5" s="1687"/>
      <c r="U5" s="1686"/>
      <c r="V5" s="1686"/>
      <c r="W5" s="1686"/>
      <c r="X5" s="1686"/>
      <c r="Y5" s="1686"/>
      <c r="Z5" s="1686"/>
      <c r="AA5" s="1686"/>
      <c r="AB5" s="1686"/>
      <c r="AC5" s="1686"/>
      <c r="AD5" s="1686"/>
      <c r="AE5" s="1686"/>
      <c r="AF5" s="1686"/>
      <c r="AG5" s="1686"/>
      <c r="AH5" s="1686"/>
      <c r="AI5" s="1686"/>
      <c r="AJ5" s="1686"/>
      <c r="AK5" s="1686"/>
      <c r="AL5" s="1686"/>
      <c r="AM5" s="1686"/>
      <c r="AN5" s="1686"/>
      <c r="AO5" s="1686"/>
      <c r="AP5" s="1686"/>
      <c r="AQ5" s="1686"/>
      <c r="AR5" s="1686"/>
      <c r="AS5" s="1686"/>
      <c r="AT5" s="1686"/>
      <c r="AU5" s="1686"/>
      <c r="AV5" s="1686"/>
      <c r="AW5" s="1686"/>
      <c r="AX5" s="1686"/>
      <c r="AY5" s="1686"/>
      <c r="AZ5" s="1686"/>
      <c r="BA5" s="1686"/>
      <c r="BB5" s="1686"/>
      <c r="BC5" s="1686"/>
    </row>
    <row r="6" spans="2:55" s="1283" customFormat="1" ht="20.149999999999999" customHeight="1" thickTop="1" thickBot="1" x14ac:dyDescent="0.4">
      <c r="B6" s="2187" t="s">
        <v>882</v>
      </c>
      <c r="C6" s="2188"/>
      <c r="D6" s="1692"/>
      <c r="E6" s="2171" t="s">
        <v>390</v>
      </c>
      <c r="F6" s="2172"/>
      <c r="G6" s="2173"/>
      <c r="H6" s="1690"/>
      <c r="I6" s="1690"/>
      <c r="J6" s="1690"/>
      <c r="K6" s="1690"/>
      <c r="L6" s="1690"/>
      <c r="M6" s="1690"/>
      <c r="N6" s="1690"/>
      <c r="O6" s="1690"/>
      <c r="P6" s="1690"/>
      <c r="Q6" s="1690"/>
      <c r="R6" s="1693"/>
      <c r="S6" s="1689"/>
      <c r="T6" s="1687"/>
      <c r="U6" s="1686"/>
      <c r="V6" s="1686"/>
      <c r="W6" s="1686"/>
      <c r="X6" s="1686"/>
      <c r="Y6" s="1686"/>
      <c r="Z6" s="1686"/>
      <c r="AA6" s="1686"/>
      <c r="AB6" s="1686"/>
      <c r="AC6" s="1686"/>
      <c r="AD6" s="1686"/>
      <c r="AE6" s="1686"/>
      <c r="AF6" s="1686"/>
      <c r="AG6" s="1686"/>
      <c r="AH6" s="1686"/>
      <c r="AI6" s="1686"/>
      <c r="AJ6" s="1686"/>
      <c r="AK6" s="1686"/>
      <c r="AL6" s="1686"/>
      <c r="AM6" s="1686"/>
      <c r="AN6" s="1686"/>
      <c r="AO6" s="1686"/>
      <c r="AP6" s="1686"/>
      <c r="AQ6" s="1686"/>
      <c r="AR6" s="1686"/>
      <c r="AS6" s="1686"/>
      <c r="AT6" s="1686"/>
      <c r="AU6" s="1686"/>
      <c r="AV6" s="1686"/>
      <c r="AW6" s="1686"/>
      <c r="AX6" s="1686"/>
      <c r="AY6" s="1686"/>
      <c r="AZ6" s="1686"/>
      <c r="BA6" s="1686"/>
      <c r="BB6" s="1686"/>
      <c r="BC6" s="1686"/>
    </row>
    <row r="7" spans="2:55" s="1286" customFormat="1" ht="20.149999999999999" customHeight="1" outlineLevel="1" thickTop="1" thickBot="1" x14ac:dyDescent="0.4">
      <c r="B7" s="1284" t="s">
        <v>663</v>
      </c>
      <c r="C7" s="1287" t="s">
        <v>282</v>
      </c>
      <c r="D7" s="1683" t="s">
        <v>190</v>
      </c>
      <c r="E7" s="1694"/>
      <c r="F7" s="1695" t="s">
        <v>391</v>
      </c>
      <c r="G7" s="1696" t="s">
        <v>392</v>
      </c>
      <c r="H7" s="1697"/>
      <c r="I7" s="1697"/>
      <c r="J7" s="1697"/>
      <c r="K7" s="1698"/>
      <c r="L7" s="1698"/>
      <c r="M7" s="1697"/>
      <c r="N7" s="1697"/>
      <c r="O7" s="1697"/>
      <c r="P7" s="1697"/>
      <c r="Q7" s="1697"/>
      <c r="R7" s="1699"/>
      <c r="S7" s="1684"/>
      <c r="T7" s="1697"/>
      <c r="U7" s="1683"/>
      <c r="V7" s="1683"/>
      <c r="W7" s="1683"/>
      <c r="X7" s="1683"/>
      <c r="Y7" s="1683"/>
      <c r="Z7" s="1683"/>
      <c r="AA7" s="1683"/>
      <c r="AB7" s="1683"/>
      <c r="AC7" s="1683"/>
      <c r="AD7" s="1683"/>
      <c r="AE7" s="1683"/>
      <c r="AF7" s="1683"/>
      <c r="AG7" s="1683"/>
      <c r="AH7" s="1683"/>
      <c r="AI7" s="1683"/>
      <c r="AJ7" s="1683"/>
      <c r="AK7" s="1683"/>
      <c r="AL7" s="1683"/>
      <c r="AM7" s="1683"/>
      <c r="AN7" s="1683"/>
      <c r="AO7" s="1683"/>
      <c r="AP7" s="1683"/>
      <c r="AQ7" s="1683"/>
      <c r="AR7" s="1683"/>
      <c r="AS7" s="1683"/>
      <c r="AT7" s="1683"/>
      <c r="AU7" s="1683"/>
      <c r="AV7" s="1683"/>
      <c r="AW7" s="1683"/>
      <c r="AX7" s="1683"/>
      <c r="AY7" s="1683"/>
      <c r="AZ7" s="1683"/>
      <c r="BA7" s="1683"/>
      <c r="BB7" s="1683"/>
      <c r="BC7" s="1683"/>
    </row>
    <row r="8" spans="2:55" s="203" customFormat="1" ht="17.899999999999999" customHeight="1" outlineLevel="1" thickTop="1" x14ac:dyDescent="0.35">
      <c r="B8" s="1242" t="s">
        <v>664</v>
      </c>
      <c r="C8" s="1700">
        <f>'R&amp;C-Painel de Controle'!D27</f>
        <v>0</v>
      </c>
      <c r="D8" s="1686" t="s">
        <v>190</v>
      </c>
      <c r="E8" s="1701" t="s">
        <v>394</v>
      </c>
      <c r="F8" s="1702">
        <f>SUMIF(C33:BC33,1,C159:BC159)</f>
        <v>8.3844042819691822E-13</v>
      </c>
      <c r="G8" s="1703">
        <f>SUMIF(C33:BC33,1,C178:BC178)</f>
        <v>-555.42199777885833</v>
      </c>
      <c r="H8" s="1687"/>
      <c r="I8" s="1687"/>
      <c r="J8" s="1687"/>
      <c r="K8" s="1687"/>
      <c r="L8" s="1687"/>
      <c r="M8" s="1687"/>
      <c r="N8" s="1687"/>
      <c r="O8" s="1687"/>
      <c r="P8" s="1687"/>
      <c r="Q8" s="1687"/>
      <c r="R8" s="1704"/>
      <c r="S8" s="1689"/>
      <c r="T8" s="1687"/>
      <c r="U8" s="1686"/>
      <c r="V8" s="1686"/>
      <c r="W8" s="1686"/>
      <c r="X8" s="1686"/>
      <c r="Y8" s="1686"/>
      <c r="Z8" s="1686"/>
      <c r="AA8" s="1686"/>
      <c r="AB8" s="1686"/>
      <c r="AC8" s="1686"/>
      <c r="AD8" s="1686"/>
      <c r="AE8" s="1686"/>
      <c r="AF8" s="1686"/>
      <c r="AG8" s="1686"/>
      <c r="AH8" s="1686"/>
      <c r="AI8" s="1686"/>
      <c r="AJ8" s="1686"/>
      <c r="AK8" s="1686"/>
      <c r="AL8" s="1686"/>
      <c r="AM8" s="1686"/>
      <c r="AN8" s="1686"/>
      <c r="AO8" s="1686"/>
      <c r="AP8" s="1686"/>
      <c r="AQ8" s="1686"/>
      <c r="AR8" s="1686"/>
      <c r="AS8" s="1686"/>
      <c r="AT8" s="1686"/>
      <c r="AU8" s="1686"/>
      <c r="AV8" s="1686"/>
      <c r="AW8" s="1686"/>
      <c r="AX8" s="1686"/>
      <c r="AY8" s="1686"/>
      <c r="AZ8" s="1686"/>
      <c r="BA8" s="1686"/>
      <c r="BB8" s="1686"/>
      <c r="BC8" s="1686"/>
    </row>
    <row r="9" spans="2:55" s="203" customFormat="1" ht="17.899999999999999" customHeight="1" outlineLevel="1" x14ac:dyDescent="0.35">
      <c r="B9" s="1242" t="s">
        <v>393</v>
      </c>
      <c r="C9" s="1705">
        <v>0</v>
      </c>
      <c r="D9" s="1686"/>
      <c r="E9" s="1706" t="s">
        <v>395</v>
      </c>
      <c r="F9" s="1707">
        <f>IF(C31=1,C165,IF(D31=1,D165,IF(E31=1,E165,IF(F31=1,F165,IF(G31=1,G165,IF(H31=1,H165,IF(I31=1,I165,IF(J31=1,J165,IF(K31=1,K165,IF(L31=1,L165,IF(M31=1,M165,IF(N31=1,N165,IF(O31=1,O165,IF(P31=1,P165,IF(Q31=1,Q165,IF(R31=1,R165,IF(S31=1,S165,IF(T31=1,T165,IF(U31=1,U165,IF(V31=1,V165,IF(X31=1,X165,IF(W31=1,W165,IF(Y31=1,Y165,IF(Z31=1,Z165,IF(AA31=1,AA165,IF(AB31=1,AB165,IF( AC31=1,AC165, IF(AD31=1,AD165,IF(AE31=1,AE165,IF(AF31=1,AF165,IF(AG31=1,AG165,IF(AH31=1,AH165,IF(AI31=1,AI165,IF(AJ31=1,AJ165,IF(AK31=1,AK165,IF(AL31=1,AL165,IF(AM31=1,AM165,IF(AN31=1,AN165,IF(AO31=1,AO165,IF(AP31=1,AP165,IF(AQ31=1,AQ165,IF(AR31=1,AR165,IF(AS31=1,AS165,IF(AT31=1,AT165,IF(AU31=1,AU165,IF(AV31=1,AV165,IF(AW31=1,AW165,IF(AX31=1,AX165,IF(AY31=1,AY165,IF(AZ31=1,AZ165, IF(BA31=1,BA165,IF(BB31=1,BB165,IF(BC31=1,BC165, "-")))))))))))))))))))))))))))))))))))))))))))))))))))))</f>
        <v>4.0634162701280729E-14</v>
      </c>
      <c r="G9" s="1708">
        <f>IF(C31=1,C184,IF(D31=1,D184,IF(E31=1,E184,IF(F31=1,F184,IF(G31=1,G184,IF(H31=1,H184,IF(I31=1,I184,IF(J31=1,J184,IF(K31=1,K184,IF(L31=1,L184,IF(M31=1,M184,IF(N31=1,N184,IF(O31=1,O184,IF(P31=1,P184,IF(Q31=1,Q184,IF(R31=1,R184,IF(S31=1,S184,IF(T31=1,T184,IF(U31=1,U184,IF(V31=1,V184,IF(X31=1,X184,IF(W31=1,W184,IF(Y31=1,Y184,IF(Z31=1,Z184,IF(AA31=1,AA184,IF(AB31=1,AB184,IF( AC31=1,AC184, IF(AD31=1,AD184,IF(AE31=1,AE184,IF(AF31=1,AF184,IF(AG31=1,AG184,IF(AH31=1,AH184,IF(AI31=1,AI184,IF(AJ31=1,AJ184,IF(AK31=1,AK184,IF(AL31=1,AL184,IF(AM31=1,AM184,IF(AN31=1,AN184,IF(AO31=1,AO184,IF(AP31=1,AP184,IF(AQ31=1,AQ184,IF(AR31=1,AR184,IF(AS31=1,AS184,IF(AT31=1,AT184,IF(AU31=1,AU184,IF(AV31=1,AV184,IF(AW31=1,AW184,IF(AX31=1,AX184,IF(AY31=1,AY184,IF(AZ31=1,AZ184, IF(BA31=1,BA184,IF(BB31=1,BB184,IF(BC31=1,BC184, "-")))))))))))))))))))))))))))))))))))))))))))))))))))))</f>
        <v>-6.7433930050979307E-2</v>
      </c>
      <c r="H9" s="1709"/>
      <c r="I9" s="1709"/>
      <c r="J9" s="1687"/>
      <c r="K9" s="1687"/>
      <c r="L9" s="1687"/>
      <c r="M9" s="1687"/>
      <c r="N9" s="1687"/>
      <c r="O9" s="1687"/>
      <c r="P9" s="1687"/>
      <c r="Q9" s="1687"/>
      <c r="R9" s="1704"/>
      <c r="S9" s="1689"/>
      <c r="T9" s="1687"/>
      <c r="U9" s="1686"/>
      <c r="V9" s="1686"/>
      <c r="W9" s="1686"/>
      <c r="X9" s="1686"/>
      <c r="Y9" s="1686"/>
      <c r="Z9" s="1686"/>
      <c r="AA9" s="1686"/>
      <c r="AB9" s="1686"/>
      <c r="AC9" s="1686"/>
      <c r="AD9" s="1686"/>
      <c r="AE9" s="1686"/>
      <c r="AF9" s="1686"/>
      <c r="AG9" s="1686"/>
      <c r="AH9" s="1686"/>
      <c r="AI9" s="1686"/>
      <c r="AJ9" s="1686"/>
      <c r="AK9" s="1686"/>
      <c r="AL9" s="1686"/>
      <c r="AM9" s="1686"/>
      <c r="AN9" s="1686"/>
      <c r="AO9" s="1686"/>
      <c r="AP9" s="1686"/>
      <c r="AQ9" s="1686"/>
      <c r="AR9" s="1686"/>
      <c r="AS9" s="1686"/>
      <c r="AT9" s="1686"/>
      <c r="AU9" s="1686"/>
      <c r="AV9" s="1686"/>
      <c r="AW9" s="1686"/>
      <c r="AX9" s="1686"/>
      <c r="AY9" s="1686"/>
      <c r="AZ9" s="1686"/>
      <c r="BA9" s="1686"/>
      <c r="BB9" s="1686"/>
      <c r="BC9" s="1686"/>
    </row>
    <row r="10" spans="2:55" s="203" customFormat="1" ht="17.899999999999999" customHeight="1" outlineLevel="1" thickBot="1" x14ac:dyDescent="0.4">
      <c r="B10" s="1243"/>
      <c r="C10" s="1710"/>
      <c r="D10" s="1686"/>
      <c r="E10" s="1711" t="s">
        <v>396</v>
      </c>
      <c r="F10" s="1712">
        <f>F9-C28</f>
        <v>-0.10601999999995937</v>
      </c>
      <c r="G10" s="1713">
        <f>G9-C28</f>
        <v>-0.17345393005097931</v>
      </c>
      <c r="H10" s="1687"/>
      <c r="I10" s="1714"/>
      <c r="J10" s="1687"/>
      <c r="K10" s="1687"/>
      <c r="L10" s="1687"/>
      <c r="M10" s="1687"/>
      <c r="N10" s="1687"/>
      <c r="O10" s="1687"/>
      <c r="P10" s="1687"/>
      <c r="Q10" s="1687"/>
      <c r="R10" s="1704"/>
      <c r="S10" s="1689"/>
      <c r="T10" s="1687"/>
      <c r="U10" s="1686"/>
      <c r="V10" s="1686"/>
      <c r="W10" s="1686"/>
      <c r="X10" s="1686"/>
      <c r="Y10" s="1686"/>
      <c r="Z10" s="1686"/>
      <c r="AA10" s="1686"/>
      <c r="AB10" s="1686"/>
      <c r="AC10" s="1686"/>
      <c r="AD10" s="1686"/>
      <c r="AE10" s="1686"/>
      <c r="AF10" s="1686"/>
      <c r="AG10" s="1686"/>
      <c r="AH10" s="1686"/>
      <c r="AI10" s="1686"/>
      <c r="AJ10" s="1686"/>
      <c r="AK10" s="1686"/>
      <c r="AL10" s="1686"/>
      <c r="AM10" s="1686"/>
      <c r="AN10" s="1686"/>
      <c r="AO10" s="1686"/>
      <c r="AP10" s="1686"/>
      <c r="AQ10" s="1686"/>
      <c r="AR10" s="1686"/>
      <c r="AS10" s="1686"/>
      <c r="AT10" s="1686"/>
      <c r="AU10" s="1686"/>
      <c r="AV10" s="1686"/>
      <c r="AW10" s="1686"/>
      <c r="AX10" s="1686"/>
      <c r="AY10" s="1686"/>
      <c r="AZ10" s="1686"/>
      <c r="BA10" s="1686"/>
      <c r="BB10" s="1686"/>
      <c r="BC10" s="1686"/>
    </row>
    <row r="11" spans="2:55" s="203" customFormat="1" ht="20.149999999999999" customHeight="1" outlineLevel="1" thickTop="1" x14ac:dyDescent="0.35">
      <c r="B11" s="2181" t="s">
        <v>886</v>
      </c>
      <c r="C11" s="2182"/>
      <c r="D11" s="1686"/>
      <c r="E11" s="1711" t="s">
        <v>397</v>
      </c>
      <c r="F11" s="1715">
        <f>SUMIF(C33:BC33,1,C63:BC63)</f>
        <v>1843.9341568498787</v>
      </c>
      <c r="G11" s="1716">
        <f>SUMIF(C33:BC33,1,C167:BC167)</f>
        <v>553.18024705496327</v>
      </c>
      <c r="H11" s="1714"/>
      <c r="I11" s="1714"/>
      <c r="J11" s="1687"/>
      <c r="K11" s="1687"/>
      <c r="L11" s="1687"/>
      <c r="M11" s="1687"/>
      <c r="N11" s="1687"/>
      <c r="O11" s="1687"/>
      <c r="P11" s="1687"/>
      <c r="Q11" s="1687"/>
      <c r="R11" s="1704"/>
      <c r="S11" s="1689"/>
      <c r="T11" s="1687"/>
      <c r="U11" s="1686"/>
      <c r="V11" s="1686"/>
      <c r="W11" s="1686"/>
      <c r="X11" s="1686"/>
      <c r="Y11" s="1686"/>
      <c r="Z11" s="1686"/>
      <c r="AA11" s="1686"/>
      <c r="AB11" s="1686"/>
      <c r="AC11" s="1686"/>
      <c r="AD11" s="1686"/>
      <c r="AE11" s="1686"/>
      <c r="AF11" s="1686"/>
      <c r="AG11" s="1686"/>
      <c r="AH11" s="1686"/>
      <c r="AI11" s="1686"/>
      <c r="AJ11" s="1686"/>
      <c r="AK11" s="1686"/>
      <c r="AL11" s="1686"/>
      <c r="AM11" s="1686"/>
      <c r="AN11" s="1686"/>
      <c r="AO11" s="1686"/>
      <c r="AP11" s="1686"/>
      <c r="AQ11" s="1686"/>
      <c r="AR11" s="1686"/>
      <c r="AS11" s="1686"/>
      <c r="AT11" s="1686"/>
      <c r="AU11" s="1686"/>
      <c r="AV11" s="1686"/>
      <c r="AW11" s="1686"/>
      <c r="AX11" s="1686"/>
      <c r="AY11" s="1686"/>
      <c r="AZ11" s="1686"/>
      <c r="BA11" s="1686"/>
      <c r="BB11" s="1686"/>
      <c r="BC11" s="1686"/>
    </row>
    <row r="12" spans="2:55" s="203" customFormat="1" ht="20.149999999999999" customHeight="1" outlineLevel="1" x14ac:dyDescent="0.35">
      <c r="B12" s="1289" t="s">
        <v>504</v>
      </c>
      <c r="C12" s="1717" t="s">
        <v>282</v>
      </c>
      <c r="D12" s="1686"/>
      <c r="E12" s="1711" t="s">
        <v>398</v>
      </c>
      <c r="F12" s="1712">
        <f t="shared" ref="F12:G12" si="0">F8/F11</f>
        <v>4.5470193449276108E-16</v>
      </c>
      <c r="G12" s="1713">
        <f t="shared" si="0"/>
        <v>-1.0040524778963633</v>
      </c>
      <c r="H12" s="1714"/>
      <c r="I12" s="1714"/>
      <c r="J12" s="1687"/>
      <c r="K12" s="1687"/>
      <c r="L12" s="1687"/>
      <c r="M12" s="1687"/>
      <c r="N12" s="1687"/>
      <c r="O12" s="1687"/>
      <c r="P12" s="1687"/>
      <c r="Q12" s="1687"/>
      <c r="R12" s="1704"/>
      <c r="S12" s="1689"/>
      <c r="T12" s="1687"/>
      <c r="U12" s="1686"/>
      <c r="V12" s="1686"/>
      <c r="W12" s="1686"/>
      <c r="X12" s="1686"/>
      <c r="Y12" s="1686"/>
      <c r="Z12" s="1686"/>
      <c r="AA12" s="1686"/>
      <c r="AB12" s="1686"/>
      <c r="AC12" s="1686"/>
      <c r="AD12" s="1686"/>
      <c r="AE12" s="1686"/>
      <c r="AF12" s="1686"/>
      <c r="AG12" s="1686"/>
      <c r="AH12" s="1686"/>
      <c r="AI12" s="1686"/>
      <c r="AJ12" s="1686"/>
      <c r="AK12" s="1686"/>
      <c r="AL12" s="1686"/>
      <c r="AM12" s="1686"/>
      <c r="AN12" s="1686"/>
      <c r="AO12" s="1686"/>
      <c r="AP12" s="1686"/>
      <c r="AQ12" s="1686"/>
      <c r="AR12" s="1686"/>
      <c r="AS12" s="1686"/>
      <c r="AT12" s="1686"/>
      <c r="AU12" s="1686"/>
      <c r="AV12" s="1686"/>
      <c r="AW12" s="1686"/>
      <c r="AX12" s="1686"/>
      <c r="AY12" s="1686"/>
      <c r="AZ12" s="1686"/>
      <c r="BA12" s="1686"/>
      <c r="BB12" s="1686"/>
      <c r="BC12" s="1686"/>
    </row>
    <row r="13" spans="2:55" s="203" customFormat="1" ht="17.899999999999999" customHeight="1" outlineLevel="1" x14ac:dyDescent="0.35">
      <c r="B13" s="1242" t="s">
        <v>665</v>
      </c>
      <c r="C13" s="1718">
        <v>0.7</v>
      </c>
      <c r="D13" s="1686" t="s">
        <v>190</v>
      </c>
      <c r="E13" s="1719" t="s">
        <v>399</v>
      </c>
      <c r="F13" s="1720">
        <f>IF(F8&lt;0,SUM(C164:BC164),SUM(C164:BC164))</f>
        <v>25.999999999999972</v>
      </c>
      <c r="G13" s="1721">
        <f>IF(G8&lt;0,SUM(C183:BC183),SUM(C183:BC183))</f>
        <v>37.384381789218551</v>
      </c>
      <c r="H13" s="1709"/>
      <c r="I13" s="1709"/>
      <c r="J13" s="1687"/>
      <c r="K13" s="1687"/>
      <c r="L13" s="1687"/>
      <c r="M13" s="1687"/>
      <c r="N13" s="1687"/>
      <c r="O13" s="1687"/>
      <c r="P13" s="1687"/>
      <c r="Q13" s="1687"/>
      <c r="R13" s="1704"/>
      <c r="S13" s="1689"/>
      <c r="T13" s="1687"/>
      <c r="U13" s="1686"/>
      <c r="V13" s="1686"/>
      <c r="W13" s="1686"/>
      <c r="X13" s="1686"/>
      <c r="Y13" s="1686"/>
      <c r="Z13" s="1686"/>
      <c r="AA13" s="1686"/>
      <c r="AB13" s="1686"/>
      <c r="AC13" s="1686"/>
      <c r="AD13" s="1686"/>
      <c r="AE13" s="1686"/>
      <c r="AF13" s="1686"/>
      <c r="AG13" s="1686"/>
      <c r="AH13" s="1686"/>
      <c r="AI13" s="1686"/>
      <c r="AJ13" s="1686"/>
      <c r="AK13" s="1686"/>
      <c r="AL13" s="1686"/>
      <c r="AM13" s="1686"/>
      <c r="AN13" s="1686"/>
      <c r="AO13" s="1686"/>
      <c r="AP13" s="1686"/>
      <c r="AQ13" s="1686"/>
      <c r="AR13" s="1686"/>
      <c r="AS13" s="1686"/>
      <c r="AT13" s="1686"/>
      <c r="AU13" s="1686"/>
      <c r="AV13" s="1686"/>
      <c r="AW13" s="1686"/>
      <c r="AX13" s="1686"/>
      <c r="AY13" s="1686"/>
      <c r="AZ13" s="1686"/>
      <c r="BA13" s="1686"/>
      <c r="BB13" s="1686"/>
      <c r="BC13" s="1686"/>
    </row>
    <row r="14" spans="2:55" s="203" customFormat="1" ht="40.4" customHeight="1" outlineLevel="1" thickBot="1" x14ac:dyDescent="0.4">
      <c r="B14" s="1247" t="s">
        <v>773</v>
      </c>
      <c r="C14" s="1722">
        <v>0.126</v>
      </c>
      <c r="D14" s="1686" t="s">
        <v>400</v>
      </c>
      <c r="E14" s="1723" t="s">
        <v>666</v>
      </c>
      <c r="F14" s="1724">
        <f>(SUMIF(C33:BC33,1,C159:BC159)+SUMIF(C33:BC33,1,C63:BC63))/SUMIF(C33:BC33,1,C63:BC63)</f>
        <v>1.0000000000000004</v>
      </c>
      <c r="G14" s="1725">
        <f>(SUMIF(C33:BC33,1,C178:BC178)+SUMIF(C33:BC33,1,C167:BC167))/SUMIF(C33:BC33,1,C167:BC167)</f>
        <v>-4.0524778963633434E-3</v>
      </c>
      <c r="H14" s="1709"/>
      <c r="I14" s="1709"/>
      <c r="J14" s="1687"/>
      <c r="K14" s="1687"/>
      <c r="L14" s="1687"/>
      <c r="M14" s="1687"/>
      <c r="N14" s="1687"/>
      <c r="O14" s="1687"/>
      <c r="P14" s="1687"/>
      <c r="Q14" s="1687"/>
      <c r="R14" s="1704"/>
      <c r="S14" s="1689"/>
      <c r="T14" s="1687"/>
      <c r="U14" s="1686"/>
      <c r="V14" s="1686"/>
      <c r="W14" s="1686"/>
      <c r="X14" s="1686"/>
      <c r="Y14" s="1686"/>
      <c r="Z14" s="1686"/>
      <c r="AA14" s="1686"/>
      <c r="AB14" s="1686"/>
      <c r="AC14" s="1686"/>
      <c r="AD14" s="1686"/>
      <c r="AE14" s="1686"/>
      <c r="AF14" s="1686"/>
      <c r="AG14" s="1686"/>
      <c r="AH14" s="1686"/>
      <c r="AI14" s="1686"/>
      <c r="AJ14" s="1686"/>
      <c r="AK14" s="1686"/>
      <c r="AL14" s="1686"/>
      <c r="AM14" s="1686"/>
      <c r="AN14" s="1686"/>
      <c r="AO14" s="1686"/>
      <c r="AP14" s="1686"/>
      <c r="AQ14" s="1686"/>
      <c r="AR14" s="1686"/>
      <c r="AS14" s="1686"/>
      <c r="AT14" s="1686"/>
      <c r="AU14" s="1686"/>
      <c r="AV14" s="1686"/>
      <c r="AW14" s="1686"/>
      <c r="AX14" s="1686"/>
      <c r="AY14" s="1686"/>
      <c r="AZ14" s="1686"/>
      <c r="BA14" s="1686"/>
      <c r="BB14" s="1686"/>
      <c r="BC14" s="1686"/>
    </row>
    <row r="15" spans="2:55" s="203" customFormat="1" ht="5.15" customHeight="1" outlineLevel="1" thickTop="1" thickBot="1" x14ac:dyDescent="0.4">
      <c r="B15" s="1243"/>
      <c r="C15" s="1726"/>
      <c r="D15" s="1686"/>
      <c r="E15" s="1727"/>
      <c r="F15" s="1728"/>
      <c r="G15" s="1729"/>
      <c r="H15" s="1709"/>
      <c r="I15" s="1709"/>
      <c r="J15" s="1687"/>
      <c r="K15" s="1687"/>
      <c r="L15" s="1687"/>
      <c r="M15" s="1687"/>
      <c r="N15" s="1687"/>
      <c r="O15" s="1687"/>
      <c r="P15" s="1687"/>
      <c r="Q15" s="1687"/>
      <c r="R15" s="1704"/>
      <c r="S15" s="1689"/>
      <c r="T15" s="1687"/>
      <c r="U15" s="1686"/>
      <c r="V15" s="1686"/>
      <c r="W15" s="1686"/>
      <c r="X15" s="1686"/>
      <c r="Y15" s="1686"/>
      <c r="Z15" s="1686"/>
      <c r="AA15" s="1686"/>
      <c r="AB15" s="1686"/>
      <c r="AC15" s="1686"/>
      <c r="AD15" s="1686"/>
      <c r="AE15" s="1686"/>
      <c r="AF15" s="1686"/>
      <c r="AG15" s="1686"/>
      <c r="AH15" s="1686"/>
      <c r="AI15" s="1686"/>
      <c r="AJ15" s="1686"/>
      <c r="AK15" s="1686"/>
      <c r="AL15" s="1686"/>
      <c r="AM15" s="1686"/>
      <c r="AN15" s="1686"/>
      <c r="AO15" s="1686"/>
      <c r="AP15" s="1686"/>
      <c r="AQ15" s="1686"/>
      <c r="AR15" s="1686"/>
      <c r="AS15" s="1686"/>
      <c r="AT15" s="1686"/>
      <c r="AU15" s="1686"/>
      <c r="AV15" s="1686"/>
      <c r="AW15" s="1686"/>
      <c r="AX15" s="1686"/>
      <c r="AY15" s="1686"/>
      <c r="AZ15" s="1686"/>
      <c r="BA15" s="1686"/>
      <c r="BB15" s="1686"/>
      <c r="BC15" s="1686"/>
    </row>
    <row r="16" spans="2:55" s="1288" customFormat="1" ht="20.149999999999999" customHeight="1" outlineLevel="1" thickTop="1" x14ac:dyDescent="0.35">
      <c r="B16" s="1241" t="s">
        <v>889</v>
      </c>
      <c r="C16" s="1287" t="s">
        <v>282</v>
      </c>
      <c r="D16" s="1683"/>
      <c r="E16" s="2178" t="s">
        <v>887</v>
      </c>
      <c r="F16" s="1730" t="s">
        <v>304</v>
      </c>
      <c r="G16" s="1731" t="s">
        <v>401</v>
      </c>
      <c r="H16" s="1732"/>
      <c r="I16" s="1732"/>
      <c r="J16" s="1697"/>
      <c r="K16" s="1697"/>
      <c r="L16" s="1697"/>
      <c r="M16" s="1697"/>
      <c r="N16" s="1697"/>
      <c r="O16" s="1697"/>
      <c r="P16" s="1697"/>
      <c r="Q16" s="1697"/>
      <c r="R16" s="1699"/>
      <c r="S16" s="1684"/>
      <c r="T16" s="1697"/>
      <c r="U16" s="1683"/>
      <c r="V16" s="1683"/>
      <c r="W16" s="1683"/>
      <c r="X16" s="1683"/>
      <c r="Y16" s="1683"/>
      <c r="Z16" s="1683"/>
      <c r="AA16" s="1683"/>
      <c r="AB16" s="1683"/>
      <c r="AC16" s="1683"/>
      <c r="AD16" s="1683"/>
      <c r="AE16" s="1683"/>
      <c r="AF16" s="1683"/>
      <c r="AG16" s="1683"/>
      <c r="AH16" s="1683"/>
      <c r="AI16" s="1683"/>
      <c r="AJ16" s="1683"/>
      <c r="AK16" s="1683"/>
      <c r="AL16" s="1683"/>
      <c r="AM16" s="1683"/>
      <c r="AN16" s="1683"/>
      <c r="AO16" s="1683"/>
      <c r="AP16" s="1683"/>
      <c r="AQ16" s="1683"/>
      <c r="AR16" s="1683"/>
      <c r="AS16" s="1683"/>
      <c r="AT16" s="1683"/>
      <c r="AU16" s="1683"/>
      <c r="AV16" s="1683"/>
      <c r="AW16" s="1683"/>
      <c r="AX16" s="1683"/>
      <c r="AY16" s="1683"/>
      <c r="AZ16" s="1683"/>
      <c r="BA16" s="1683"/>
      <c r="BB16" s="1683"/>
      <c r="BC16" s="1683"/>
    </row>
    <row r="17" spans="1:58" s="203" customFormat="1" ht="17.899999999999999" customHeight="1" outlineLevel="1" x14ac:dyDescent="0.35">
      <c r="B17" s="1242" t="s">
        <v>667</v>
      </c>
      <c r="C17" s="1733">
        <f>1-C13</f>
        <v>0.30000000000000004</v>
      </c>
      <c r="D17" s="1686" t="s">
        <v>190</v>
      </c>
      <c r="E17" s="2179"/>
      <c r="F17" s="2176" t="s">
        <v>888</v>
      </c>
      <c r="G17" s="2174"/>
      <c r="H17" s="1709"/>
      <c r="I17" s="1709"/>
      <c r="J17" s="1687"/>
      <c r="K17" s="1687"/>
      <c r="L17" s="1687"/>
      <c r="M17" s="1687"/>
      <c r="N17" s="1687"/>
      <c r="O17" s="1687"/>
      <c r="P17" s="1687"/>
      <c r="Q17" s="1687"/>
      <c r="R17" s="1704"/>
      <c r="S17" s="1689"/>
      <c r="T17" s="1687"/>
      <c r="U17" s="1686"/>
      <c r="V17" s="1686"/>
      <c r="W17" s="1686"/>
      <c r="X17" s="1686"/>
      <c r="Y17" s="1686"/>
      <c r="Z17" s="1686"/>
      <c r="AA17" s="1686"/>
      <c r="AB17" s="1686"/>
      <c r="AC17" s="1686"/>
      <c r="AD17" s="1686"/>
      <c r="AE17" s="1686"/>
      <c r="AF17" s="1686"/>
      <c r="AG17" s="1686"/>
      <c r="AH17" s="1686"/>
      <c r="AI17" s="1686"/>
      <c r="AJ17" s="1686"/>
      <c r="AK17" s="1686"/>
      <c r="AL17" s="1686"/>
      <c r="AM17" s="1686"/>
      <c r="AN17" s="1686"/>
      <c r="AO17" s="1686"/>
      <c r="AP17" s="1686"/>
      <c r="AQ17" s="1686"/>
      <c r="AR17" s="1686"/>
      <c r="AS17" s="1686"/>
      <c r="AT17" s="1686"/>
      <c r="AU17" s="1686"/>
      <c r="AV17" s="1686"/>
      <c r="AW17" s="1686"/>
      <c r="AX17" s="1686"/>
      <c r="AY17" s="1686"/>
      <c r="AZ17" s="1686"/>
      <c r="BA17" s="1686"/>
      <c r="BB17" s="1686"/>
      <c r="BC17" s="1686"/>
    </row>
    <row r="18" spans="1:58" s="203" customFormat="1" ht="17.899999999999999" customHeight="1" outlineLevel="1" x14ac:dyDescent="0.35">
      <c r="B18" s="1242" t="s">
        <v>774</v>
      </c>
      <c r="C18" s="1734" t="str">
        <f>'R&amp;C-Painel de Controle'!D28</f>
        <v>CEF</v>
      </c>
      <c r="D18" s="1686"/>
      <c r="E18" s="2179"/>
      <c r="F18" s="2177"/>
      <c r="G18" s="2175"/>
      <c r="H18" s="1687"/>
      <c r="I18" s="1687"/>
      <c r="J18" s="1687"/>
      <c r="K18" s="1687"/>
      <c r="L18" s="1687"/>
      <c r="M18" s="1687"/>
      <c r="N18" s="1687"/>
      <c r="O18" s="1687"/>
      <c r="P18" s="1687"/>
      <c r="Q18" s="1687"/>
      <c r="R18" s="1704"/>
      <c r="S18" s="1689"/>
      <c r="T18" s="1686"/>
      <c r="U18" s="1686"/>
      <c r="V18" s="1686"/>
      <c r="W18" s="1686"/>
      <c r="X18" s="1686"/>
      <c r="Y18" s="1686"/>
      <c r="Z18" s="1686"/>
      <c r="AA18" s="1686"/>
      <c r="AB18" s="1686"/>
      <c r="AC18" s="1686"/>
      <c r="AD18" s="1686"/>
      <c r="AE18" s="1686"/>
      <c r="AF18" s="1686"/>
      <c r="AG18" s="1686"/>
      <c r="AH18" s="1686"/>
      <c r="AI18" s="1686"/>
      <c r="AJ18" s="1686"/>
      <c r="AK18" s="1686"/>
      <c r="AL18" s="1686"/>
      <c r="AM18" s="1686"/>
      <c r="AN18" s="1686"/>
      <c r="AO18" s="1686"/>
      <c r="AP18" s="1686"/>
      <c r="AQ18" s="1686"/>
      <c r="AR18" s="1686"/>
      <c r="AS18" s="1686"/>
      <c r="AT18" s="1686"/>
      <c r="AU18" s="1686"/>
      <c r="AV18" s="1686"/>
      <c r="AW18" s="1686"/>
      <c r="AX18" s="1686"/>
      <c r="AY18" s="1686"/>
      <c r="AZ18" s="1686"/>
      <c r="BA18" s="1686"/>
      <c r="BB18" s="1686"/>
      <c r="BC18" s="1686"/>
    </row>
    <row r="19" spans="1:58" s="203" customFormat="1" ht="2.9" customHeight="1" outlineLevel="1" x14ac:dyDescent="0.35">
      <c r="B19" s="1244"/>
      <c r="C19" s="1735"/>
      <c r="D19" s="1686"/>
      <c r="E19" s="2179"/>
      <c r="F19" s="2177"/>
      <c r="G19" s="2175"/>
      <c r="H19" s="1687"/>
      <c r="I19" s="1687"/>
      <c r="J19" s="1687"/>
      <c r="K19" s="1687"/>
      <c r="L19" s="1687"/>
      <c r="M19" s="1687"/>
      <c r="N19" s="1687"/>
      <c r="O19" s="1687"/>
      <c r="P19" s="1687"/>
      <c r="Q19" s="1687"/>
      <c r="R19" s="1704"/>
      <c r="S19" s="1689"/>
      <c r="T19" s="1686"/>
      <c r="U19" s="1686"/>
      <c r="V19" s="1686"/>
      <c r="W19" s="1686"/>
      <c r="X19" s="1686"/>
      <c r="Y19" s="1686"/>
      <c r="Z19" s="1686"/>
      <c r="AA19" s="1686"/>
      <c r="AB19" s="1686"/>
      <c r="AC19" s="1686"/>
      <c r="AD19" s="1686"/>
      <c r="AE19" s="1686"/>
      <c r="AF19" s="1686"/>
      <c r="AG19" s="1686"/>
      <c r="AH19" s="1686"/>
      <c r="AI19" s="1686"/>
      <c r="AJ19" s="1686"/>
      <c r="AK19" s="1686"/>
      <c r="AL19" s="1686"/>
      <c r="AM19" s="1686"/>
      <c r="AN19" s="1686"/>
      <c r="AO19" s="1686"/>
      <c r="AP19" s="1686"/>
      <c r="AQ19" s="1686"/>
      <c r="AR19" s="1686"/>
      <c r="AS19" s="1686"/>
      <c r="AT19" s="1686"/>
      <c r="AU19" s="1686"/>
      <c r="AV19" s="1686"/>
      <c r="AW19" s="1686"/>
      <c r="AX19" s="1686"/>
      <c r="AY19" s="1686"/>
      <c r="AZ19" s="1686"/>
      <c r="BA19" s="1686"/>
      <c r="BB19" s="1686"/>
      <c r="BC19" s="1686"/>
    </row>
    <row r="20" spans="1:58" s="203" customFormat="1" ht="17.899999999999999" customHeight="1" outlineLevel="1" x14ac:dyDescent="0.35">
      <c r="B20" s="1242" t="s">
        <v>668</v>
      </c>
      <c r="C20" s="1736">
        <f t="shared" ref="C20:C23" si="1">IF($C$18="CEF",F20,G20)</f>
        <v>0.09</v>
      </c>
      <c r="D20" s="1686" t="s">
        <v>400</v>
      </c>
      <c r="E20" s="2179"/>
      <c r="F20" s="1737">
        <v>0.09</v>
      </c>
      <c r="G20" s="1738">
        <v>0.09</v>
      </c>
      <c r="H20" s="1687"/>
      <c r="I20" s="1687"/>
      <c r="J20" s="1687"/>
      <c r="K20" s="1687"/>
      <c r="L20" s="1687"/>
      <c r="M20" s="1687"/>
      <c r="N20" s="1687"/>
      <c r="O20" s="1687"/>
      <c r="P20" s="1687"/>
      <c r="Q20" s="1687"/>
      <c r="R20" s="1704"/>
      <c r="S20" s="1689"/>
      <c r="T20" s="1687"/>
      <c r="U20" s="1686"/>
      <c r="V20" s="1686"/>
      <c r="W20" s="1686"/>
      <c r="X20" s="1686"/>
      <c r="Y20" s="1686"/>
      <c r="Z20" s="1686"/>
      <c r="AA20" s="1686"/>
      <c r="AB20" s="1686"/>
      <c r="AC20" s="1686"/>
      <c r="AD20" s="1686"/>
      <c r="AE20" s="1686"/>
      <c r="AF20" s="1686"/>
      <c r="AG20" s="1686"/>
      <c r="AH20" s="1686"/>
      <c r="AI20" s="1686"/>
      <c r="AJ20" s="1686"/>
      <c r="AK20" s="1686"/>
      <c r="AL20" s="1686"/>
      <c r="AM20" s="1686"/>
      <c r="AN20" s="1686"/>
      <c r="AO20" s="1686"/>
      <c r="AP20" s="1686"/>
      <c r="AQ20" s="1686"/>
      <c r="AR20" s="1686"/>
      <c r="AS20" s="1686"/>
      <c r="AT20" s="1686"/>
      <c r="AU20" s="1686"/>
      <c r="AV20" s="1686"/>
      <c r="AW20" s="1686"/>
      <c r="AX20" s="1686"/>
      <c r="AY20" s="1686"/>
      <c r="AZ20" s="1686"/>
      <c r="BA20" s="1686"/>
      <c r="BB20" s="1686"/>
      <c r="BC20" s="1686"/>
    </row>
    <row r="21" spans="1:58" s="203" customFormat="1" ht="17.899999999999999" customHeight="1" outlineLevel="1" x14ac:dyDescent="0.35">
      <c r="B21" s="1245" t="s">
        <v>669</v>
      </c>
      <c r="C21" s="1735">
        <f t="shared" si="1"/>
        <v>20</v>
      </c>
      <c r="D21" s="1686" t="s">
        <v>389</v>
      </c>
      <c r="E21" s="2179"/>
      <c r="F21" s="1739">
        <v>20</v>
      </c>
      <c r="G21" s="1740">
        <v>20</v>
      </c>
      <c r="H21" s="1687"/>
      <c r="I21" s="1687"/>
      <c r="J21" s="1687"/>
      <c r="K21" s="1687"/>
      <c r="L21" s="1687"/>
      <c r="M21" s="1687"/>
      <c r="N21" s="1687"/>
      <c r="O21" s="1687"/>
      <c r="P21" s="1687"/>
      <c r="Q21" s="1687"/>
      <c r="R21" s="1704"/>
      <c r="S21" s="1689"/>
      <c r="T21" s="1687"/>
      <c r="U21" s="1686"/>
      <c r="V21" s="1686"/>
      <c r="W21" s="1686"/>
      <c r="X21" s="1686"/>
      <c r="Y21" s="1686"/>
      <c r="Z21" s="1686"/>
      <c r="AA21" s="1686"/>
      <c r="AB21" s="1686"/>
      <c r="AC21" s="1686"/>
      <c r="AD21" s="1686"/>
      <c r="AE21" s="1686"/>
      <c r="AF21" s="1686"/>
      <c r="AG21" s="1686"/>
      <c r="AH21" s="1686"/>
      <c r="AI21" s="1686"/>
      <c r="AJ21" s="1686"/>
      <c r="AK21" s="1686"/>
      <c r="AL21" s="1686"/>
      <c r="AM21" s="1686"/>
      <c r="AN21" s="1686"/>
      <c r="AO21" s="1686"/>
      <c r="AP21" s="1686"/>
      <c r="AQ21" s="1686"/>
      <c r="AR21" s="1686"/>
      <c r="AS21" s="1686"/>
      <c r="AT21" s="1686"/>
      <c r="AU21" s="1686"/>
      <c r="AV21" s="1686"/>
      <c r="AW21" s="1686"/>
      <c r="AX21" s="1686"/>
      <c r="AY21" s="1686"/>
      <c r="AZ21" s="1686"/>
      <c r="BA21" s="1686"/>
      <c r="BB21" s="1686"/>
      <c r="BC21" s="1686"/>
    </row>
    <row r="22" spans="1:58" s="203" customFormat="1" ht="17.899999999999999" customHeight="1" outlineLevel="1" x14ac:dyDescent="0.35">
      <c r="B22" s="1245" t="s">
        <v>670</v>
      </c>
      <c r="C22" s="1735">
        <f t="shared" si="1"/>
        <v>4</v>
      </c>
      <c r="D22" s="1686" t="s">
        <v>389</v>
      </c>
      <c r="E22" s="2179"/>
      <c r="F22" s="1739">
        <v>4</v>
      </c>
      <c r="G22" s="1740">
        <v>4</v>
      </c>
      <c r="H22" s="1687"/>
      <c r="I22" s="1687"/>
      <c r="J22" s="1687"/>
      <c r="K22" s="1687"/>
      <c r="L22" s="1687"/>
      <c r="M22" s="1687"/>
      <c r="N22" s="1687"/>
      <c r="O22" s="1687"/>
      <c r="P22" s="1687"/>
      <c r="Q22" s="1687"/>
      <c r="R22" s="1704"/>
      <c r="S22" s="1689"/>
      <c r="T22" s="1687"/>
      <c r="U22" s="1686"/>
      <c r="V22" s="1686"/>
      <c r="W22" s="1686"/>
      <c r="X22" s="1686"/>
      <c r="Y22" s="1686"/>
      <c r="Z22" s="1686"/>
      <c r="AA22" s="1686"/>
      <c r="AB22" s="1686"/>
      <c r="AC22" s="1686"/>
      <c r="AD22" s="1686"/>
      <c r="AE22" s="1686"/>
      <c r="AF22" s="1686"/>
      <c r="AG22" s="1686"/>
      <c r="AH22" s="1686"/>
      <c r="AI22" s="1686"/>
      <c r="AJ22" s="1686"/>
      <c r="AK22" s="1686"/>
      <c r="AL22" s="1686"/>
      <c r="AM22" s="1686"/>
      <c r="AN22" s="1686"/>
      <c r="AO22" s="1686"/>
      <c r="AP22" s="1686"/>
      <c r="AQ22" s="1686"/>
      <c r="AR22" s="1686"/>
      <c r="AS22" s="1686"/>
      <c r="AT22" s="1686"/>
      <c r="AU22" s="1686"/>
      <c r="AV22" s="1686"/>
      <c r="AW22" s="1686"/>
      <c r="AX22" s="1686"/>
      <c r="AY22" s="1686"/>
      <c r="AZ22" s="1686"/>
      <c r="BA22" s="1686"/>
      <c r="BB22" s="1686"/>
      <c r="BC22" s="1686"/>
    </row>
    <row r="23" spans="1:58" s="203" customFormat="1" ht="17.899999999999999" customHeight="1" outlineLevel="1" thickBot="1" x14ac:dyDescent="0.4">
      <c r="B23" s="1245" t="s">
        <v>671</v>
      </c>
      <c r="C23" s="1736">
        <f t="shared" si="1"/>
        <v>0.09</v>
      </c>
      <c r="D23" s="1686" t="s">
        <v>400</v>
      </c>
      <c r="E23" s="2180"/>
      <c r="F23" s="1741">
        <v>0.09</v>
      </c>
      <c r="G23" s="1742">
        <v>0.09</v>
      </c>
      <c r="H23" s="1687"/>
      <c r="I23" s="1687"/>
      <c r="J23" s="1687"/>
      <c r="K23" s="1687"/>
      <c r="L23" s="1687"/>
      <c r="M23" s="1687"/>
      <c r="N23" s="1687"/>
      <c r="O23" s="1687"/>
      <c r="P23" s="1687"/>
      <c r="Q23" s="1687"/>
      <c r="R23" s="1704"/>
      <c r="S23" s="1689"/>
      <c r="T23" s="1687"/>
      <c r="U23" s="1686"/>
      <c r="V23" s="1686"/>
      <c r="W23" s="1686"/>
      <c r="X23" s="1686"/>
      <c r="Y23" s="1686"/>
      <c r="Z23" s="1686"/>
      <c r="AA23" s="1686"/>
      <c r="AB23" s="1686"/>
      <c r="AC23" s="1686"/>
      <c r="AD23" s="1686"/>
      <c r="AE23" s="1686"/>
      <c r="AF23" s="1686"/>
      <c r="AG23" s="1686"/>
      <c r="AH23" s="1686"/>
      <c r="AI23" s="1686"/>
      <c r="AJ23" s="1686"/>
      <c r="AK23" s="1686"/>
      <c r="AL23" s="1686"/>
      <c r="AM23" s="1686"/>
      <c r="AN23" s="1686"/>
      <c r="AO23" s="1686"/>
      <c r="AP23" s="1686"/>
      <c r="AQ23" s="1686"/>
      <c r="AR23" s="1686"/>
      <c r="AS23" s="1686"/>
      <c r="AT23" s="1686"/>
      <c r="AU23" s="1686"/>
      <c r="AV23" s="1686"/>
      <c r="AW23" s="1686"/>
      <c r="AX23" s="1686"/>
      <c r="AY23" s="1686"/>
      <c r="AZ23" s="1686"/>
      <c r="BA23" s="1686"/>
      <c r="BB23" s="1686"/>
      <c r="BC23" s="1686"/>
    </row>
    <row r="24" spans="1:58" s="203" customFormat="1" ht="17.899999999999999" customHeight="1" outlineLevel="1" thickTop="1" thickBot="1" x14ac:dyDescent="0.4">
      <c r="B24" s="1242" t="s">
        <v>775</v>
      </c>
      <c r="C24" s="1743">
        <v>0.09</v>
      </c>
      <c r="D24" s="1686" t="s">
        <v>190</v>
      </c>
      <c r="E24" s="1689"/>
      <c r="F24" s="1689"/>
      <c r="G24" s="1689"/>
      <c r="H24" s="1687"/>
      <c r="I24" s="1687"/>
      <c r="J24" s="1687"/>
      <c r="K24" s="1687"/>
      <c r="L24" s="1687"/>
      <c r="M24" s="1687"/>
      <c r="N24" s="1687"/>
      <c r="O24" s="1687"/>
      <c r="P24" s="1687"/>
      <c r="Q24" s="1687"/>
      <c r="R24" s="1704"/>
      <c r="S24" s="1689"/>
      <c r="T24" s="1687"/>
      <c r="U24" s="1686"/>
      <c r="V24" s="1686"/>
      <c r="W24" s="1686"/>
      <c r="X24" s="1686"/>
      <c r="Y24" s="1686"/>
      <c r="Z24" s="1686"/>
      <c r="AA24" s="1686"/>
      <c r="AB24" s="1686"/>
      <c r="AC24" s="1686"/>
      <c r="AD24" s="1686"/>
      <c r="AE24" s="1686"/>
      <c r="AF24" s="1686"/>
      <c r="AG24" s="1686"/>
      <c r="AH24" s="1686"/>
      <c r="AI24" s="1686"/>
      <c r="AJ24" s="1686"/>
      <c r="AK24" s="1686"/>
      <c r="AL24" s="1686"/>
      <c r="AM24" s="1686"/>
      <c r="AN24" s="1686"/>
      <c r="AO24" s="1686"/>
      <c r="AP24" s="1686"/>
      <c r="AQ24" s="1686"/>
      <c r="AR24" s="1686"/>
      <c r="AS24" s="1686"/>
      <c r="AT24" s="1686"/>
      <c r="AU24" s="1686"/>
      <c r="AV24" s="1686"/>
      <c r="AW24" s="1686"/>
      <c r="AX24" s="1686"/>
      <c r="AY24" s="1686"/>
      <c r="AZ24" s="1686"/>
      <c r="BA24" s="1686"/>
      <c r="BB24" s="1686"/>
      <c r="BC24" s="1686"/>
    </row>
    <row r="25" spans="1:58" s="203" customFormat="1" ht="17.899999999999999" customHeight="1" outlineLevel="1" thickTop="1" thickBot="1" x14ac:dyDescent="0.4">
      <c r="B25" s="1246" t="s">
        <v>776</v>
      </c>
      <c r="C25" s="1744">
        <v>0.25</v>
      </c>
      <c r="D25" s="1686" t="s">
        <v>190</v>
      </c>
      <c r="E25" s="2196" t="s">
        <v>890</v>
      </c>
      <c r="F25" s="2197"/>
      <c r="G25" s="2197"/>
      <c r="H25" s="2197"/>
      <c r="I25" s="2197"/>
      <c r="J25" s="2197"/>
      <c r="K25" s="2197"/>
      <c r="L25" s="2197"/>
      <c r="M25" s="2197"/>
      <c r="N25" s="2197"/>
      <c r="O25" s="2197"/>
      <c r="P25" s="2197"/>
      <c r="Q25" s="2197"/>
      <c r="R25" s="2198"/>
      <c r="S25" s="1689"/>
      <c r="T25" s="1687"/>
      <c r="U25" s="1686"/>
      <c r="V25" s="1686"/>
      <c r="W25" s="1686"/>
      <c r="X25" s="1686"/>
      <c r="Y25" s="1686"/>
      <c r="Z25" s="1686"/>
      <c r="AA25" s="1686"/>
      <c r="AB25" s="1686"/>
      <c r="AC25" s="1686"/>
      <c r="AD25" s="1686"/>
      <c r="AE25" s="1686"/>
      <c r="AF25" s="1686"/>
      <c r="AG25" s="1686"/>
      <c r="AH25" s="1686"/>
      <c r="AI25" s="1686"/>
      <c r="AJ25" s="1686"/>
      <c r="AK25" s="1686"/>
      <c r="AL25" s="1686"/>
      <c r="AM25" s="1686"/>
      <c r="AN25" s="1686"/>
      <c r="AO25" s="1686"/>
      <c r="AP25" s="1686"/>
      <c r="AQ25" s="1686"/>
      <c r="AR25" s="1686"/>
      <c r="AS25" s="1686"/>
      <c r="AT25" s="1686"/>
      <c r="AU25" s="1686"/>
      <c r="AV25" s="1686"/>
      <c r="AW25" s="1686"/>
      <c r="AX25" s="1686"/>
      <c r="AY25" s="1686"/>
      <c r="AZ25" s="1686"/>
      <c r="BA25" s="1686"/>
      <c r="BB25" s="1686"/>
      <c r="BC25" s="1686"/>
    </row>
    <row r="26" spans="1:58" s="203" customFormat="1" ht="17.899999999999999" customHeight="1" outlineLevel="1" thickTop="1" thickBot="1" x14ac:dyDescent="0.4">
      <c r="B26" s="304"/>
      <c r="C26" s="1686"/>
      <c r="D26" s="1686"/>
      <c r="E26" s="2183" t="s">
        <v>656</v>
      </c>
      <c r="F26" s="2184"/>
      <c r="G26" s="1745">
        <f>'R&amp;C-Painel de Controle'!D34</f>
        <v>334.91080213327388</v>
      </c>
      <c r="H26" s="1746" t="s">
        <v>288</v>
      </c>
      <c r="I26" s="1747"/>
      <c r="J26" s="2186" t="s">
        <v>657</v>
      </c>
      <c r="K26" s="2184"/>
      <c r="L26" s="1748">
        <f>F8</f>
        <v>8.3844042819691822E-13</v>
      </c>
      <c r="M26" s="1746" t="s">
        <v>297</v>
      </c>
      <c r="N26" s="2194" t="s">
        <v>658</v>
      </c>
      <c r="O26" s="2194"/>
      <c r="P26" s="2195"/>
      <c r="Q26" s="1749">
        <f>F14</f>
        <v>1.0000000000000004</v>
      </c>
      <c r="R26" s="1750" t="s">
        <v>190</v>
      </c>
      <c r="S26" s="1689"/>
      <c r="T26" s="1687"/>
      <c r="U26" s="1686"/>
      <c r="V26" s="1686"/>
      <c r="W26" s="1686"/>
      <c r="X26" s="1686"/>
      <c r="Y26" s="1686"/>
      <c r="Z26" s="1686"/>
      <c r="AA26" s="1686"/>
      <c r="AB26" s="1686"/>
      <c r="AC26" s="1686"/>
      <c r="AD26" s="1686"/>
      <c r="AE26" s="1686"/>
      <c r="AF26" s="1686"/>
      <c r="AG26" s="1686"/>
      <c r="AH26" s="1686"/>
      <c r="AI26" s="1686"/>
      <c r="AJ26" s="1686"/>
      <c r="AK26" s="1686"/>
      <c r="AL26" s="1686"/>
      <c r="AM26" s="1686"/>
      <c r="AN26" s="1686"/>
      <c r="AO26" s="1686"/>
      <c r="AP26" s="1686"/>
      <c r="AQ26" s="1686"/>
      <c r="AR26" s="1686"/>
      <c r="AS26" s="1686"/>
      <c r="AT26" s="1686"/>
      <c r="AU26" s="1686"/>
      <c r="AV26" s="1686"/>
      <c r="AW26" s="1686"/>
      <c r="AX26" s="1686"/>
      <c r="AY26" s="1686"/>
      <c r="AZ26" s="1686"/>
      <c r="BA26" s="1686"/>
      <c r="BB26" s="1686"/>
      <c r="BC26" s="1686"/>
    </row>
    <row r="27" spans="1:58" s="203" customFormat="1" ht="20.149999999999999" customHeight="1" outlineLevel="1" thickTop="1" x14ac:dyDescent="0.35">
      <c r="B27" s="1290" t="s">
        <v>402</v>
      </c>
      <c r="C27" s="1287" t="s">
        <v>282</v>
      </c>
      <c r="D27" s="1686"/>
      <c r="E27" s="2185" t="s">
        <v>659</v>
      </c>
      <c r="F27" s="2170"/>
      <c r="G27" s="1751">
        <f>'R&amp;C-Painel de Controle'!D33</f>
        <v>25</v>
      </c>
      <c r="H27" s="1752" t="s">
        <v>389</v>
      </c>
      <c r="I27" s="1753"/>
      <c r="J27" s="2169" t="s">
        <v>660</v>
      </c>
      <c r="K27" s="2170"/>
      <c r="L27" s="1754">
        <f>F9</f>
        <v>4.0634162701280729E-14</v>
      </c>
      <c r="M27" s="1752" t="s">
        <v>190</v>
      </c>
      <c r="N27" s="1753"/>
      <c r="O27" s="1755"/>
      <c r="P27" s="1756"/>
      <c r="Q27" s="1756"/>
      <c r="R27" s="1757"/>
      <c r="S27" s="1689"/>
      <c r="T27" s="1687"/>
      <c r="U27" s="1686"/>
      <c r="V27" s="1686"/>
      <c r="W27" s="1686"/>
      <c r="X27" s="1686"/>
      <c r="Y27" s="1686"/>
      <c r="Z27" s="1686"/>
      <c r="AA27" s="1686"/>
      <c r="AB27" s="1686"/>
      <c r="AC27" s="1686"/>
      <c r="AD27" s="1686"/>
      <c r="AE27" s="1686"/>
      <c r="AF27" s="1686"/>
      <c r="AG27" s="1686"/>
      <c r="AH27" s="1686"/>
      <c r="AI27" s="1686"/>
      <c r="AJ27" s="1686"/>
      <c r="AK27" s="1686"/>
      <c r="AL27" s="1686"/>
      <c r="AM27" s="1686"/>
      <c r="AN27" s="1686"/>
      <c r="AO27" s="1686"/>
      <c r="AP27" s="1686"/>
      <c r="AQ27" s="1686"/>
      <c r="AR27" s="1686"/>
      <c r="AS27" s="1686"/>
      <c r="AT27" s="1686"/>
      <c r="AU27" s="1686"/>
      <c r="AV27" s="1686"/>
      <c r="AW27" s="1686"/>
      <c r="AX27" s="1686"/>
      <c r="AY27" s="1686"/>
      <c r="AZ27" s="1686"/>
      <c r="BA27" s="1686"/>
      <c r="BB27" s="1686"/>
      <c r="BC27" s="1686"/>
    </row>
    <row r="28" spans="1:58" s="203" customFormat="1" ht="18" customHeight="1" outlineLevel="1" thickBot="1" x14ac:dyDescent="0.4">
      <c r="B28" s="1246" t="s">
        <v>672</v>
      </c>
      <c r="C28" s="1758">
        <f>C13*C14+C17*C20*(1-(C24+C25))</f>
        <v>0.10602</v>
      </c>
      <c r="D28" s="1686" t="s">
        <v>400</v>
      </c>
      <c r="E28" s="2191" t="s">
        <v>661</v>
      </c>
      <c r="F28" s="2192"/>
      <c r="G28" s="1759">
        <f>G26*('R&amp;C-Painel de Controle'!D7*30/'R&amp;C-Painel de Controle'!D6)</f>
        <v>12.056788876797858</v>
      </c>
      <c r="H28" s="1760" t="s">
        <v>292</v>
      </c>
      <c r="I28" s="1761"/>
      <c r="J28" s="2193" t="s">
        <v>662</v>
      </c>
      <c r="K28" s="2192"/>
      <c r="L28" s="1762">
        <f>F13</f>
        <v>25.999999999999972</v>
      </c>
      <c r="M28" s="1763" t="s">
        <v>389</v>
      </c>
      <c r="N28" s="1761"/>
      <c r="O28" s="1761"/>
      <c r="P28" s="1761"/>
      <c r="Q28" s="1761"/>
      <c r="R28" s="1764"/>
      <c r="S28" s="1689"/>
      <c r="T28" s="1687"/>
      <c r="U28" s="1686"/>
      <c r="V28" s="1686"/>
      <c r="W28" s="1686"/>
      <c r="X28" s="1686"/>
      <c r="Y28" s="1686"/>
      <c r="Z28" s="1686"/>
      <c r="AA28" s="1686"/>
      <c r="AB28" s="1686"/>
      <c r="AC28" s="1686"/>
      <c r="AD28" s="1686"/>
      <c r="AE28" s="1686"/>
      <c r="AF28" s="1686"/>
      <c r="AG28" s="1686"/>
      <c r="AH28" s="1686"/>
      <c r="AI28" s="1686"/>
      <c r="AJ28" s="1686"/>
      <c r="AK28" s="1686"/>
      <c r="AL28" s="1686"/>
      <c r="AM28" s="1686"/>
      <c r="AN28" s="1686"/>
      <c r="AO28" s="1686"/>
      <c r="AP28" s="1686"/>
      <c r="AQ28" s="1686"/>
      <c r="AR28" s="1686"/>
      <c r="AS28" s="1686"/>
      <c r="AT28" s="1686"/>
      <c r="AU28" s="1686"/>
      <c r="AV28" s="1686"/>
      <c r="AW28" s="1686"/>
      <c r="AX28" s="1686"/>
      <c r="AY28" s="1686"/>
      <c r="AZ28" s="1686"/>
      <c r="BA28" s="1686"/>
      <c r="BB28" s="1686"/>
      <c r="BC28" s="1686"/>
    </row>
    <row r="29" spans="1:58" s="203" customFormat="1" ht="18" customHeight="1" outlineLevel="1" thickTop="1" x14ac:dyDescent="0.35">
      <c r="B29" s="304"/>
      <c r="C29" s="1686"/>
      <c r="D29" s="1686"/>
      <c r="E29" s="1686"/>
      <c r="F29" s="1686"/>
      <c r="G29" s="1686"/>
      <c r="H29" s="1686"/>
      <c r="I29" s="1686"/>
      <c r="J29" s="1686"/>
      <c r="K29" s="1686"/>
      <c r="L29" s="1686"/>
      <c r="M29" s="1686"/>
      <c r="N29" s="1686"/>
      <c r="O29" s="1686"/>
      <c r="P29" s="1686"/>
      <c r="Q29" s="1686"/>
      <c r="R29" s="1686"/>
      <c r="S29" s="1686"/>
      <c r="T29" s="1686"/>
      <c r="U29" s="1686"/>
      <c r="V29" s="1686"/>
      <c r="W29" s="1686"/>
      <c r="X29" s="1686"/>
      <c r="Y29" s="1686"/>
      <c r="Z29" s="1686"/>
      <c r="AA29" s="1686"/>
      <c r="AB29" s="1686"/>
      <c r="AC29" s="1686"/>
      <c r="AD29" s="1686"/>
      <c r="AE29" s="1686"/>
      <c r="AF29" s="1686"/>
      <c r="AG29" s="1686"/>
      <c r="AH29" s="1686"/>
      <c r="AI29" s="1686"/>
      <c r="AJ29" s="1686"/>
      <c r="AK29" s="1686"/>
      <c r="AL29" s="1686"/>
      <c r="AM29" s="1686"/>
      <c r="AN29" s="1686"/>
      <c r="AO29" s="1686"/>
      <c r="AP29" s="1686"/>
      <c r="AQ29" s="1686"/>
      <c r="AR29" s="1686"/>
      <c r="AS29" s="1686"/>
      <c r="AT29" s="1686"/>
      <c r="AU29" s="1686"/>
      <c r="AV29" s="1686"/>
      <c r="AW29" s="1686"/>
      <c r="AX29" s="1686"/>
      <c r="AY29" s="1686"/>
      <c r="AZ29" s="1686"/>
      <c r="BA29" s="1686"/>
      <c r="BB29" s="1686"/>
      <c r="BC29" s="1686"/>
    </row>
    <row r="30" spans="1:58" s="203" customFormat="1" ht="18" customHeight="1" x14ac:dyDescent="0.35">
      <c r="B30" s="304"/>
      <c r="C30" s="1686"/>
      <c r="D30" s="1686"/>
      <c r="E30" s="1686"/>
      <c r="F30" s="1686"/>
      <c r="G30" s="1686"/>
      <c r="H30" s="1686"/>
      <c r="I30" s="1686"/>
      <c r="J30" s="1686"/>
      <c r="K30" s="1686"/>
      <c r="L30" s="1686"/>
      <c r="M30" s="1686"/>
      <c r="N30" s="1686"/>
      <c r="O30" s="1686"/>
      <c r="P30" s="1686"/>
      <c r="Q30" s="1686"/>
      <c r="R30" s="1765"/>
      <c r="S30" s="1686"/>
      <c r="T30" s="1686"/>
      <c r="U30" s="1686"/>
      <c r="V30" s="1686"/>
      <c r="W30" s="1686"/>
      <c r="X30" s="1686"/>
      <c r="Y30" s="1686"/>
      <c r="Z30" s="1686"/>
      <c r="AA30" s="1686"/>
      <c r="AB30" s="1686"/>
      <c r="AC30" s="1686"/>
      <c r="AD30" s="1686"/>
      <c r="AE30" s="1686"/>
      <c r="AF30" s="1686"/>
      <c r="AG30" s="1686"/>
      <c r="AH30" s="1686"/>
      <c r="AI30" s="1686"/>
      <c r="AJ30" s="1686"/>
      <c r="AK30" s="1686"/>
      <c r="AL30" s="1686"/>
      <c r="AM30" s="1686"/>
      <c r="AN30" s="1686"/>
      <c r="AO30" s="1686"/>
      <c r="AP30" s="1686"/>
      <c r="AQ30" s="1686"/>
      <c r="AR30" s="1686"/>
      <c r="AS30" s="1686"/>
      <c r="AT30" s="1686"/>
      <c r="AU30" s="1686"/>
      <c r="AV30" s="1686"/>
      <c r="AW30" s="1686"/>
      <c r="AX30" s="1686"/>
      <c r="AY30" s="1686"/>
      <c r="AZ30" s="1686"/>
      <c r="BA30" s="1686"/>
      <c r="BB30" s="1686"/>
      <c r="BC30" s="1686"/>
    </row>
    <row r="31" spans="1:58" s="203" customFormat="1" ht="27" customHeight="1" x14ac:dyDescent="0.35">
      <c r="B31" s="1680" t="s">
        <v>403</v>
      </c>
      <c r="C31" s="1766">
        <f t="shared" ref="C31:BC31" si="2">IF(AND(C33=1,D33=0,B33=1),1,0)</f>
        <v>0</v>
      </c>
      <c r="D31" s="1765">
        <f t="shared" si="2"/>
        <v>0</v>
      </c>
      <c r="E31" s="1765">
        <f t="shared" si="2"/>
        <v>0</v>
      </c>
      <c r="F31" s="1765">
        <f t="shared" si="2"/>
        <v>0</v>
      </c>
      <c r="G31" s="1765">
        <f t="shared" si="2"/>
        <v>0</v>
      </c>
      <c r="H31" s="1765">
        <f t="shared" si="2"/>
        <v>0</v>
      </c>
      <c r="I31" s="1765">
        <f t="shared" si="2"/>
        <v>0</v>
      </c>
      <c r="J31" s="1765">
        <f t="shared" si="2"/>
        <v>0</v>
      </c>
      <c r="K31" s="1765">
        <f t="shared" si="2"/>
        <v>0</v>
      </c>
      <c r="L31" s="1765">
        <f t="shared" si="2"/>
        <v>0</v>
      </c>
      <c r="M31" s="1765">
        <f t="shared" si="2"/>
        <v>0</v>
      </c>
      <c r="N31" s="1765">
        <f t="shared" si="2"/>
        <v>0</v>
      </c>
      <c r="O31" s="1765">
        <f t="shared" si="2"/>
        <v>0</v>
      </c>
      <c r="P31" s="1765">
        <f t="shared" si="2"/>
        <v>0</v>
      </c>
      <c r="Q31" s="1765">
        <f t="shared" si="2"/>
        <v>0</v>
      </c>
      <c r="R31" s="1765">
        <f t="shared" si="2"/>
        <v>0</v>
      </c>
      <c r="S31" s="1765">
        <f t="shared" si="2"/>
        <v>0</v>
      </c>
      <c r="T31" s="1765">
        <f t="shared" si="2"/>
        <v>0</v>
      </c>
      <c r="U31" s="1765">
        <f t="shared" si="2"/>
        <v>0</v>
      </c>
      <c r="V31" s="1765">
        <f t="shared" si="2"/>
        <v>0</v>
      </c>
      <c r="W31" s="1765">
        <f t="shared" si="2"/>
        <v>0</v>
      </c>
      <c r="X31" s="1765">
        <f t="shared" si="2"/>
        <v>0</v>
      </c>
      <c r="Y31" s="1765">
        <f t="shared" si="2"/>
        <v>0</v>
      </c>
      <c r="Z31" s="1765">
        <f t="shared" si="2"/>
        <v>0</v>
      </c>
      <c r="AA31" s="1765">
        <f t="shared" si="2"/>
        <v>0</v>
      </c>
      <c r="AB31" s="1765">
        <f t="shared" si="2"/>
        <v>1</v>
      </c>
      <c r="AC31" s="1765">
        <f t="shared" si="2"/>
        <v>0</v>
      </c>
      <c r="AD31" s="1765">
        <f t="shared" si="2"/>
        <v>0</v>
      </c>
      <c r="AE31" s="1765">
        <f t="shared" si="2"/>
        <v>0</v>
      </c>
      <c r="AF31" s="1765">
        <f t="shared" si="2"/>
        <v>0</v>
      </c>
      <c r="AG31" s="1765">
        <f t="shared" si="2"/>
        <v>0</v>
      </c>
      <c r="AH31" s="1765">
        <f t="shared" si="2"/>
        <v>0</v>
      </c>
      <c r="AI31" s="1765">
        <f t="shared" si="2"/>
        <v>0</v>
      </c>
      <c r="AJ31" s="1765">
        <f t="shared" si="2"/>
        <v>0</v>
      </c>
      <c r="AK31" s="1765">
        <f t="shared" si="2"/>
        <v>0</v>
      </c>
      <c r="AL31" s="1765">
        <f t="shared" si="2"/>
        <v>0</v>
      </c>
      <c r="AM31" s="1765">
        <f t="shared" si="2"/>
        <v>0</v>
      </c>
      <c r="AN31" s="1765">
        <f t="shared" si="2"/>
        <v>0</v>
      </c>
      <c r="AO31" s="1765">
        <f t="shared" si="2"/>
        <v>0</v>
      </c>
      <c r="AP31" s="1765">
        <f t="shared" si="2"/>
        <v>0</v>
      </c>
      <c r="AQ31" s="1765">
        <f t="shared" si="2"/>
        <v>0</v>
      </c>
      <c r="AR31" s="1765">
        <f t="shared" si="2"/>
        <v>0</v>
      </c>
      <c r="AS31" s="1765">
        <f t="shared" si="2"/>
        <v>0</v>
      </c>
      <c r="AT31" s="1765">
        <f t="shared" si="2"/>
        <v>0</v>
      </c>
      <c r="AU31" s="1765">
        <f t="shared" si="2"/>
        <v>0</v>
      </c>
      <c r="AV31" s="1765">
        <f t="shared" si="2"/>
        <v>0</v>
      </c>
      <c r="AW31" s="1765">
        <f t="shared" si="2"/>
        <v>0</v>
      </c>
      <c r="AX31" s="1765">
        <f t="shared" si="2"/>
        <v>0</v>
      </c>
      <c r="AY31" s="1765">
        <f t="shared" si="2"/>
        <v>0</v>
      </c>
      <c r="AZ31" s="1765">
        <f t="shared" si="2"/>
        <v>0</v>
      </c>
      <c r="BA31" s="1765">
        <f t="shared" si="2"/>
        <v>0</v>
      </c>
      <c r="BB31" s="1765">
        <f t="shared" si="2"/>
        <v>0</v>
      </c>
      <c r="BC31" s="1765">
        <f t="shared" si="2"/>
        <v>0</v>
      </c>
    </row>
    <row r="32" spans="1:58" s="203" customFormat="1" ht="27" customHeight="1" x14ac:dyDescent="0.35">
      <c r="A32" s="293"/>
      <c r="B32" s="1681" t="s">
        <v>404</v>
      </c>
      <c r="C32" s="1767">
        <v>0</v>
      </c>
      <c r="D32" s="1768">
        <f t="shared" ref="D32:BC32" si="3">C32+1</f>
        <v>1</v>
      </c>
      <c r="E32" s="1768">
        <f t="shared" si="3"/>
        <v>2</v>
      </c>
      <c r="F32" s="1768">
        <f t="shared" si="3"/>
        <v>3</v>
      </c>
      <c r="G32" s="1768">
        <f t="shared" si="3"/>
        <v>4</v>
      </c>
      <c r="H32" s="1768">
        <f t="shared" si="3"/>
        <v>5</v>
      </c>
      <c r="I32" s="1768">
        <f t="shared" si="3"/>
        <v>6</v>
      </c>
      <c r="J32" s="1768">
        <f t="shared" si="3"/>
        <v>7</v>
      </c>
      <c r="K32" s="1768">
        <f t="shared" si="3"/>
        <v>8</v>
      </c>
      <c r="L32" s="1768">
        <f t="shared" si="3"/>
        <v>9</v>
      </c>
      <c r="M32" s="1768">
        <f t="shared" si="3"/>
        <v>10</v>
      </c>
      <c r="N32" s="1768">
        <f t="shared" si="3"/>
        <v>11</v>
      </c>
      <c r="O32" s="1768">
        <f t="shared" si="3"/>
        <v>12</v>
      </c>
      <c r="P32" s="1768">
        <f t="shared" si="3"/>
        <v>13</v>
      </c>
      <c r="Q32" s="1768">
        <f t="shared" si="3"/>
        <v>14</v>
      </c>
      <c r="R32" s="1768">
        <f t="shared" si="3"/>
        <v>15</v>
      </c>
      <c r="S32" s="1768">
        <f t="shared" si="3"/>
        <v>16</v>
      </c>
      <c r="T32" s="1768">
        <f t="shared" si="3"/>
        <v>17</v>
      </c>
      <c r="U32" s="1768">
        <f t="shared" si="3"/>
        <v>18</v>
      </c>
      <c r="V32" s="1768">
        <f t="shared" si="3"/>
        <v>19</v>
      </c>
      <c r="W32" s="1768">
        <f t="shared" si="3"/>
        <v>20</v>
      </c>
      <c r="X32" s="1768">
        <f t="shared" si="3"/>
        <v>21</v>
      </c>
      <c r="Y32" s="1768">
        <f t="shared" si="3"/>
        <v>22</v>
      </c>
      <c r="Z32" s="1768">
        <f t="shared" si="3"/>
        <v>23</v>
      </c>
      <c r="AA32" s="1768">
        <f t="shared" si="3"/>
        <v>24</v>
      </c>
      <c r="AB32" s="1768">
        <f t="shared" si="3"/>
        <v>25</v>
      </c>
      <c r="AC32" s="1768">
        <f t="shared" si="3"/>
        <v>26</v>
      </c>
      <c r="AD32" s="1768">
        <f t="shared" si="3"/>
        <v>27</v>
      </c>
      <c r="AE32" s="1768">
        <f t="shared" si="3"/>
        <v>28</v>
      </c>
      <c r="AF32" s="1768">
        <f t="shared" si="3"/>
        <v>29</v>
      </c>
      <c r="AG32" s="1768">
        <f t="shared" si="3"/>
        <v>30</v>
      </c>
      <c r="AH32" s="1768">
        <f t="shared" si="3"/>
        <v>31</v>
      </c>
      <c r="AI32" s="1768">
        <f t="shared" si="3"/>
        <v>32</v>
      </c>
      <c r="AJ32" s="1768">
        <f t="shared" si="3"/>
        <v>33</v>
      </c>
      <c r="AK32" s="1768">
        <f t="shared" si="3"/>
        <v>34</v>
      </c>
      <c r="AL32" s="1768">
        <f t="shared" si="3"/>
        <v>35</v>
      </c>
      <c r="AM32" s="1768">
        <f t="shared" si="3"/>
        <v>36</v>
      </c>
      <c r="AN32" s="1768">
        <f t="shared" si="3"/>
        <v>37</v>
      </c>
      <c r="AO32" s="1768">
        <f t="shared" si="3"/>
        <v>38</v>
      </c>
      <c r="AP32" s="1768">
        <f t="shared" si="3"/>
        <v>39</v>
      </c>
      <c r="AQ32" s="1768">
        <f t="shared" si="3"/>
        <v>40</v>
      </c>
      <c r="AR32" s="1768">
        <f t="shared" si="3"/>
        <v>41</v>
      </c>
      <c r="AS32" s="1768">
        <f t="shared" si="3"/>
        <v>42</v>
      </c>
      <c r="AT32" s="1768">
        <f t="shared" si="3"/>
        <v>43</v>
      </c>
      <c r="AU32" s="1768">
        <f t="shared" si="3"/>
        <v>44</v>
      </c>
      <c r="AV32" s="1768">
        <f t="shared" si="3"/>
        <v>45</v>
      </c>
      <c r="AW32" s="1768">
        <f t="shared" si="3"/>
        <v>46</v>
      </c>
      <c r="AX32" s="1768">
        <f t="shared" si="3"/>
        <v>47</v>
      </c>
      <c r="AY32" s="1768">
        <f t="shared" si="3"/>
        <v>48</v>
      </c>
      <c r="AZ32" s="1768">
        <f t="shared" si="3"/>
        <v>49</v>
      </c>
      <c r="BA32" s="1768">
        <f t="shared" si="3"/>
        <v>50</v>
      </c>
      <c r="BB32" s="1768">
        <f t="shared" si="3"/>
        <v>51</v>
      </c>
      <c r="BC32" s="1768">
        <f t="shared" si="3"/>
        <v>52</v>
      </c>
      <c r="BD32" s="293"/>
      <c r="BE32" s="293"/>
      <c r="BF32" s="293"/>
    </row>
    <row r="33" spans="1:58" s="203" customFormat="1" ht="18" customHeight="1" x14ac:dyDescent="0.35">
      <c r="B33" s="304"/>
      <c r="C33" s="1765">
        <f t="shared" ref="C33:AH33" si="4">IF(C32&lt;=$G$27,1,0)</f>
        <v>1</v>
      </c>
      <c r="D33" s="1765">
        <f t="shared" si="4"/>
        <v>1</v>
      </c>
      <c r="E33" s="1765">
        <f t="shared" si="4"/>
        <v>1</v>
      </c>
      <c r="F33" s="1765">
        <f t="shared" si="4"/>
        <v>1</v>
      </c>
      <c r="G33" s="1765">
        <f t="shared" si="4"/>
        <v>1</v>
      </c>
      <c r="H33" s="1765">
        <f t="shared" si="4"/>
        <v>1</v>
      </c>
      <c r="I33" s="1765">
        <f t="shared" si="4"/>
        <v>1</v>
      </c>
      <c r="J33" s="1765">
        <f t="shared" si="4"/>
        <v>1</v>
      </c>
      <c r="K33" s="1765">
        <f t="shared" si="4"/>
        <v>1</v>
      </c>
      <c r="L33" s="1765">
        <f t="shared" si="4"/>
        <v>1</v>
      </c>
      <c r="M33" s="1765">
        <f t="shared" si="4"/>
        <v>1</v>
      </c>
      <c r="N33" s="1765">
        <f t="shared" si="4"/>
        <v>1</v>
      </c>
      <c r="O33" s="1765">
        <f t="shared" si="4"/>
        <v>1</v>
      </c>
      <c r="P33" s="1765">
        <f t="shared" si="4"/>
        <v>1</v>
      </c>
      <c r="Q33" s="1765">
        <f t="shared" si="4"/>
        <v>1</v>
      </c>
      <c r="R33" s="1765">
        <f t="shared" si="4"/>
        <v>1</v>
      </c>
      <c r="S33" s="1765">
        <f t="shared" si="4"/>
        <v>1</v>
      </c>
      <c r="T33" s="1765">
        <f t="shared" si="4"/>
        <v>1</v>
      </c>
      <c r="U33" s="1765">
        <f t="shared" si="4"/>
        <v>1</v>
      </c>
      <c r="V33" s="1765">
        <f t="shared" si="4"/>
        <v>1</v>
      </c>
      <c r="W33" s="1765">
        <f t="shared" si="4"/>
        <v>1</v>
      </c>
      <c r="X33" s="1765">
        <f t="shared" si="4"/>
        <v>1</v>
      </c>
      <c r="Y33" s="1765">
        <f t="shared" si="4"/>
        <v>1</v>
      </c>
      <c r="Z33" s="1765">
        <f t="shared" si="4"/>
        <v>1</v>
      </c>
      <c r="AA33" s="1765">
        <f t="shared" si="4"/>
        <v>1</v>
      </c>
      <c r="AB33" s="1765">
        <f t="shared" si="4"/>
        <v>1</v>
      </c>
      <c r="AC33" s="1765">
        <f t="shared" si="4"/>
        <v>0</v>
      </c>
      <c r="AD33" s="1765">
        <f t="shared" si="4"/>
        <v>0</v>
      </c>
      <c r="AE33" s="1765">
        <f t="shared" si="4"/>
        <v>0</v>
      </c>
      <c r="AF33" s="1765">
        <f t="shared" si="4"/>
        <v>0</v>
      </c>
      <c r="AG33" s="1765">
        <f t="shared" si="4"/>
        <v>0</v>
      </c>
      <c r="AH33" s="1765">
        <f t="shared" si="4"/>
        <v>0</v>
      </c>
      <c r="AI33" s="1765">
        <f t="shared" ref="AI33:BC33" si="5">IF(AI32&lt;=$G$27,1,0)</f>
        <v>0</v>
      </c>
      <c r="AJ33" s="1765">
        <f t="shared" si="5"/>
        <v>0</v>
      </c>
      <c r="AK33" s="1765">
        <f t="shared" si="5"/>
        <v>0</v>
      </c>
      <c r="AL33" s="1765">
        <f t="shared" si="5"/>
        <v>0</v>
      </c>
      <c r="AM33" s="1765">
        <f t="shared" si="5"/>
        <v>0</v>
      </c>
      <c r="AN33" s="1765">
        <f t="shared" si="5"/>
        <v>0</v>
      </c>
      <c r="AO33" s="1765">
        <f t="shared" si="5"/>
        <v>0</v>
      </c>
      <c r="AP33" s="1765">
        <f t="shared" si="5"/>
        <v>0</v>
      </c>
      <c r="AQ33" s="1765">
        <f t="shared" si="5"/>
        <v>0</v>
      </c>
      <c r="AR33" s="1765">
        <f t="shared" si="5"/>
        <v>0</v>
      </c>
      <c r="AS33" s="1765">
        <f t="shared" si="5"/>
        <v>0</v>
      </c>
      <c r="AT33" s="1765">
        <f t="shared" si="5"/>
        <v>0</v>
      </c>
      <c r="AU33" s="1765">
        <f t="shared" si="5"/>
        <v>0</v>
      </c>
      <c r="AV33" s="1765">
        <f t="shared" si="5"/>
        <v>0</v>
      </c>
      <c r="AW33" s="1765">
        <f t="shared" si="5"/>
        <v>0</v>
      </c>
      <c r="AX33" s="1765">
        <f t="shared" si="5"/>
        <v>0</v>
      </c>
      <c r="AY33" s="1765">
        <f t="shared" si="5"/>
        <v>0</v>
      </c>
      <c r="AZ33" s="1765">
        <f t="shared" si="5"/>
        <v>0</v>
      </c>
      <c r="BA33" s="1765">
        <f t="shared" si="5"/>
        <v>0</v>
      </c>
      <c r="BB33" s="1765">
        <f t="shared" si="5"/>
        <v>0</v>
      </c>
      <c r="BC33" s="1765">
        <f t="shared" si="5"/>
        <v>0</v>
      </c>
    </row>
    <row r="34" spans="1:58" s="203" customFormat="1" ht="18" customHeight="1" x14ac:dyDescent="0.35">
      <c r="B34" s="304"/>
      <c r="C34" s="1765"/>
      <c r="D34" s="1686">
        <v>1.8092028670075588E+55</v>
      </c>
      <c r="E34" s="1769"/>
      <c r="F34" s="1769"/>
      <c r="G34" s="1770"/>
      <c r="H34" s="1771"/>
      <c r="I34" s="1772"/>
      <c r="J34" s="1772"/>
      <c r="K34" s="1772"/>
      <c r="L34" s="1771"/>
      <c r="M34" s="1771"/>
      <c r="N34" s="1686"/>
      <c r="O34" s="1773"/>
      <c r="P34" s="1773"/>
      <c r="Q34" s="1773"/>
      <c r="R34" s="1773"/>
      <c r="S34" s="1773"/>
      <c r="T34" s="1686"/>
      <c r="U34" s="1686"/>
      <c r="V34" s="1686"/>
      <c r="W34" s="1686"/>
      <c r="X34" s="1686"/>
      <c r="Y34" s="1686"/>
      <c r="Z34" s="1686"/>
      <c r="AA34" s="1686"/>
      <c r="AB34" s="1686"/>
      <c r="AC34" s="1686"/>
      <c r="AD34" s="1686"/>
      <c r="AE34" s="1686"/>
      <c r="AF34" s="1686"/>
      <c r="AG34" s="1686"/>
      <c r="AH34" s="1686"/>
      <c r="AI34" s="1686"/>
      <c r="AJ34" s="1686"/>
      <c r="AK34" s="1686"/>
      <c r="AL34" s="1686"/>
      <c r="AM34" s="1686"/>
      <c r="AN34" s="1686"/>
      <c r="AO34" s="1686"/>
      <c r="AP34" s="1686"/>
      <c r="AQ34" s="1686"/>
      <c r="AR34" s="1686"/>
      <c r="AS34" s="1686"/>
      <c r="AT34" s="1686"/>
      <c r="AU34" s="1686"/>
      <c r="AV34" s="1686"/>
      <c r="AW34" s="1686"/>
      <c r="AX34" s="1686"/>
      <c r="AY34" s="1686"/>
      <c r="AZ34" s="1686"/>
      <c r="BA34" s="1686"/>
      <c r="BB34" s="1686"/>
      <c r="BC34" s="1686"/>
    </row>
    <row r="35" spans="1:58" s="203" customFormat="1" ht="35.15" customHeight="1" collapsed="1" x14ac:dyDescent="0.35">
      <c r="B35" s="1681" t="s">
        <v>405</v>
      </c>
      <c r="C35" s="1774">
        <f>'R&amp;C-Painel de Controle'!D8</f>
        <v>939000</v>
      </c>
      <c r="D35" s="1774">
        <f t="shared" ref="D35:AI35" si="6">C35*(1+$C$8)</f>
        <v>939000</v>
      </c>
      <c r="E35" s="1774">
        <f t="shared" si="6"/>
        <v>939000</v>
      </c>
      <c r="F35" s="1774">
        <f t="shared" si="6"/>
        <v>939000</v>
      </c>
      <c r="G35" s="1774">
        <f t="shared" si="6"/>
        <v>939000</v>
      </c>
      <c r="H35" s="1774">
        <f t="shared" si="6"/>
        <v>939000</v>
      </c>
      <c r="I35" s="1774">
        <f t="shared" si="6"/>
        <v>939000</v>
      </c>
      <c r="J35" s="1774">
        <f t="shared" si="6"/>
        <v>939000</v>
      </c>
      <c r="K35" s="1774">
        <f t="shared" si="6"/>
        <v>939000</v>
      </c>
      <c r="L35" s="1774">
        <f t="shared" si="6"/>
        <v>939000</v>
      </c>
      <c r="M35" s="1774">
        <f t="shared" si="6"/>
        <v>939000</v>
      </c>
      <c r="N35" s="1774">
        <f t="shared" si="6"/>
        <v>939000</v>
      </c>
      <c r="O35" s="1774">
        <f t="shared" si="6"/>
        <v>939000</v>
      </c>
      <c r="P35" s="1774">
        <f t="shared" si="6"/>
        <v>939000</v>
      </c>
      <c r="Q35" s="1774">
        <f t="shared" si="6"/>
        <v>939000</v>
      </c>
      <c r="R35" s="1774">
        <f t="shared" si="6"/>
        <v>939000</v>
      </c>
      <c r="S35" s="1774">
        <f t="shared" si="6"/>
        <v>939000</v>
      </c>
      <c r="T35" s="1774">
        <f t="shared" si="6"/>
        <v>939000</v>
      </c>
      <c r="U35" s="1774">
        <f t="shared" si="6"/>
        <v>939000</v>
      </c>
      <c r="V35" s="1774">
        <f t="shared" si="6"/>
        <v>939000</v>
      </c>
      <c r="W35" s="1774">
        <f t="shared" si="6"/>
        <v>939000</v>
      </c>
      <c r="X35" s="1774">
        <f t="shared" si="6"/>
        <v>939000</v>
      </c>
      <c r="Y35" s="1774">
        <f t="shared" si="6"/>
        <v>939000</v>
      </c>
      <c r="Z35" s="1774">
        <f t="shared" si="6"/>
        <v>939000</v>
      </c>
      <c r="AA35" s="1774">
        <f t="shared" si="6"/>
        <v>939000</v>
      </c>
      <c r="AB35" s="1774">
        <f t="shared" si="6"/>
        <v>939000</v>
      </c>
      <c r="AC35" s="1774">
        <f t="shared" si="6"/>
        <v>939000</v>
      </c>
      <c r="AD35" s="1774">
        <f t="shared" si="6"/>
        <v>939000</v>
      </c>
      <c r="AE35" s="1774">
        <f t="shared" si="6"/>
        <v>939000</v>
      </c>
      <c r="AF35" s="1774">
        <f t="shared" si="6"/>
        <v>939000</v>
      </c>
      <c r="AG35" s="1774">
        <f t="shared" si="6"/>
        <v>939000</v>
      </c>
      <c r="AH35" s="1774">
        <f t="shared" si="6"/>
        <v>939000</v>
      </c>
      <c r="AI35" s="1774">
        <f t="shared" si="6"/>
        <v>939000</v>
      </c>
      <c r="AJ35" s="1774">
        <f t="shared" ref="AJ35:BC35" si="7">AI35*(1+$C$8)</f>
        <v>939000</v>
      </c>
      <c r="AK35" s="1774">
        <f t="shared" si="7"/>
        <v>939000</v>
      </c>
      <c r="AL35" s="1774">
        <f t="shared" si="7"/>
        <v>939000</v>
      </c>
      <c r="AM35" s="1774">
        <f t="shared" si="7"/>
        <v>939000</v>
      </c>
      <c r="AN35" s="1774">
        <f t="shared" si="7"/>
        <v>939000</v>
      </c>
      <c r="AO35" s="1774">
        <f t="shared" si="7"/>
        <v>939000</v>
      </c>
      <c r="AP35" s="1774">
        <f t="shared" si="7"/>
        <v>939000</v>
      </c>
      <c r="AQ35" s="1774">
        <f t="shared" si="7"/>
        <v>939000</v>
      </c>
      <c r="AR35" s="1774">
        <f t="shared" si="7"/>
        <v>939000</v>
      </c>
      <c r="AS35" s="1774">
        <f t="shared" si="7"/>
        <v>939000</v>
      </c>
      <c r="AT35" s="1774">
        <f t="shared" si="7"/>
        <v>939000</v>
      </c>
      <c r="AU35" s="1774">
        <f t="shared" si="7"/>
        <v>939000</v>
      </c>
      <c r="AV35" s="1774">
        <f t="shared" si="7"/>
        <v>939000</v>
      </c>
      <c r="AW35" s="1774">
        <f t="shared" si="7"/>
        <v>939000</v>
      </c>
      <c r="AX35" s="1774">
        <f t="shared" si="7"/>
        <v>939000</v>
      </c>
      <c r="AY35" s="1774">
        <f t="shared" si="7"/>
        <v>939000</v>
      </c>
      <c r="AZ35" s="1774">
        <f t="shared" si="7"/>
        <v>939000</v>
      </c>
      <c r="BA35" s="1774">
        <f t="shared" si="7"/>
        <v>939000</v>
      </c>
      <c r="BB35" s="1774">
        <f t="shared" si="7"/>
        <v>939000</v>
      </c>
      <c r="BC35" s="1774">
        <f t="shared" si="7"/>
        <v>939000</v>
      </c>
    </row>
    <row r="36" spans="1:58" s="203" customFormat="1" ht="18" hidden="1" customHeight="1" outlineLevel="1" x14ac:dyDescent="0.35">
      <c r="A36" s="295"/>
      <c r="B36" s="248" t="s">
        <v>406</v>
      </c>
      <c r="C36" s="1770" t="s">
        <v>407</v>
      </c>
      <c r="D36" s="1770" t="s">
        <v>291</v>
      </c>
      <c r="E36" s="1770"/>
      <c r="F36" s="1770"/>
      <c r="G36" s="1770"/>
      <c r="H36" s="1770"/>
      <c r="I36" s="1770"/>
      <c r="J36" s="1770"/>
      <c r="K36" s="1770"/>
      <c r="L36" s="1770"/>
      <c r="M36" s="1770"/>
      <c r="N36" s="1770"/>
      <c r="O36" s="1770"/>
      <c r="P36" s="1770"/>
      <c r="Q36" s="1770"/>
      <c r="R36" s="1770"/>
      <c r="S36" s="1770"/>
      <c r="T36" s="1770"/>
      <c r="U36" s="1770"/>
      <c r="V36" s="1770"/>
      <c r="W36" s="1770"/>
      <c r="X36" s="1770"/>
      <c r="Y36" s="1770"/>
      <c r="Z36" s="1770"/>
      <c r="AA36" s="1770"/>
      <c r="AB36" s="1770"/>
      <c r="AC36" s="1770"/>
      <c r="AD36" s="1770"/>
      <c r="AE36" s="1770"/>
      <c r="AF36" s="1770"/>
      <c r="AG36" s="1770"/>
      <c r="AH36" s="1770"/>
      <c r="AI36" s="1770"/>
      <c r="AJ36" s="1770"/>
      <c r="AK36" s="1770"/>
      <c r="AL36" s="1770"/>
      <c r="AM36" s="1770"/>
      <c r="AN36" s="1770"/>
      <c r="AO36" s="1770"/>
      <c r="AP36" s="1770"/>
      <c r="AQ36" s="1770"/>
      <c r="AR36" s="1770"/>
      <c r="AS36" s="1770"/>
      <c r="AT36" s="1770"/>
      <c r="AU36" s="1770"/>
      <c r="AV36" s="1770"/>
      <c r="AW36" s="1770"/>
      <c r="AX36" s="1770"/>
      <c r="AY36" s="1770"/>
      <c r="AZ36" s="1770"/>
      <c r="BA36" s="1770"/>
      <c r="BB36" s="1770"/>
      <c r="BC36" s="1770"/>
      <c r="BD36" s="295"/>
      <c r="BE36" s="295"/>
      <c r="BF36" s="295"/>
    </row>
    <row r="37" spans="1:58" s="203" customFormat="1" ht="18" hidden="1" customHeight="1" outlineLevel="1" x14ac:dyDescent="0.35">
      <c r="B37" s="859" t="str">
        <f t="shared" ref="B37:C37" si="8">B65</f>
        <v>Triagem Manual — Seletivos</v>
      </c>
      <c r="C37" s="1768" t="str">
        <f t="shared" si="8"/>
        <v>Sim</v>
      </c>
      <c r="D37" s="1768">
        <f>'R&amp;C-Painel de Controle'!H53</f>
        <v>15493.499999999998</v>
      </c>
      <c r="E37" s="1775"/>
      <c r="F37" s="1686"/>
      <c r="G37" s="1686"/>
      <c r="H37" s="1686"/>
      <c r="I37" s="1686"/>
      <c r="J37" s="1686"/>
      <c r="K37" s="1686"/>
      <c r="L37" s="1686"/>
      <c r="M37" s="1686"/>
      <c r="N37" s="1686"/>
      <c r="O37" s="1686"/>
      <c r="P37" s="1686"/>
      <c r="Q37" s="1686"/>
      <c r="R37" s="1765"/>
      <c r="S37" s="1686"/>
      <c r="T37" s="1686"/>
      <c r="U37" s="1686"/>
      <c r="V37" s="1686"/>
      <c r="W37" s="1686"/>
      <c r="X37" s="1686"/>
      <c r="Y37" s="1686"/>
      <c r="Z37" s="1686"/>
      <c r="AA37" s="1686"/>
      <c r="AB37" s="1686"/>
      <c r="AC37" s="1686"/>
      <c r="AD37" s="1686"/>
      <c r="AE37" s="1686"/>
      <c r="AF37" s="1686"/>
      <c r="AG37" s="1686"/>
      <c r="AH37" s="1686"/>
      <c r="AI37" s="1686"/>
      <c r="AJ37" s="1686"/>
      <c r="AK37" s="1686"/>
      <c r="AL37" s="1686"/>
      <c r="AM37" s="1686"/>
      <c r="AN37" s="1686"/>
      <c r="AO37" s="1686"/>
      <c r="AP37" s="1686"/>
      <c r="AQ37" s="1686"/>
      <c r="AR37" s="1686"/>
      <c r="AS37" s="1686"/>
      <c r="AT37" s="1686"/>
      <c r="AU37" s="1686"/>
      <c r="AV37" s="1686"/>
      <c r="AW37" s="1686"/>
      <c r="AX37" s="1686"/>
      <c r="AY37" s="1686"/>
      <c r="AZ37" s="1686"/>
      <c r="BA37" s="1686"/>
      <c r="BB37" s="1686"/>
      <c r="BC37" s="1686"/>
    </row>
    <row r="38" spans="1:58" s="203" customFormat="1" ht="18" hidden="1" customHeight="1" outlineLevel="1" x14ac:dyDescent="0.35">
      <c r="B38" s="284" t="s">
        <v>673</v>
      </c>
      <c r="C38" s="1776">
        <f>IF(SUM(C66)&lt;100%,0,100%)</f>
        <v>0</v>
      </c>
      <c r="D38" s="1777">
        <f>IF(SUM($C66:D66)&lt;100%,0,100%)</f>
        <v>0</v>
      </c>
      <c r="E38" s="1776">
        <v>0.5</v>
      </c>
      <c r="F38" s="1776">
        <f t="shared" ref="F38:Q38" si="9">IF(SUM($C66:F66)&lt;100%,0,100%)</f>
        <v>1</v>
      </c>
      <c r="G38" s="1776">
        <f t="shared" si="9"/>
        <v>1</v>
      </c>
      <c r="H38" s="1776">
        <f t="shared" si="9"/>
        <v>1</v>
      </c>
      <c r="I38" s="1776">
        <f t="shared" si="9"/>
        <v>1</v>
      </c>
      <c r="J38" s="1776">
        <f t="shared" si="9"/>
        <v>1</v>
      </c>
      <c r="K38" s="1776">
        <f t="shared" si="9"/>
        <v>1</v>
      </c>
      <c r="L38" s="1776">
        <f t="shared" si="9"/>
        <v>1</v>
      </c>
      <c r="M38" s="1776">
        <f t="shared" si="9"/>
        <v>1</v>
      </c>
      <c r="N38" s="1776">
        <f t="shared" si="9"/>
        <v>1</v>
      </c>
      <c r="O38" s="1776">
        <f t="shared" si="9"/>
        <v>1</v>
      </c>
      <c r="P38" s="1776">
        <f t="shared" si="9"/>
        <v>1</v>
      </c>
      <c r="Q38" s="1776">
        <f t="shared" si="9"/>
        <v>1</v>
      </c>
      <c r="R38" s="1776"/>
      <c r="S38" s="1776"/>
      <c r="T38" s="1776"/>
      <c r="U38" s="1776"/>
      <c r="V38" s="1776"/>
      <c r="W38" s="1776"/>
      <c r="X38" s="1776"/>
      <c r="Y38" s="1776"/>
      <c r="Z38" s="1776"/>
      <c r="AA38" s="1776"/>
      <c r="AB38" s="1776"/>
      <c r="AC38" s="1776"/>
      <c r="AD38" s="1776"/>
      <c r="AE38" s="1776"/>
      <c r="AF38" s="1776"/>
      <c r="AG38" s="1776"/>
      <c r="AH38" s="1776"/>
      <c r="AI38" s="1776"/>
      <c r="AJ38" s="1776"/>
      <c r="AK38" s="1776"/>
      <c r="AL38" s="1776"/>
      <c r="AM38" s="1776"/>
      <c r="AN38" s="1776"/>
      <c r="AO38" s="1776"/>
      <c r="AP38" s="1776"/>
      <c r="AQ38" s="1776"/>
      <c r="AR38" s="1776"/>
      <c r="AS38" s="1776"/>
      <c r="AT38" s="1776"/>
      <c r="AU38" s="1776"/>
      <c r="AV38" s="1776"/>
      <c r="AW38" s="1776"/>
      <c r="AX38" s="1776"/>
      <c r="AY38" s="1776"/>
      <c r="AZ38" s="1776"/>
      <c r="BA38" s="1776"/>
      <c r="BB38" s="1776"/>
      <c r="BC38" s="1776"/>
    </row>
    <row r="39" spans="1:58" s="203" customFormat="1" ht="18" hidden="1" customHeight="1" outlineLevel="1" x14ac:dyDescent="0.35">
      <c r="B39" s="284" t="s">
        <v>674</v>
      </c>
      <c r="C39" s="1778">
        <f>C38*$D$37</f>
        <v>0</v>
      </c>
      <c r="D39" s="1779">
        <f t="shared" ref="D39:Q39" si="10">D38*$D$37*(1+$C$8)</f>
        <v>0</v>
      </c>
      <c r="E39" s="1780">
        <f t="shared" si="10"/>
        <v>7746.7499999999991</v>
      </c>
      <c r="F39" s="1780">
        <f t="shared" si="10"/>
        <v>15493.499999999998</v>
      </c>
      <c r="G39" s="1780">
        <f t="shared" si="10"/>
        <v>15493.499999999998</v>
      </c>
      <c r="H39" s="1780">
        <f t="shared" si="10"/>
        <v>15493.499999999998</v>
      </c>
      <c r="I39" s="1780">
        <f t="shared" si="10"/>
        <v>15493.499999999998</v>
      </c>
      <c r="J39" s="1780">
        <f t="shared" si="10"/>
        <v>15493.499999999998</v>
      </c>
      <c r="K39" s="1780">
        <f t="shared" si="10"/>
        <v>15493.499999999998</v>
      </c>
      <c r="L39" s="1780">
        <f t="shared" si="10"/>
        <v>15493.499999999998</v>
      </c>
      <c r="M39" s="1780">
        <f t="shared" si="10"/>
        <v>15493.499999999998</v>
      </c>
      <c r="N39" s="1780">
        <f t="shared" si="10"/>
        <v>15493.499999999998</v>
      </c>
      <c r="O39" s="1780">
        <f t="shared" si="10"/>
        <v>15493.499999999998</v>
      </c>
      <c r="P39" s="1780">
        <f t="shared" si="10"/>
        <v>15493.499999999998</v>
      </c>
      <c r="Q39" s="1780">
        <f t="shared" si="10"/>
        <v>15493.499999999998</v>
      </c>
      <c r="R39" s="1780">
        <f t="shared" ref="R39:BC39" si="11">Q39*(1+$C$8)</f>
        <v>15493.499999999998</v>
      </c>
      <c r="S39" s="1780">
        <f t="shared" si="11"/>
        <v>15493.499999999998</v>
      </c>
      <c r="T39" s="1780">
        <f t="shared" si="11"/>
        <v>15493.499999999998</v>
      </c>
      <c r="U39" s="1780">
        <f t="shared" si="11"/>
        <v>15493.499999999998</v>
      </c>
      <c r="V39" s="1780">
        <f t="shared" si="11"/>
        <v>15493.499999999998</v>
      </c>
      <c r="W39" s="1780">
        <f t="shared" si="11"/>
        <v>15493.499999999998</v>
      </c>
      <c r="X39" s="1780">
        <f t="shared" si="11"/>
        <v>15493.499999999998</v>
      </c>
      <c r="Y39" s="1780">
        <f t="shared" si="11"/>
        <v>15493.499999999998</v>
      </c>
      <c r="Z39" s="1780">
        <f t="shared" si="11"/>
        <v>15493.499999999998</v>
      </c>
      <c r="AA39" s="1780">
        <f t="shared" si="11"/>
        <v>15493.499999999998</v>
      </c>
      <c r="AB39" s="1780">
        <f t="shared" si="11"/>
        <v>15493.499999999998</v>
      </c>
      <c r="AC39" s="1780">
        <f t="shared" si="11"/>
        <v>15493.499999999998</v>
      </c>
      <c r="AD39" s="1780">
        <f t="shared" si="11"/>
        <v>15493.499999999998</v>
      </c>
      <c r="AE39" s="1780">
        <f t="shared" si="11"/>
        <v>15493.499999999998</v>
      </c>
      <c r="AF39" s="1780">
        <f t="shared" si="11"/>
        <v>15493.499999999998</v>
      </c>
      <c r="AG39" s="1780">
        <f t="shared" si="11"/>
        <v>15493.499999999998</v>
      </c>
      <c r="AH39" s="1780">
        <f t="shared" si="11"/>
        <v>15493.499999999998</v>
      </c>
      <c r="AI39" s="1780">
        <f t="shared" si="11"/>
        <v>15493.499999999998</v>
      </c>
      <c r="AJ39" s="1780">
        <f t="shared" si="11"/>
        <v>15493.499999999998</v>
      </c>
      <c r="AK39" s="1780">
        <f t="shared" si="11"/>
        <v>15493.499999999998</v>
      </c>
      <c r="AL39" s="1780">
        <f t="shared" si="11"/>
        <v>15493.499999999998</v>
      </c>
      <c r="AM39" s="1780">
        <f t="shared" si="11"/>
        <v>15493.499999999998</v>
      </c>
      <c r="AN39" s="1780">
        <f t="shared" si="11"/>
        <v>15493.499999999998</v>
      </c>
      <c r="AO39" s="1780">
        <f t="shared" si="11"/>
        <v>15493.499999999998</v>
      </c>
      <c r="AP39" s="1780">
        <f t="shared" si="11"/>
        <v>15493.499999999998</v>
      </c>
      <c r="AQ39" s="1780">
        <f t="shared" si="11"/>
        <v>15493.499999999998</v>
      </c>
      <c r="AR39" s="1780">
        <f t="shared" si="11"/>
        <v>15493.499999999998</v>
      </c>
      <c r="AS39" s="1780">
        <f t="shared" si="11"/>
        <v>15493.499999999998</v>
      </c>
      <c r="AT39" s="1780">
        <f t="shared" si="11"/>
        <v>15493.499999999998</v>
      </c>
      <c r="AU39" s="1780">
        <f t="shared" si="11"/>
        <v>15493.499999999998</v>
      </c>
      <c r="AV39" s="1780">
        <f t="shared" si="11"/>
        <v>15493.499999999998</v>
      </c>
      <c r="AW39" s="1780">
        <f t="shared" si="11"/>
        <v>15493.499999999998</v>
      </c>
      <c r="AX39" s="1780">
        <f t="shared" si="11"/>
        <v>15493.499999999998</v>
      </c>
      <c r="AY39" s="1780">
        <f t="shared" si="11"/>
        <v>15493.499999999998</v>
      </c>
      <c r="AZ39" s="1780">
        <f t="shared" si="11"/>
        <v>15493.499999999998</v>
      </c>
      <c r="BA39" s="1780">
        <f t="shared" si="11"/>
        <v>15493.499999999998</v>
      </c>
      <c r="BB39" s="1780">
        <f t="shared" si="11"/>
        <v>15493.499999999998</v>
      </c>
      <c r="BC39" s="1780">
        <f t="shared" si="11"/>
        <v>15493.499999999998</v>
      </c>
      <c r="BD39" s="297"/>
      <c r="BE39" s="297"/>
      <c r="BF39" s="297"/>
    </row>
    <row r="40" spans="1:58" s="203" customFormat="1" ht="18" hidden="1" customHeight="1" outlineLevel="1" x14ac:dyDescent="0.35">
      <c r="B40" s="859" t="str">
        <f t="shared" ref="B40:C40" si="12">B68</f>
        <v>Triagem Mecanizada</v>
      </c>
      <c r="C40" s="1768" t="str">
        <f t="shared" si="12"/>
        <v>Sim</v>
      </c>
      <c r="D40" s="1768">
        <f>'R&amp;C-Painel de Controle'!H56</f>
        <v>692982</v>
      </c>
      <c r="E40" s="1781"/>
      <c r="F40" s="1781"/>
      <c r="G40" s="1781"/>
      <c r="H40" s="1781"/>
      <c r="I40" s="1781"/>
      <c r="J40" s="1781"/>
      <c r="K40" s="1781"/>
      <c r="L40" s="1781"/>
      <c r="M40" s="1781"/>
      <c r="N40" s="1781"/>
      <c r="O40" s="1781"/>
      <c r="P40" s="1781"/>
      <c r="Q40" s="1781"/>
      <c r="R40" s="1781"/>
      <c r="S40" s="1781"/>
      <c r="T40" s="1781"/>
      <c r="U40" s="1781"/>
      <c r="V40" s="1781"/>
      <c r="W40" s="1781"/>
      <c r="X40" s="1781"/>
      <c r="Y40" s="1781"/>
      <c r="Z40" s="1781"/>
      <c r="AA40" s="1781"/>
      <c r="AB40" s="1781"/>
      <c r="AC40" s="1781"/>
      <c r="AD40" s="1781"/>
      <c r="AE40" s="1781"/>
      <c r="AF40" s="1781"/>
      <c r="AG40" s="1781"/>
      <c r="AH40" s="1781"/>
      <c r="AI40" s="1781"/>
      <c r="AJ40" s="1781"/>
      <c r="AK40" s="1781"/>
      <c r="AL40" s="1781"/>
      <c r="AM40" s="1781"/>
      <c r="AN40" s="1781"/>
      <c r="AO40" s="1781"/>
      <c r="AP40" s="1781"/>
      <c r="AQ40" s="1781"/>
      <c r="AR40" s="1781"/>
      <c r="AS40" s="1781"/>
      <c r="AT40" s="1781"/>
      <c r="AU40" s="1781"/>
      <c r="AV40" s="1781"/>
      <c r="AW40" s="1781"/>
      <c r="AX40" s="1781"/>
      <c r="AY40" s="1781"/>
      <c r="AZ40" s="1781"/>
      <c r="BA40" s="1781"/>
      <c r="BB40" s="1781"/>
      <c r="BC40" s="1781"/>
      <c r="BD40" s="292"/>
      <c r="BE40" s="292"/>
      <c r="BF40" s="292"/>
    </row>
    <row r="41" spans="1:58" s="203" customFormat="1" ht="18" hidden="1" customHeight="1" outlineLevel="1" x14ac:dyDescent="0.35">
      <c r="B41" s="284" t="s">
        <v>673</v>
      </c>
      <c r="C41" s="1776">
        <f>IF(SUM(C69)&lt;100%,0,100%)</f>
        <v>0</v>
      </c>
      <c r="D41" s="1777">
        <f>IF(SUM($C69:D69)&lt;100%,0,100%)</f>
        <v>0</v>
      </c>
      <c r="E41" s="1776">
        <v>0.5</v>
      </c>
      <c r="F41" s="1776">
        <f t="shared" ref="F41:Q41" si="13">IF(SUM($C69:F69)&lt;100%,0,100%)</f>
        <v>1</v>
      </c>
      <c r="G41" s="1776">
        <f t="shared" si="13"/>
        <v>1</v>
      </c>
      <c r="H41" s="1776">
        <f t="shared" si="13"/>
        <v>1</v>
      </c>
      <c r="I41" s="1776">
        <f t="shared" si="13"/>
        <v>1</v>
      </c>
      <c r="J41" s="1776">
        <f t="shared" si="13"/>
        <v>1</v>
      </c>
      <c r="K41" s="1776">
        <f t="shared" si="13"/>
        <v>1</v>
      </c>
      <c r="L41" s="1776">
        <f t="shared" si="13"/>
        <v>1</v>
      </c>
      <c r="M41" s="1776">
        <f t="shared" si="13"/>
        <v>1</v>
      </c>
      <c r="N41" s="1776">
        <f t="shared" si="13"/>
        <v>1</v>
      </c>
      <c r="O41" s="1776">
        <f t="shared" si="13"/>
        <v>1</v>
      </c>
      <c r="P41" s="1776">
        <f t="shared" si="13"/>
        <v>1</v>
      </c>
      <c r="Q41" s="1776">
        <f t="shared" si="13"/>
        <v>1</v>
      </c>
      <c r="R41" s="1776"/>
      <c r="S41" s="1776"/>
      <c r="T41" s="1776"/>
      <c r="U41" s="1776"/>
      <c r="V41" s="1776"/>
      <c r="W41" s="1776"/>
      <c r="X41" s="1776"/>
      <c r="Y41" s="1776"/>
      <c r="Z41" s="1776"/>
      <c r="AA41" s="1776"/>
      <c r="AB41" s="1776"/>
      <c r="AC41" s="1776"/>
      <c r="AD41" s="1776"/>
      <c r="AE41" s="1776"/>
      <c r="AF41" s="1776"/>
      <c r="AG41" s="1776"/>
      <c r="AH41" s="1776"/>
      <c r="AI41" s="1776"/>
      <c r="AJ41" s="1776"/>
      <c r="AK41" s="1776"/>
      <c r="AL41" s="1776"/>
      <c r="AM41" s="1776"/>
      <c r="AN41" s="1776"/>
      <c r="AO41" s="1776"/>
      <c r="AP41" s="1776"/>
      <c r="AQ41" s="1776"/>
      <c r="AR41" s="1776"/>
      <c r="AS41" s="1776"/>
      <c r="AT41" s="1776"/>
      <c r="AU41" s="1776"/>
      <c r="AV41" s="1776"/>
      <c r="AW41" s="1776"/>
      <c r="AX41" s="1776"/>
      <c r="AY41" s="1776"/>
      <c r="AZ41" s="1776"/>
      <c r="BA41" s="1776"/>
      <c r="BB41" s="1776"/>
      <c r="BC41" s="1776"/>
      <c r="BD41" s="292"/>
      <c r="BE41" s="292"/>
      <c r="BF41" s="292"/>
    </row>
    <row r="42" spans="1:58" s="203" customFormat="1" ht="18" hidden="1" customHeight="1" outlineLevel="1" x14ac:dyDescent="0.35">
      <c r="B42" s="284" t="s">
        <v>674</v>
      </c>
      <c r="C42" s="1778">
        <f>C41*$D$40</f>
        <v>0</v>
      </c>
      <c r="D42" s="1779">
        <f t="shared" ref="D42:Q42" si="14">D41*$D$40*(1+$C$8)</f>
        <v>0</v>
      </c>
      <c r="E42" s="1780">
        <f t="shared" si="14"/>
        <v>346491</v>
      </c>
      <c r="F42" s="1780">
        <f t="shared" si="14"/>
        <v>692982</v>
      </c>
      <c r="G42" s="1780">
        <f t="shared" si="14"/>
        <v>692982</v>
      </c>
      <c r="H42" s="1780">
        <f t="shared" si="14"/>
        <v>692982</v>
      </c>
      <c r="I42" s="1780">
        <f t="shared" si="14"/>
        <v>692982</v>
      </c>
      <c r="J42" s="1780">
        <f t="shared" si="14"/>
        <v>692982</v>
      </c>
      <c r="K42" s="1780">
        <f t="shared" si="14"/>
        <v>692982</v>
      </c>
      <c r="L42" s="1780">
        <f t="shared" si="14"/>
        <v>692982</v>
      </c>
      <c r="M42" s="1780">
        <f t="shared" si="14"/>
        <v>692982</v>
      </c>
      <c r="N42" s="1780">
        <f t="shared" si="14"/>
        <v>692982</v>
      </c>
      <c r="O42" s="1780">
        <f t="shared" si="14"/>
        <v>692982</v>
      </c>
      <c r="P42" s="1780">
        <f t="shared" si="14"/>
        <v>692982</v>
      </c>
      <c r="Q42" s="1780">
        <f t="shared" si="14"/>
        <v>692982</v>
      </c>
      <c r="R42" s="1780">
        <f t="shared" ref="R42:BC42" si="15">Q42*(1+$C$8)</f>
        <v>692982</v>
      </c>
      <c r="S42" s="1780">
        <f t="shared" si="15"/>
        <v>692982</v>
      </c>
      <c r="T42" s="1780">
        <f t="shared" si="15"/>
        <v>692982</v>
      </c>
      <c r="U42" s="1780">
        <f t="shared" si="15"/>
        <v>692982</v>
      </c>
      <c r="V42" s="1780">
        <f t="shared" si="15"/>
        <v>692982</v>
      </c>
      <c r="W42" s="1780">
        <f t="shared" si="15"/>
        <v>692982</v>
      </c>
      <c r="X42" s="1780">
        <f t="shared" si="15"/>
        <v>692982</v>
      </c>
      <c r="Y42" s="1780">
        <f t="shared" si="15"/>
        <v>692982</v>
      </c>
      <c r="Z42" s="1780">
        <f t="shared" si="15"/>
        <v>692982</v>
      </c>
      <c r="AA42" s="1780">
        <f t="shared" si="15"/>
        <v>692982</v>
      </c>
      <c r="AB42" s="1780">
        <f t="shared" si="15"/>
        <v>692982</v>
      </c>
      <c r="AC42" s="1780">
        <f t="shared" si="15"/>
        <v>692982</v>
      </c>
      <c r="AD42" s="1780">
        <f t="shared" si="15"/>
        <v>692982</v>
      </c>
      <c r="AE42" s="1780">
        <f t="shared" si="15"/>
        <v>692982</v>
      </c>
      <c r="AF42" s="1780">
        <f t="shared" si="15"/>
        <v>692982</v>
      </c>
      <c r="AG42" s="1780">
        <f t="shared" si="15"/>
        <v>692982</v>
      </c>
      <c r="AH42" s="1780">
        <f t="shared" si="15"/>
        <v>692982</v>
      </c>
      <c r="AI42" s="1780">
        <f t="shared" si="15"/>
        <v>692982</v>
      </c>
      <c r="AJ42" s="1780">
        <f t="shared" si="15"/>
        <v>692982</v>
      </c>
      <c r="AK42" s="1780">
        <f t="shared" si="15"/>
        <v>692982</v>
      </c>
      <c r="AL42" s="1780">
        <f t="shared" si="15"/>
        <v>692982</v>
      </c>
      <c r="AM42" s="1780">
        <f t="shared" si="15"/>
        <v>692982</v>
      </c>
      <c r="AN42" s="1780">
        <f t="shared" si="15"/>
        <v>692982</v>
      </c>
      <c r="AO42" s="1780">
        <f t="shared" si="15"/>
        <v>692982</v>
      </c>
      <c r="AP42" s="1780">
        <f t="shared" si="15"/>
        <v>692982</v>
      </c>
      <c r="AQ42" s="1780">
        <f t="shared" si="15"/>
        <v>692982</v>
      </c>
      <c r="AR42" s="1780">
        <f t="shared" si="15"/>
        <v>692982</v>
      </c>
      <c r="AS42" s="1780">
        <f t="shared" si="15"/>
        <v>692982</v>
      </c>
      <c r="AT42" s="1780">
        <f t="shared" si="15"/>
        <v>692982</v>
      </c>
      <c r="AU42" s="1780">
        <f t="shared" si="15"/>
        <v>692982</v>
      </c>
      <c r="AV42" s="1780">
        <f t="shared" si="15"/>
        <v>692982</v>
      </c>
      <c r="AW42" s="1780">
        <f t="shared" si="15"/>
        <v>692982</v>
      </c>
      <c r="AX42" s="1780">
        <f t="shared" si="15"/>
        <v>692982</v>
      </c>
      <c r="AY42" s="1780">
        <f t="shared" si="15"/>
        <v>692982</v>
      </c>
      <c r="AZ42" s="1780">
        <f t="shared" si="15"/>
        <v>692982</v>
      </c>
      <c r="BA42" s="1780">
        <f t="shared" si="15"/>
        <v>692982</v>
      </c>
      <c r="BB42" s="1780">
        <f t="shared" si="15"/>
        <v>692982</v>
      </c>
      <c r="BC42" s="1780">
        <f t="shared" si="15"/>
        <v>692982</v>
      </c>
      <c r="BD42" s="297"/>
      <c r="BE42" s="297"/>
      <c r="BF42" s="297"/>
    </row>
    <row r="43" spans="1:58" s="203" customFormat="1" ht="18" hidden="1" customHeight="1" outlineLevel="1" x14ac:dyDescent="0.35">
      <c r="B43" s="859" t="str">
        <f t="shared" ref="B43:C43" si="16">B71</f>
        <v>Produção de CDR TM — Trat. Mec.</v>
      </c>
      <c r="C43" s="1768" t="str">
        <f t="shared" si="16"/>
        <v>Sim</v>
      </c>
      <c r="D43" s="1768">
        <f>'R&amp;C-Painel de Controle'!H59</f>
        <v>60847.200000000004</v>
      </c>
      <c r="E43" s="1781"/>
      <c r="F43" s="1781"/>
      <c r="G43" s="1781"/>
      <c r="H43" s="1781"/>
      <c r="I43" s="1781"/>
      <c r="J43" s="1781"/>
      <c r="K43" s="1781"/>
      <c r="L43" s="1781"/>
      <c r="M43" s="1781"/>
      <c r="N43" s="1781"/>
      <c r="O43" s="1781"/>
      <c r="P43" s="1781"/>
      <c r="Q43" s="1781"/>
      <c r="R43" s="1781"/>
      <c r="S43" s="1781"/>
      <c r="T43" s="1781"/>
      <c r="U43" s="1781"/>
      <c r="V43" s="1781"/>
      <c r="W43" s="1781"/>
      <c r="X43" s="1781"/>
      <c r="Y43" s="1781"/>
      <c r="Z43" s="1781"/>
      <c r="AA43" s="1781"/>
      <c r="AB43" s="1781"/>
      <c r="AC43" s="1781"/>
      <c r="AD43" s="1781"/>
      <c r="AE43" s="1781"/>
      <c r="AF43" s="1781"/>
      <c r="AG43" s="1781"/>
      <c r="AH43" s="1781"/>
      <c r="AI43" s="1781"/>
      <c r="AJ43" s="1781"/>
      <c r="AK43" s="1781"/>
      <c r="AL43" s="1781"/>
      <c r="AM43" s="1781"/>
      <c r="AN43" s="1781"/>
      <c r="AO43" s="1781"/>
      <c r="AP43" s="1781"/>
      <c r="AQ43" s="1781"/>
      <c r="AR43" s="1781"/>
      <c r="AS43" s="1781"/>
      <c r="AT43" s="1781"/>
      <c r="AU43" s="1781"/>
      <c r="AV43" s="1781"/>
      <c r="AW43" s="1781"/>
      <c r="AX43" s="1781"/>
      <c r="AY43" s="1781"/>
      <c r="AZ43" s="1781"/>
      <c r="BA43" s="1781"/>
      <c r="BB43" s="1781"/>
      <c r="BC43" s="1781"/>
      <c r="BD43" s="292"/>
      <c r="BE43" s="292"/>
      <c r="BF43" s="292"/>
    </row>
    <row r="44" spans="1:58" s="203" customFormat="1" ht="18" hidden="1" customHeight="1" outlineLevel="1" x14ac:dyDescent="0.35">
      <c r="B44" s="284" t="s">
        <v>673</v>
      </c>
      <c r="C44" s="1776">
        <f t="shared" ref="C44:D44" si="17">IF(SUM($C72:C72)&lt;100%,0,100%)</f>
        <v>0</v>
      </c>
      <c r="D44" s="1777">
        <f t="shared" si="17"/>
        <v>0</v>
      </c>
      <c r="E44" s="1776">
        <v>0.5</v>
      </c>
      <c r="F44" s="1776">
        <f t="shared" ref="F44:H44" si="18">IF(SUM($C72:F72)&lt;100%,0,100%)</f>
        <v>1</v>
      </c>
      <c r="G44" s="1776">
        <f t="shared" si="18"/>
        <v>1</v>
      </c>
      <c r="H44" s="1776">
        <f t="shared" si="18"/>
        <v>1</v>
      </c>
      <c r="I44" s="1776">
        <f>IF(SUM($C72:H72)&lt;100%,0,100%)</f>
        <v>1</v>
      </c>
      <c r="J44" s="1776">
        <f>IF(SUM($C72:H72)&lt;100%,0,100%)</f>
        <v>1</v>
      </c>
      <c r="K44" s="1776">
        <f>IF(SUM($C72:H72)&lt;100%,0,100%)</f>
        <v>1</v>
      </c>
      <c r="L44" s="1776">
        <f t="shared" ref="L44:Q44" si="19">IF(SUM($C72:L72)&lt;100%,0,100%)</f>
        <v>1</v>
      </c>
      <c r="M44" s="1776">
        <f t="shared" si="19"/>
        <v>1</v>
      </c>
      <c r="N44" s="1776">
        <f t="shared" si="19"/>
        <v>1</v>
      </c>
      <c r="O44" s="1776">
        <f t="shared" si="19"/>
        <v>1</v>
      </c>
      <c r="P44" s="1776">
        <f t="shared" si="19"/>
        <v>1</v>
      </c>
      <c r="Q44" s="1776">
        <f t="shared" si="19"/>
        <v>1</v>
      </c>
      <c r="R44" s="1776"/>
      <c r="S44" s="1776"/>
      <c r="T44" s="1776"/>
      <c r="U44" s="1776"/>
      <c r="V44" s="1776"/>
      <c r="W44" s="1776"/>
      <c r="X44" s="1776"/>
      <c r="Y44" s="1776"/>
      <c r="Z44" s="1776"/>
      <c r="AA44" s="1776"/>
      <c r="AB44" s="1776"/>
      <c r="AC44" s="1776"/>
      <c r="AD44" s="1776"/>
      <c r="AE44" s="1776"/>
      <c r="AF44" s="1776"/>
      <c r="AG44" s="1776"/>
      <c r="AH44" s="1776"/>
      <c r="AI44" s="1776"/>
      <c r="AJ44" s="1776"/>
      <c r="AK44" s="1776"/>
      <c r="AL44" s="1776"/>
      <c r="AM44" s="1776"/>
      <c r="AN44" s="1776"/>
      <c r="AO44" s="1776"/>
      <c r="AP44" s="1776"/>
      <c r="AQ44" s="1776"/>
      <c r="AR44" s="1776"/>
      <c r="AS44" s="1776"/>
      <c r="AT44" s="1776"/>
      <c r="AU44" s="1776"/>
      <c r="AV44" s="1776"/>
      <c r="AW44" s="1776"/>
      <c r="AX44" s="1776"/>
      <c r="AY44" s="1776"/>
      <c r="AZ44" s="1776"/>
      <c r="BA44" s="1776"/>
      <c r="BB44" s="1776"/>
      <c r="BC44" s="1776"/>
      <c r="BD44" s="292"/>
      <c r="BE44" s="292"/>
      <c r="BF44" s="292"/>
    </row>
    <row r="45" spans="1:58" s="203" customFormat="1" ht="18" hidden="1" customHeight="1" outlineLevel="1" x14ac:dyDescent="0.35">
      <c r="B45" s="284" t="s">
        <v>674</v>
      </c>
      <c r="C45" s="1778">
        <f>C44*$D$43</f>
        <v>0</v>
      </c>
      <c r="D45" s="1779">
        <f t="shared" ref="D45:Q45" si="20">D44*$D$43*(1+$C$8)</f>
        <v>0</v>
      </c>
      <c r="E45" s="1780">
        <f t="shared" si="20"/>
        <v>30423.600000000002</v>
      </c>
      <c r="F45" s="1780">
        <f t="shared" si="20"/>
        <v>60847.200000000004</v>
      </c>
      <c r="G45" s="1780">
        <f t="shared" si="20"/>
        <v>60847.200000000004</v>
      </c>
      <c r="H45" s="1780">
        <f t="shared" si="20"/>
        <v>60847.200000000004</v>
      </c>
      <c r="I45" s="1780">
        <f t="shared" si="20"/>
        <v>60847.200000000004</v>
      </c>
      <c r="J45" s="1780">
        <f t="shared" si="20"/>
        <v>60847.200000000004</v>
      </c>
      <c r="K45" s="1780">
        <f t="shared" si="20"/>
        <v>60847.200000000004</v>
      </c>
      <c r="L45" s="1780">
        <f t="shared" si="20"/>
        <v>60847.200000000004</v>
      </c>
      <c r="M45" s="1780">
        <f t="shared" si="20"/>
        <v>60847.200000000004</v>
      </c>
      <c r="N45" s="1780">
        <f t="shared" si="20"/>
        <v>60847.200000000004</v>
      </c>
      <c r="O45" s="1780">
        <f t="shared" si="20"/>
        <v>60847.200000000004</v>
      </c>
      <c r="P45" s="1780">
        <f t="shared" si="20"/>
        <v>60847.200000000004</v>
      </c>
      <c r="Q45" s="1780">
        <f t="shared" si="20"/>
        <v>60847.200000000004</v>
      </c>
      <c r="R45" s="1780">
        <f t="shared" ref="R45:BC45" si="21">Q45*(1+$C$8)</f>
        <v>60847.200000000004</v>
      </c>
      <c r="S45" s="1780">
        <f t="shared" si="21"/>
        <v>60847.200000000004</v>
      </c>
      <c r="T45" s="1780">
        <f t="shared" si="21"/>
        <v>60847.200000000004</v>
      </c>
      <c r="U45" s="1780">
        <f t="shared" si="21"/>
        <v>60847.200000000004</v>
      </c>
      <c r="V45" s="1780">
        <f t="shared" si="21"/>
        <v>60847.200000000004</v>
      </c>
      <c r="W45" s="1780">
        <f t="shared" si="21"/>
        <v>60847.200000000004</v>
      </c>
      <c r="X45" s="1780">
        <f t="shared" si="21"/>
        <v>60847.200000000004</v>
      </c>
      <c r="Y45" s="1780">
        <f t="shared" si="21"/>
        <v>60847.200000000004</v>
      </c>
      <c r="Z45" s="1780">
        <f t="shared" si="21"/>
        <v>60847.200000000004</v>
      </c>
      <c r="AA45" s="1780">
        <f t="shared" si="21"/>
        <v>60847.200000000004</v>
      </c>
      <c r="AB45" s="1780">
        <f t="shared" si="21"/>
        <v>60847.200000000004</v>
      </c>
      <c r="AC45" s="1780">
        <f t="shared" si="21"/>
        <v>60847.200000000004</v>
      </c>
      <c r="AD45" s="1780">
        <f t="shared" si="21"/>
        <v>60847.200000000004</v>
      </c>
      <c r="AE45" s="1780">
        <f t="shared" si="21"/>
        <v>60847.200000000004</v>
      </c>
      <c r="AF45" s="1780">
        <f t="shared" si="21"/>
        <v>60847.200000000004</v>
      </c>
      <c r="AG45" s="1780">
        <f t="shared" si="21"/>
        <v>60847.200000000004</v>
      </c>
      <c r="AH45" s="1780">
        <f t="shared" si="21"/>
        <v>60847.200000000004</v>
      </c>
      <c r="AI45" s="1780">
        <f t="shared" si="21"/>
        <v>60847.200000000004</v>
      </c>
      <c r="AJ45" s="1780">
        <f t="shared" si="21"/>
        <v>60847.200000000004</v>
      </c>
      <c r="AK45" s="1780">
        <f t="shared" si="21"/>
        <v>60847.200000000004</v>
      </c>
      <c r="AL45" s="1780">
        <f t="shared" si="21"/>
        <v>60847.200000000004</v>
      </c>
      <c r="AM45" s="1780">
        <f t="shared" si="21"/>
        <v>60847.200000000004</v>
      </c>
      <c r="AN45" s="1780">
        <f t="shared" si="21"/>
        <v>60847.200000000004</v>
      </c>
      <c r="AO45" s="1780">
        <f t="shared" si="21"/>
        <v>60847.200000000004</v>
      </c>
      <c r="AP45" s="1780">
        <f t="shared" si="21"/>
        <v>60847.200000000004</v>
      </c>
      <c r="AQ45" s="1780">
        <f t="shared" si="21"/>
        <v>60847.200000000004</v>
      </c>
      <c r="AR45" s="1780">
        <f t="shared" si="21"/>
        <v>60847.200000000004</v>
      </c>
      <c r="AS45" s="1780">
        <f t="shared" si="21"/>
        <v>60847.200000000004</v>
      </c>
      <c r="AT45" s="1780">
        <f t="shared" si="21"/>
        <v>60847.200000000004</v>
      </c>
      <c r="AU45" s="1780">
        <f t="shared" si="21"/>
        <v>60847.200000000004</v>
      </c>
      <c r="AV45" s="1780">
        <f t="shared" si="21"/>
        <v>60847.200000000004</v>
      </c>
      <c r="AW45" s="1780">
        <f t="shared" si="21"/>
        <v>60847.200000000004</v>
      </c>
      <c r="AX45" s="1780">
        <f t="shared" si="21"/>
        <v>60847.200000000004</v>
      </c>
      <c r="AY45" s="1780">
        <f t="shared" si="21"/>
        <v>60847.200000000004</v>
      </c>
      <c r="AZ45" s="1780">
        <f t="shared" si="21"/>
        <v>60847.200000000004</v>
      </c>
      <c r="BA45" s="1780">
        <f t="shared" si="21"/>
        <v>60847.200000000004</v>
      </c>
      <c r="BB45" s="1780">
        <f t="shared" si="21"/>
        <v>60847.200000000004</v>
      </c>
      <c r="BC45" s="1780">
        <f t="shared" si="21"/>
        <v>60847.200000000004</v>
      </c>
      <c r="BD45" s="297"/>
      <c r="BE45" s="297"/>
      <c r="BF45" s="297"/>
    </row>
    <row r="46" spans="1:58" s="203" customFormat="1" ht="18" hidden="1" customHeight="1" outlineLevel="1" x14ac:dyDescent="0.35">
      <c r="B46" s="859" t="str">
        <f t="shared" ref="B46:C46" si="22">B74</f>
        <v>Prod. CDR TMB — Trat. Mec./Biológ.</v>
      </c>
      <c r="C46" s="1768" t="str">
        <f t="shared" si="22"/>
        <v>Não</v>
      </c>
      <c r="D46" s="1768">
        <f>'R&amp;C-Painel de Controle'!H62</f>
        <v>0</v>
      </c>
      <c r="E46" s="1781"/>
      <c r="F46" s="1781"/>
      <c r="G46" s="1781"/>
      <c r="H46" s="1781"/>
      <c r="I46" s="1781"/>
      <c r="J46" s="1781"/>
      <c r="K46" s="1781"/>
      <c r="L46" s="1781"/>
      <c r="M46" s="1781"/>
      <c r="N46" s="1781"/>
      <c r="O46" s="1781"/>
      <c r="P46" s="1781"/>
      <c r="Q46" s="1781"/>
      <c r="R46" s="1781"/>
      <c r="S46" s="1781"/>
      <c r="T46" s="1781"/>
      <c r="U46" s="1781"/>
      <c r="V46" s="1781"/>
      <c r="W46" s="1781"/>
      <c r="X46" s="1781"/>
      <c r="Y46" s="1781"/>
      <c r="Z46" s="1781"/>
      <c r="AA46" s="1781"/>
      <c r="AB46" s="1781"/>
      <c r="AC46" s="1781"/>
      <c r="AD46" s="1781"/>
      <c r="AE46" s="1781"/>
      <c r="AF46" s="1781"/>
      <c r="AG46" s="1781"/>
      <c r="AH46" s="1781"/>
      <c r="AI46" s="1781"/>
      <c r="AJ46" s="1781"/>
      <c r="AK46" s="1781"/>
      <c r="AL46" s="1781"/>
      <c r="AM46" s="1781"/>
      <c r="AN46" s="1781"/>
      <c r="AO46" s="1781"/>
      <c r="AP46" s="1781"/>
      <c r="AQ46" s="1781"/>
      <c r="AR46" s="1781"/>
      <c r="AS46" s="1781"/>
      <c r="AT46" s="1781"/>
      <c r="AU46" s="1781"/>
      <c r="AV46" s="1781"/>
      <c r="AW46" s="1781"/>
      <c r="AX46" s="1781"/>
      <c r="AY46" s="1781"/>
      <c r="AZ46" s="1781"/>
      <c r="BA46" s="1781"/>
      <c r="BB46" s="1781"/>
      <c r="BC46" s="1781"/>
      <c r="BD46" s="292"/>
      <c r="BE46" s="292"/>
      <c r="BF46" s="292"/>
    </row>
    <row r="47" spans="1:58" s="203" customFormat="1" ht="18" hidden="1" customHeight="1" outlineLevel="1" x14ac:dyDescent="0.35">
      <c r="B47" s="284" t="s">
        <v>673</v>
      </c>
      <c r="C47" s="1776">
        <f>IF(SUM(C75)&lt;100%,0,100%)</f>
        <v>0</v>
      </c>
      <c r="D47" s="1777">
        <f>IF(SUM($C75:D75)&lt;100%,0,100%)</f>
        <v>0</v>
      </c>
      <c r="E47" s="1776">
        <v>0.5</v>
      </c>
      <c r="F47" s="1776">
        <f t="shared" ref="F47:Q47" si="23">IF(SUM($C75:F75)&lt;100%,0,100%)</f>
        <v>1</v>
      </c>
      <c r="G47" s="1776">
        <f t="shared" si="23"/>
        <v>1</v>
      </c>
      <c r="H47" s="1776">
        <f t="shared" si="23"/>
        <v>1</v>
      </c>
      <c r="I47" s="1776">
        <f t="shared" si="23"/>
        <v>1</v>
      </c>
      <c r="J47" s="1776">
        <f t="shared" si="23"/>
        <v>1</v>
      </c>
      <c r="K47" s="1776">
        <f t="shared" si="23"/>
        <v>1</v>
      </c>
      <c r="L47" s="1776">
        <f t="shared" si="23"/>
        <v>1</v>
      </c>
      <c r="M47" s="1776">
        <f t="shared" si="23"/>
        <v>1</v>
      </c>
      <c r="N47" s="1776">
        <f t="shared" si="23"/>
        <v>1</v>
      </c>
      <c r="O47" s="1776">
        <f t="shared" si="23"/>
        <v>1</v>
      </c>
      <c r="P47" s="1776">
        <f t="shared" si="23"/>
        <v>1</v>
      </c>
      <c r="Q47" s="1776">
        <f t="shared" si="23"/>
        <v>1</v>
      </c>
      <c r="R47" s="1776"/>
      <c r="S47" s="1776"/>
      <c r="T47" s="1776"/>
      <c r="U47" s="1776"/>
      <c r="V47" s="1776"/>
      <c r="W47" s="1776"/>
      <c r="X47" s="1776"/>
      <c r="Y47" s="1776"/>
      <c r="Z47" s="1776"/>
      <c r="AA47" s="1776"/>
      <c r="AB47" s="1776"/>
      <c r="AC47" s="1776"/>
      <c r="AD47" s="1776"/>
      <c r="AE47" s="1776"/>
      <c r="AF47" s="1776"/>
      <c r="AG47" s="1776"/>
      <c r="AH47" s="1776"/>
      <c r="AI47" s="1776"/>
      <c r="AJ47" s="1776"/>
      <c r="AK47" s="1776"/>
      <c r="AL47" s="1776"/>
      <c r="AM47" s="1776"/>
      <c r="AN47" s="1776"/>
      <c r="AO47" s="1776"/>
      <c r="AP47" s="1776"/>
      <c r="AQ47" s="1776"/>
      <c r="AR47" s="1776"/>
      <c r="AS47" s="1776"/>
      <c r="AT47" s="1776"/>
      <c r="AU47" s="1776"/>
      <c r="AV47" s="1776"/>
      <c r="AW47" s="1776"/>
      <c r="AX47" s="1776"/>
      <c r="AY47" s="1776"/>
      <c r="AZ47" s="1776"/>
      <c r="BA47" s="1776"/>
      <c r="BB47" s="1776"/>
      <c r="BC47" s="1776"/>
      <c r="BD47" s="292"/>
      <c r="BE47" s="292"/>
      <c r="BF47" s="292"/>
    </row>
    <row r="48" spans="1:58" s="203" customFormat="1" ht="18" hidden="1" customHeight="1" outlineLevel="1" x14ac:dyDescent="0.35">
      <c r="B48" s="284" t="s">
        <v>674</v>
      </c>
      <c r="C48" s="1778">
        <f>C47*$D$46</f>
        <v>0</v>
      </c>
      <c r="D48" s="1779">
        <f t="shared" ref="D48:Q48" si="24">D47*$D$46*(1+$C$8)</f>
        <v>0</v>
      </c>
      <c r="E48" s="1780">
        <f t="shared" si="24"/>
        <v>0</v>
      </c>
      <c r="F48" s="1780">
        <f t="shared" si="24"/>
        <v>0</v>
      </c>
      <c r="G48" s="1780">
        <f t="shared" si="24"/>
        <v>0</v>
      </c>
      <c r="H48" s="1780">
        <f t="shared" si="24"/>
        <v>0</v>
      </c>
      <c r="I48" s="1780">
        <f t="shared" si="24"/>
        <v>0</v>
      </c>
      <c r="J48" s="1780">
        <f t="shared" si="24"/>
        <v>0</v>
      </c>
      <c r="K48" s="1780">
        <f t="shared" si="24"/>
        <v>0</v>
      </c>
      <c r="L48" s="1780">
        <f t="shared" si="24"/>
        <v>0</v>
      </c>
      <c r="M48" s="1780">
        <f t="shared" si="24"/>
        <v>0</v>
      </c>
      <c r="N48" s="1780">
        <f t="shared" si="24"/>
        <v>0</v>
      </c>
      <c r="O48" s="1780">
        <f t="shared" si="24"/>
        <v>0</v>
      </c>
      <c r="P48" s="1780">
        <f t="shared" si="24"/>
        <v>0</v>
      </c>
      <c r="Q48" s="1780">
        <f t="shared" si="24"/>
        <v>0</v>
      </c>
      <c r="R48" s="1780">
        <f t="shared" ref="R48:BC48" si="25">Q48*(1+$C$8)</f>
        <v>0</v>
      </c>
      <c r="S48" s="1780">
        <f t="shared" si="25"/>
        <v>0</v>
      </c>
      <c r="T48" s="1780">
        <f t="shared" si="25"/>
        <v>0</v>
      </c>
      <c r="U48" s="1780">
        <f t="shared" si="25"/>
        <v>0</v>
      </c>
      <c r="V48" s="1780">
        <f t="shared" si="25"/>
        <v>0</v>
      </c>
      <c r="W48" s="1780">
        <f t="shared" si="25"/>
        <v>0</v>
      </c>
      <c r="X48" s="1780">
        <f t="shared" si="25"/>
        <v>0</v>
      </c>
      <c r="Y48" s="1780">
        <f t="shared" si="25"/>
        <v>0</v>
      </c>
      <c r="Z48" s="1780">
        <f t="shared" si="25"/>
        <v>0</v>
      </c>
      <c r="AA48" s="1780">
        <f t="shared" si="25"/>
        <v>0</v>
      </c>
      <c r="AB48" s="1780">
        <f t="shared" si="25"/>
        <v>0</v>
      </c>
      <c r="AC48" s="1780">
        <f t="shared" si="25"/>
        <v>0</v>
      </c>
      <c r="AD48" s="1780">
        <f t="shared" si="25"/>
        <v>0</v>
      </c>
      <c r="AE48" s="1780">
        <f t="shared" si="25"/>
        <v>0</v>
      </c>
      <c r="AF48" s="1780">
        <f t="shared" si="25"/>
        <v>0</v>
      </c>
      <c r="AG48" s="1780">
        <f t="shared" si="25"/>
        <v>0</v>
      </c>
      <c r="AH48" s="1780">
        <f t="shared" si="25"/>
        <v>0</v>
      </c>
      <c r="AI48" s="1780">
        <f t="shared" si="25"/>
        <v>0</v>
      </c>
      <c r="AJ48" s="1780">
        <f t="shared" si="25"/>
        <v>0</v>
      </c>
      <c r="AK48" s="1780">
        <f t="shared" si="25"/>
        <v>0</v>
      </c>
      <c r="AL48" s="1780">
        <f t="shared" si="25"/>
        <v>0</v>
      </c>
      <c r="AM48" s="1780">
        <f t="shared" si="25"/>
        <v>0</v>
      </c>
      <c r="AN48" s="1780">
        <f t="shared" si="25"/>
        <v>0</v>
      </c>
      <c r="AO48" s="1780">
        <f t="shared" si="25"/>
        <v>0</v>
      </c>
      <c r="AP48" s="1780">
        <f t="shared" si="25"/>
        <v>0</v>
      </c>
      <c r="AQ48" s="1780">
        <f t="shared" si="25"/>
        <v>0</v>
      </c>
      <c r="AR48" s="1780">
        <f t="shared" si="25"/>
        <v>0</v>
      </c>
      <c r="AS48" s="1780">
        <f t="shared" si="25"/>
        <v>0</v>
      </c>
      <c r="AT48" s="1780">
        <f t="shared" si="25"/>
        <v>0</v>
      </c>
      <c r="AU48" s="1780">
        <f t="shared" si="25"/>
        <v>0</v>
      </c>
      <c r="AV48" s="1780">
        <f t="shared" si="25"/>
        <v>0</v>
      </c>
      <c r="AW48" s="1780">
        <f t="shared" si="25"/>
        <v>0</v>
      </c>
      <c r="AX48" s="1780">
        <f t="shared" si="25"/>
        <v>0</v>
      </c>
      <c r="AY48" s="1780">
        <f t="shared" si="25"/>
        <v>0</v>
      </c>
      <c r="AZ48" s="1780">
        <f t="shared" si="25"/>
        <v>0</v>
      </c>
      <c r="BA48" s="1780">
        <f t="shared" si="25"/>
        <v>0</v>
      </c>
      <c r="BB48" s="1780">
        <f t="shared" si="25"/>
        <v>0</v>
      </c>
      <c r="BC48" s="1780">
        <f t="shared" si="25"/>
        <v>0</v>
      </c>
      <c r="BD48" s="297"/>
      <c r="BE48" s="297"/>
      <c r="BF48" s="297"/>
    </row>
    <row r="49" spans="1:58" s="203" customFormat="1" ht="18" hidden="1" customHeight="1" outlineLevel="1" x14ac:dyDescent="0.35">
      <c r="B49" s="859" t="str">
        <f t="shared" ref="B49:C49" si="26">B77</f>
        <v>Biodigestão Anaeróbia</v>
      </c>
      <c r="C49" s="1768" t="str">
        <f t="shared" si="26"/>
        <v>Sim</v>
      </c>
      <c r="D49" s="1768">
        <f>'R&amp;C-Painel de Controle'!H65</f>
        <v>322985.95199999999</v>
      </c>
      <c r="E49" s="1781"/>
      <c r="F49" s="1781"/>
      <c r="G49" s="1781"/>
      <c r="H49" s="1781"/>
      <c r="I49" s="1781"/>
      <c r="J49" s="1781"/>
      <c r="K49" s="1781"/>
      <c r="L49" s="1781"/>
      <c r="M49" s="1781"/>
      <c r="N49" s="1781"/>
      <c r="O49" s="1781"/>
      <c r="P49" s="1781"/>
      <c r="Q49" s="1781"/>
      <c r="R49" s="1781"/>
      <c r="S49" s="1781"/>
      <c r="T49" s="1781"/>
      <c r="U49" s="1781"/>
      <c r="V49" s="1781"/>
      <c r="W49" s="1781"/>
      <c r="X49" s="1781"/>
      <c r="Y49" s="1781"/>
      <c r="Z49" s="1781"/>
      <c r="AA49" s="1781"/>
      <c r="AB49" s="1781"/>
      <c r="AC49" s="1781"/>
      <c r="AD49" s="1781"/>
      <c r="AE49" s="1781"/>
      <c r="AF49" s="1781"/>
      <c r="AG49" s="1781"/>
      <c r="AH49" s="1781"/>
      <c r="AI49" s="1781"/>
      <c r="AJ49" s="1781"/>
      <c r="AK49" s="1781"/>
      <c r="AL49" s="1781"/>
      <c r="AM49" s="1781"/>
      <c r="AN49" s="1781"/>
      <c r="AO49" s="1781"/>
      <c r="AP49" s="1781"/>
      <c r="AQ49" s="1781"/>
      <c r="AR49" s="1781"/>
      <c r="AS49" s="1781"/>
      <c r="AT49" s="1781"/>
      <c r="AU49" s="1781"/>
      <c r="AV49" s="1781"/>
      <c r="AW49" s="1781"/>
      <c r="AX49" s="1781"/>
      <c r="AY49" s="1781"/>
      <c r="AZ49" s="1781"/>
      <c r="BA49" s="1781"/>
      <c r="BB49" s="1781"/>
      <c r="BC49" s="1781"/>
      <c r="BD49" s="292"/>
      <c r="BE49" s="292"/>
      <c r="BF49" s="292"/>
    </row>
    <row r="50" spans="1:58" s="203" customFormat="1" ht="18" hidden="1" customHeight="1" outlineLevel="1" x14ac:dyDescent="0.35">
      <c r="B50" s="284" t="s">
        <v>673</v>
      </c>
      <c r="C50" s="1776">
        <f>IF(SUM(C78)&lt;100%,0,100%)</f>
        <v>0</v>
      </c>
      <c r="D50" s="1777">
        <f>IF(SUM($C78:D78)&lt;100%,0,100%)</f>
        <v>0</v>
      </c>
      <c r="E50" s="1776">
        <v>0.5</v>
      </c>
      <c r="F50" s="1776">
        <f t="shared" ref="F50:Q50" si="27">IF(SUM($C78:F78)&lt;100%,0,100%)</f>
        <v>1</v>
      </c>
      <c r="G50" s="1776">
        <f t="shared" si="27"/>
        <v>1</v>
      </c>
      <c r="H50" s="1776">
        <f t="shared" si="27"/>
        <v>1</v>
      </c>
      <c r="I50" s="1776">
        <f t="shared" si="27"/>
        <v>1</v>
      </c>
      <c r="J50" s="1776">
        <f t="shared" si="27"/>
        <v>1</v>
      </c>
      <c r="K50" s="1776">
        <f t="shared" si="27"/>
        <v>1</v>
      </c>
      <c r="L50" s="1776">
        <f t="shared" si="27"/>
        <v>1</v>
      </c>
      <c r="M50" s="1776">
        <f t="shared" si="27"/>
        <v>1</v>
      </c>
      <c r="N50" s="1776">
        <f t="shared" si="27"/>
        <v>1</v>
      </c>
      <c r="O50" s="1776">
        <f t="shared" si="27"/>
        <v>1</v>
      </c>
      <c r="P50" s="1776">
        <f t="shared" si="27"/>
        <v>1</v>
      </c>
      <c r="Q50" s="1776">
        <f t="shared" si="27"/>
        <v>1</v>
      </c>
      <c r="R50" s="1776"/>
      <c r="S50" s="1776"/>
      <c r="T50" s="1776"/>
      <c r="U50" s="1776"/>
      <c r="V50" s="1776"/>
      <c r="W50" s="1776"/>
      <c r="X50" s="1776"/>
      <c r="Y50" s="1776"/>
      <c r="Z50" s="1776"/>
      <c r="AA50" s="1776"/>
      <c r="AB50" s="1776"/>
      <c r="AC50" s="1776"/>
      <c r="AD50" s="1776"/>
      <c r="AE50" s="1776"/>
      <c r="AF50" s="1776"/>
      <c r="AG50" s="1776"/>
      <c r="AH50" s="1776"/>
      <c r="AI50" s="1776"/>
      <c r="AJ50" s="1776"/>
      <c r="AK50" s="1776"/>
      <c r="AL50" s="1776"/>
      <c r="AM50" s="1776"/>
      <c r="AN50" s="1776"/>
      <c r="AO50" s="1776"/>
      <c r="AP50" s="1776"/>
      <c r="AQ50" s="1776"/>
      <c r="AR50" s="1776"/>
      <c r="AS50" s="1776"/>
      <c r="AT50" s="1776"/>
      <c r="AU50" s="1776"/>
      <c r="AV50" s="1776"/>
      <c r="AW50" s="1776"/>
      <c r="AX50" s="1776"/>
      <c r="AY50" s="1776"/>
      <c r="AZ50" s="1776"/>
      <c r="BA50" s="1776"/>
      <c r="BB50" s="1776"/>
      <c r="BC50" s="1776"/>
      <c r="BD50" s="292"/>
      <c r="BE50" s="292"/>
      <c r="BF50" s="292"/>
    </row>
    <row r="51" spans="1:58" s="203" customFormat="1" ht="18" hidden="1" customHeight="1" outlineLevel="1" x14ac:dyDescent="0.35">
      <c r="B51" s="284" t="s">
        <v>674</v>
      </c>
      <c r="C51" s="1778">
        <f>C50*$D$49</f>
        <v>0</v>
      </c>
      <c r="D51" s="1779">
        <f t="shared" ref="D51:Q51" si="28">D50*$D$49*(1+$C$8)</f>
        <v>0</v>
      </c>
      <c r="E51" s="1780">
        <f t="shared" si="28"/>
        <v>161492.976</v>
      </c>
      <c r="F51" s="1780">
        <f t="shared" si="28"/>
        <v>322985.95199999999</v>
      </c>
      <c r="G51" s="1780">
        <f t="shared" si="28"/>
        <v>322985.95199999999</v>
      </c>
      <c r="H51" s="1780">
        <f t="shared" si="28"/>
        <v>322985.95199999999</v>
      </c>
      <c r="I51" s="1780">
        <f t="shared" si="28"/>
        <v>322985.95199999999</v>
      </c>
      <c r="J51" s="1780">
        <f t="shared" si="28"/>
        <v>322985.95199999999</v>
      </c>
      <c r="K51" s="1780">
        <f t="shared" si="28"/>
        <v>322985.95199999999</v>
      </c>
      <c r="L51" s="1780">
        <f t="shared" si="28"/>
        <v>322985.95199999999</v>
      </c>
      <c r="M51" s="1780">
        <f t="shared" si="28"/>
        <v>322985.95199999999</v>
      </c>
      <c r="N51" s="1780">
        <f t="shared" si="28"/>
        <v>322985.95199999999</v>
      </c>
      <c r="O51" s="1780">
        <f t="shared" si="28"/>
        <v>322985.95199999999</v>
      </c>
      <c r="P51" s="1780">
        <f t="shared" si="28"/>
        <v>322985.95199999999</v>
      </c>
      <c r="Q51" s="1780">
        <f t="shared" si="28"/>
        <v>322985.95199999999</v>
      </c>
      <c r="R51" s="1780">
        <f t="shared" ref="R51:BC51" si="29">Q51*(1+$C$8)</f>
        <v>322985.95199999999</v>
      </c>
      <c r="S51" s="1780">
        <f t="shared" si="29"/>
        <v>322985.95199999999</v>
      </c>
      <c r="T51" s="1780">
        <f t="shared" si="29"/>
        <v>322985.95199999999</v>
      </c>
      <c r="U51" s="1780">
        <f t="shared" si="29"/>
        <v>322985.95199999999</v>
      </c>
      <c r="V51" s="1780">
        <f t="shared" si="29"/>
        <v>322985.95199999999</v>
      </c>
      <c r="W51" s="1780">
        <f t="shared" si="29"/>
        <v>322985.95199999999</v>
      </c>
      <c r="X51" s="1780">
        <f t="shared" si="29"/>
        <v>322985.95199999999</v>
      </c>
      <c r="Y51" s="1780">
        <f t="shared" si="29"/>
        <v>322985.95199999999</v>
      </c>
      <c r="Z51" s="1780">
        <f t="shared" si="29"/>
        <v>322985.95199999999</v>
      </c>
      <c r="AA51" s="1780">
        <f t="shared" si="29"/>
        <v>322985.95199999999</v>
      </c>
      <c r="AB51" s="1780">
        <f t="shared" si="29"/>
        <v>322985.95199999999</v>
      </c>
      <c r="AC51" s="1780">
        <f t="shared" si="29"/>
        <v>322985.95199999999</v>
      </c>
      <c r="AD51" s="1780">
        <f t="shared" si="29"/>
        <v>322985.95199999999</v>
      </c>
      <c r="AE51" s="1780">
        <f t="shared" si="29"/>
        <v>322985.95199999999</v>
      </c>
      <c r="AF51" s="1780">
        <f t="shared" si="29"/>
        <v>322985.95199999999</v>
      </c>
      <c r="AG51" s="1780">
        <f t="shared" si="29"/>
        <v>322985.95199999999</v>
      </c>
      <c r="AH51" s="1780">
        <f t="shared" si="29"/>
        <v>322985.95199999999</v>
      </c>
      <c r="AI51" s="1780">
        <f t="shared" si="29"/>
        <v>322985.95199999999</v>
      </c>
      <c r="AJ51" s="1780">
        <f t="shared" si="29"/>
        <v>322985.95199999999</v>
      </c>
      <c r="AK51" s="1780">
        <f t="shared" si="29"/>
        <v>322985.95199999999</v>
      </c>
      <c r="AL51" s="1780">
        <f t="shared" si="29"/>
        <v>322985.95199999999</v>
      </c>
      <c r="AM51" s="1780">
        <f t="shared" si="29"/>
        <v>322985.95199999999</v>
      </c>
      <c r="AN51" s="1780">
        <f t="shared" si="29"/>
        <v>322985.95199999999</v>
      </c>
      <c r="AO51" s="1780">
        <f t="shared" si="29"/>
        <v>322985.95199999999</v>
      </c>
      <c r="AP51" s="1780">
        <f t="shared" si="29"/>
        <v>322985.95199999999</v>
      </c>
      <c r="AQ51" s="1780">
        <f t="shared" si="29"/>
        <v>322985.95199999999</v>
      </c>
      <c r="AR51" s="1780">
        <f t="shared" si="29"/>
        <v>322985.95199999999</v>
      </c>
      <c r="AS51" s="1780">
        <f t="shared" si="29"/>
        <v>322985.95199999999</v>
      </c>
      <c r="AT51" s="1780">
        <f t="shared" si="29"/>
        <v>322985.95199999999</v>
      </c>
      <c r="AU51" s="1780">
        <f t="shared" si="29"/>
        <v>322985.95199999999</v>
      </c>
      <c r="AV51" s="1780">
        <f t="shared" si="29"/>
        <v>322985.95199999999</v>
      </c>
      <c r="AW51" s="1780">
        <f t="shared" si="29"/>
        <v>322985.95199999999</v>
      </c>
      <c r="AX51" s="1780">
        <f t="shared" si="29"/>
        <v>322985.95199999999</v>
      </c>
      <c r="AY51" s="1780">
        <f t="shared" si="29"/>
        <v>322985.95199999999</v>
      </c>
      <c r="AZ51" s="1780">
        <f t="shared" si="29"/>
        <v>322985.95199999999</v>
      </c>
      <c r="BA51" s="1780">
        <f t="shared" si="29"/>
        <v>322985.95199999999</v>
      </c>
      <c r="BB51" s="1780">
        <f t="shared" si="29"/>
        <v>322985.95199999999</v>
      </c>
      <c r="BC51" s="1780">
        <f t="shared" si="29"/>
        <v>322985.95199999999</v>
      </c>
      <c r="BD51" s="297"/>
      <c r="BE51" s="297"/>
      <c r="BF51" s="297"/>
    </row>
    <row r="52" spans="1:58" s="203" customFormat="1" ht="18" hidden="1" customHeight="1" outlineLevel="1" x14ac:dyDescent="0.35">
      <c r="B52" s="859" t="str">
        <f t="shared" ref="B52:C52" si="30">B80</f>
        <v>Compostagem</v>
      </c>
      <c r="C52" s="1768" t="str">
        <f t="shared" si="30"/>
        <v>Sim</v>
      </c>
      <c r="D52" s="1768">
        <f>'R&amp;C-Painel de Controle'!H68</f>
        <v>228781.71599999996</v>
      </c>
      <c r="E52" s="1781"/>
      <c r="F52" s="1781"/>
      <c r="G52" s="1781"/>
      <c r="H52" s="1781"/>
      <c r="I52" s="1781"/>
      <c r="J52" s="1781"/>
      <c r="K52" s="1781"/>
      <c r="L52" s="1781"/>
      <c r="M52" s="1781"/>
      <c r="N52" s="1781"/>
      <c r="O52" s="1781"/>
      <c r="P52" s="1781"/>
      <c r="Q52" s="1781"/>
      <c r="R52" s="1781"/>
      <c r="S52" s="1781"/>
      <c r="T52" s="1781"/>
      <c r="U52" s="1781"/>
      <c r="V52" s="1781"/>
      <c r="W52" s="1781"/>
      <c r="X52" s="1781"/>
      <c r="Y52" s="1781"/>
      <c r="Z52" s="1781"/>
      <c r="AA52" s="1781"/>
      <c r="AB52" s="1781"/>
      <c r="AC52" s="1781"/>
      <c r="AD52" s="1781"/>
      <c r="AE52" s="1781"/>
      <c r="AF52" s="1781"/>
      <c r="AG52" s="1781"/>
      <c r="AH52" s="1781"/>
      <c r="AI52" s="1781"/>
      <c r="AJ52" s="1781"/>
      <c r="AK52" s="1781"/>
      <c r="AL52" s="1781"/>
      <c r="AM52" s="1781"/>
      <c r="AN52" s="1781"/>
      <c r="AO52" s="1781"/>
      <c r="AP52" s="1781"/>
      <c r="AQ52" s="1781"/>
      <c r="AR52" s="1781"/>
      <c r="AS52" s="1781"/>
      <c r="AT52" s="1781"/>
      <c r="AU52" s="1781"/>
      <c r="AV52" s="1781"/>
      <c r="AW52" s="1781"/>
      <c r="AX52" s="1781"/>
      <c r="AY52" s="1781"/>
      <c r="AZ52" s="1781"/>
      <c r="BA52" s="1781"/>
      <c r="BB52" s="1781"/>
      <c r="BC52" s="1781"/>
      <c r="BD52" s="292"/>
      <c r="BE52" s="292"/>
      <c r="BF52" s="292"/>
    </row>
    <row r="53" spans="1:58" s="203" customFormat="1" ht="18" hidden="1" customHeight="1" outlineLevel="1" x14ac:dyDescent="0.35">
      <c r="B53" s="284" t="s">
        <v>673</v>
      </c>
      <c r="C53" s="1776">
        <f>IF(SUM(C81)&lt;100%,0,100%)</f>
        <v>0</v>
      </c>
      <c r="D53" s="1777">
        <f>IF(SUM($C81:D81)&lt;100%,0,100%)</f>
        <v>0</v>
      </c>
      <c r="E53" s="1776">
        <v>0.5</v>
      </c>
      <c r="F53" s="1776">
        <f t="shared" ref="F53:Q53" si="31">IF(SUM($C81:F81)&lt;100%,0,100%)</f>
        <v>1</v>
      </c>
      <c r="G53" s="1776">
        <f t="shared" si="31"/>
        <v>1</v>
      </c>
      <c r="H53" s="1776">
        <f t="shared" si="31"/>
        <v>1</v>
      </c>
      <c r="I53" s="1776">
        <f t="shared" si="31"/>
        <v>1</v>
      </c>
      <c r="J53" s="1776">
        <f t="shared" si="31"/>
        <v>1</v>
      </c>
      <c r="K53" s="1776">
        <f t="shared" si="31"/>
        <v>1</v>
      </c>
      <c r="L53" s="1776">
        <f t="shared" si="31"/>
        <v>1</v>
      </c>
      <c r="M53" s="1776">
        <f t="shared" si="31"/>
        <v>1</v>
      </c>
      <c r="N53" s="1776">
        <f t="shared" si="31"/>
        <v>1</v>
      </c>
      <c r="O53" s="1776">
        <f t="shared" si="31"/>
        <v>1</v>
      </c>
      <c r="P53" s="1776">
        <f t="shared" si="31"/>
        <v>1</v>
      </c>
      <c r="Q53" s="1776">
        <f t="shared" si="31"/>
        <v>1</v>
      </c>
      <c r="R53" s="1776"/>
      <c r="S53" s="1776"/>
      <c r="T53" s="1776"/>
      <c r="U53" s="1776"/>
      <c r="V53" s="1776"/>
      <c r="W53" s="1776"/>
      <c r="X53" s="1776"/>
      <c r="Y53" s="1776"/>
      <c r="Z53" s="1776"/>
      <c r="AA53" s="1776"/>
      <c r="AB53" s="1776"/>
      <c r="AC53" s="1776"/>
      <c r="AD53" s="1776"/>
      <c r="AE53" s="1776"/>
      <c r="AF53" s="1776"/>
      <c r="AG53" s="1776"/>
      <c r="AH53" s="1776"/>
      <c r="AI53" s="1776"/>
      <c r="AJ53" s="1776"/>
      <c r="AK53" s="1776"/>
      <c r="AL53" s="1776"/>
      <c r="AM53" s="1776"/>
      <c r="AN53" s="1776"/>
      <c r="AO53" s="1776"/>
      <c r="AP53" s="1776"/>
      <c r="AQ53" s="1776"/>
      <c r="AR53" s="1776"/>
      <c r="AS53" s="1776"/>
      <c r="AT53" s="1776"/>
      <c r="AU53" s="1776"/>
      <c r="AV53" s="1776"/>
      <c r="AW53" s="1776"/>
      <c r="AX53" s="1776"/>
      <c r="AY53" s="1776"/>
      <c r="AZ53" s="1776"/>
      <c r="BA53" s="1776"/>
      <c r="BB53" s="1776"/>
      <c r="BC53" s="1776"/>
      <c r="BD53" s="292"/>
      <c r="BE53" s="292"/>
      <c r="BF53" s="292"/>
    </row>
    <row r="54" spans="1:58" s="203" customFormat="1" ht="18" hidden="1" customHeight="1" outlineLevel="1" x14ac:dyDescent="0.35">
      <c r="B54" s="284" t="s">
        <v>674</v>
      </c>
      <c r="C54" s="1778">
        <f>C53*$D$52</f>
        <v>0</v>
      </c>
      <c r="D54" s="1779">
        <f t="shared" ref="D54:Q54" si="32">D53*$D$52*(1+$C$8)</f>
        <v>0</v>
      </c>
      <c r="E54" s="1780">
        <f t="shared" si="32"/>
        <v>114390.85799999998</v>
      </c>
      <c r="F54" s="1780">
        <f t="shared" si="32"/>
        <v>228781.71599999996</v>
      </c>
      <c r="G54" s="1780">
        <f t="shared" si="32"/>
        <v>228781.71599999996</v>
      </c>
      <c r="H54" s="1780">
        <f t="shared" si="32"/>
        <v>228781.71599999996</v>
      </c>
      <c r="I54" s="1780">
        <f t="shared" si="32"/>
        <v>228781.71599999996</v>
      </c>
      <c r="J54" s="1780">
        <f t="shared" si="32"/>
        <v>228781.71599999996</v>
      </c>
      <c r="K54" s="1780">
        <f t="shared" si="32"/>
        <v>228781.71599999996</v>
      </c>
      <c r="L54" s="1780">
        <f t="shared" si="32"/>
        <v>228781.71599999996</v>
      </c>
      <c r="M54" s="1780">
        <f t="shared" si="32"/>
        <v>228781.71599999996</v>
      </c>
      <c r="N54" s="1780">
        <f t="shared" si="32"/>
        <v>228781.71599999996</v>
      </c>
      <c r="O54" s="1780">
        <f t="shared" si="32"/>
        <v>228781.71599999996</v>
      </c>
      <c r="P54" s="1780">
        <f t="shared" si="32"/>
        <v>228781.71599999996</v>
      </c>
      <c r="Q54" s="1780">
        <f t="shared" si="32"/>
        <v>228781.71599999996</v>
      </c>
      <c r="R54" s="1780">
        <f t="shared" ref="R54:BC54" si="33">Q54*(1+$C$8)</f>
        <v>228781.71599999996</v>
      </c>
      <c r="S54" s="1780">
        <f t="shared" si="33"/>
        <v>228781.71599999996</v>
      </c>
      <c r="T54" s="1780">
        <f t="shared" si="33"/>
        <v>228781.71599999996</v>
      </c>
      <c r="U54" s="1780">
        <f t="shared" si="33"/>
        <v>228781.71599999996</v>
      </c>
      <c r="V54" s="1780">
        <f t="shared" si="33"/>
        <v>228781.71599999996</v>
      </c>
      <c r="W54" s="1780">
        <f t="shared" si="33"/>
        <v>228781.71599999996</v>
      </c>
      <c r="X54" s="1780">
        <f t="shared" si="33"/>
        <v>228781.71599999996</v>
      </c>
      <c r="Y54" s="1780">
        <f t="shared" si="33"/>
        <v>228781.71599999996</v>
      </c>
      <c r="Z54" s="1780">
        <f t="shared" si="33"/>
        <v>228781.71599999996</v>
      </c>
      <c r="AA54" s="1780">
        <f t="shared" si="33"/>
        <v>228781.71599999996</v>
      </c>
      <c r="AB54" s="1780">
        <f t="shared" si="33"/>
        <v>228781.71599999996</v>
      </c>
      <c r="AC54" s="1780">
        <f t="shared" si="33"/>
        <v>228781.71599999996</v>
      </c>
      <c r="AD54" s="1780">
        <f t="shared" si="33"/>
        <v>228781.71599999996</v>
      </c>
      <c r="AE54" s="1780">
        <f t="shared" si="33"/>
        <v>228781.71599999996</v>
      </c>
      <c r="AF54" s="1780">
        <f t="shared" si="33"/>
        <v>228781.71599999996</v>
      </c>
      <c r="AG54" s="1780">
        <f t="shared" si="33"/>
        <v>228781.71599999996</v>
      </c>
      <c r="AH54" s="1780">
        <f t="shared" si="33"/>
        <v>228781.71599999996</v>
      </c>
      <c r="AI54" s="1780">
        <f t="shared" si="33"/>
        <v>228781.71599999996</v>
      </c>
      <c r="AJ54" s="1780">
        <f t="shared" si="33"/>
        <v>228781.71599999996</v>
      </c>
      <c r="AK54" s="1780">
        <f t="shared" si="33"/>
        <v>228781.71599999996</v>
      </c>
      <c r="AL54" s="1780">
        <f t="shared" si="33"/>
        <v>228781.71599999996</v>
      </c>
      <c r="AM54" s="1780">
        <f t="shared" si="33"/>
        <v>228781.71599999996</v>
      </c>
      <c r="AN54" s="1780">
        <f t="shared" si="33"/>
        <v>228781.71599999996</v>
      </c>
      <c r="AO54" s="1780">
        <f t="shared" si="33"/>
        <v>228781.71599999996</v>
      </c>
      <c r="AP54" s="1780">
        <f t="shared" si="33"/>
        <v>228781.71599999996</v>
      </c>
      <c r="AQ54" s="1780">
        <f t="shared" si="33"/>
        <v>228781.71599999996</v>
      </c>
      <c r="AR54" s="1780">
        <f t="shared" si="33"/>
        <v>228781.71599999996</v>
      </c>
      <c r="AS54" s="1780">
        <f t="shared" si="33"/>
        <v>228781.71599999996</v>
      </c>
      <c r="AT54" s="1780">
        <f t="shared" si="33"/>
        <v>228781.71599999996</v>
      </c>
      <c r="AU54" s="1780">
        <f t="shared" si="33"/>
        <v>228781.71599999996</v>
      </c>
      <c r="AV54" s="1780">
        <f t="shared" si="33"/>
        <v>228781.71599999996</v>
      </c>
      <c r="AW54" s="1780">
        <f t="shared" si="33"/>
        <v>228781.71599999996</v>
      </c>
      <c r="AX54" s="1780">
        <f t="shared" si="33"/>
        <v>228781.71599999996</v>
      </c>
      <c r="AY54" s="1780">
        <f t="shared" si="33"/>
        <v>228781.71599999996</v>
      </c>
      <c r="AZ54" s="1780">
        <f t="shared" si="33"/>
        <v>228781.71599999996</v>
      </c>
      <c r="BA54" s="1780">
        <f t="shared" si="33"/>
        <v>228781.71599999996</v>
      </c>
      <c r="BB54" s="1780">
        <f t="shared" si="33"/>
        <v>228781.71599999996</v>
      </c>
      <c r="BC54" s="1780">
        <f t="shared" si="33"/>
        <v>228781.71599999996</v>
      </c>
      <c r="BD54" s="297"/>
      <c r="BE54" s="297"/>
      <c r="BF54" s="297"/>
    </row>
    <row r="55" spans="1:58" s="203" customFormat="1" ht="18" hidden="1" customHeight="1" outlineLevel="1" x14ac:dyDescent="0.35">
      <c r="B55" s="859" t="str">
        <f t="shared" ref="B55:C55" si="34">B83</f>
        <v>Incineração</v>
      </c>
      <c r="C55" s="1768" t="str">
        <f t="shared" si="34"/>
        <v>Sim</v>
      </c>
      <c r="D55" s="1768">
        <f>'R&amp;C-Painel de Controle'!H71</f>
        <v>205663.53600000008</v>
      </c>
      <c r="E55" s="1781"/>
      <c r="F55" s="1781"/>
      <c r="G55" s="1781"/>
      <c r="H55" s="1781"/>
      <c r="I55" s="1781"/>
      <c r="J55" s="1781"/>
      <c r="K55" s="1781"/>
      <c r="L55" s="1781"/>
      <c r="M55" s="1781"/>
      <c r="N55" s="1781"/>
      <c r="O55" s="1781"/>
      <c r="P55" s="1781"/>
      <c r="Q55" s="1781"/>
      <c r="R55" s="1781"/>
      <c r="S55" s="1781"/>
      <c r="T55" s="1781"/>
      <c r="U55" s="1781"/>
      <c r="V55" s="1781"/>
      <c r="W55" s="1781"/>
      <c r="X55" s="1781"/>
      <c r="Y55" s="1781"/>
      <c r="Z55" s="1781"/>
      <c r="AA55" s="1781"/>
      <c r="AB55" s="1781"/>
      <c r="AC55" s="1781"/>
      <c r="AD55" s="1781"/>
      <c r="AE55" s="1781"/>
      <c r="AF55" s="1781"/>
      <c r="AG55" s="1781"/>
      <c r="AH55" s="1781"/>
      <c r="AI55" s="1781"/>
      <c r="AJ55" s="1781"/>
      <c r="AK55" s="1781"/>
      <c r="AL55" s="1781"/>
      <c r="AM55" s="1781"/>
      <c r="AN55" s="1781"/>
      <c r="AO55" s="1781"/>
      <c r="AP55" s="1781"/>
      <c r="AQ55" s="1781"/>
      <c r="AR55" s="1781"/>
      <c r="AS55" s="1781"/>
      <c r="AT55" s="1781"/>
      <c r="AU55" s="1781"/>
      <c r="AV55" s="1781"/>
      <c r="AW55" s="1781"/>
      <c r="AX55" s="1781"/>
      <c r="AY55" s="1781"/>
      <c r="AZ55" s="1781"/>
      <c r="BA55" s="1781"/>
      <c r="BB55" s="1781"/>
      <c r="BC55" s="1781"/>
      <c r="BD55" s="292"/>
      <c r="BE55" s="292"/>
      <c r="BF55" s="292"/>
    </row>
    <row r="56" spans="1:58" s="203" customFormat="1" ht="18" hidden="1" customHeight="1" outlineLevel="1" x14ac:dyDescent="0.35">
      <c r="B56" s="284" t="s">
        <v>673</v>
      </c>
      <c r="C56" s="1776">
        <f>IF(SUM(C84)&lt;100%,0,100%)</f>
        <v>0</v>
      </c>
      <c r="D56" s="1777">
        <f>IF(SUM($C84:D84)&lt;100%,0,100%)</f>
        <v>0</v>
      </c>
      <c r="E56" s="1776">
        <v>0.5</v>
      </c>
      <c r="F56" s="1776">
        <f t="shared" ref="F56:Q56" si="35">IF(SUM($C84:F84)&lt;100%,0,100%)</f>
        <v>1</v>
      </c>
      <c r="G56" s="1776">
        <f t="shared" si="35"/>
        <v>1</v>
      </c>
      <c r="H56" s="1776">
        <f t="shared" si="35"/>
        <v>1</v>
      </c>
      <c r="I56" s="1776">
        <f t="shared" si="35"/>
        <v>1</v>
      </c>
      <c r="J56" s="1776">
        <f t="shared" si="35"/>
        <v>1</v>
      </c>
      <c r="K56" s="1776">
        <f t="shared" si="35"/>
        <v>1</v>
      </c>
      <c r="L56" s="1776">
        <f t="shared" si="35"/>
        <v>1</v>
      </c>
      <c r="M56" s="1776">
        <f t="shared" si="35"/>
        <v>1</v>
      </c>
      <c r="N56" s="1776">
        <f t="shared" si="35"/>
        <v>1</v>
      </c>
      <c r="O56" s="1776">
        <f t="shared" si="35"/>
        <v>1</v>
      </c>
      <c r="P56" s="1776">
        <f t="shared" si="35"/>
        <v>1</v>
      </c>
      <c r="Q56" s="1776">
        <f t="shared" si="35"/>
        <v>1</v>
      </c>
      <c r="R56" s="1781"/>
      <c r="S56" s="1781"/>
      <c r="T56" s="1781"/>
      <c r="U56" s="1781"/>
      <c r="V56" s="1781"/>
      <c r="W56" s="1781"/>
      <c r="X56" s="1781"/>
      <c r="Y56" s="1781"/>
      <c r="Z56" s="1781"/>
      <c r="AA56" s="1781"/>
      <c r="AB56" s="1781"/>
      <c r="AC56" s="1781"/>
      <c r="AD56" s="1781"/>
      <c r="AE56" s="1781"/>
      <c r="AF56" s="1781"/>
      <c r="AG56" s="1781"/>
      <c r="AH56" s="1781"/>
      <c r="AI56" s="1781"/>
      <c r="AJ56" s="1781"/>
      <c r="AK56" s="1781"/>
      <c r="AL56" s="1781"/>
      <c r="AM56" s="1781"/>
      <c r="AN56" s="1781"/>
      <c r="AO56" s="1781"/>
      <c r="AP56" s="1781"/>
      <c r="AQ56" s="1781"/>
      <c r="AR56" s="1781"/>
      <c r="AS56" s="1781"/>
      <c r="AT56" s="1781"/>
      <c r="AU56" s="1781"/>
      <c r="AV56" s="1781"/>
      <c r="AW56" s="1781"/>
      <c r="AX56" s="1781"/>
      <c r="AY56" s="1781"/>
      <c r="AZ56" s="1781"/>
      <c r="BA56" s="1781"/>
      <c r="BB56" s="1781"/>
      <c r="BC56" s="1782"/>
      <c r="BD56" s="292"/>
      <c r="BE56" s="292"/>
      <c r="BF56" s="292"/>
    </row>
    <row r="57" spans="1:58" s="203" customFormat="1" ht="18" hidden="1" customHeight="1" outlineLevel="1" x14ac:dyDescent="0.35">
      <c r="B57" s="284" t="s">
        <v>674</v>
      </c>
      <c r="C57" s="1778">
        <f>C56*$D$55</f>
        <v>0</v>
      </c>
      <c r="D57" s="1779">
        <f t="shared" ref="D57:Q57" si="36">D56*$D$55*(1+$C$8)</f>
        <v>0</v>
      </c>
      <c r="E57" s="1780">
        <f t="shared" si="36"/>
        <v>102831.76800000004</v>
      </c>
      <c r="F57" s="1780">
        <f t="shared" si="36"/>
        <v>205663.53600000008</v>
      </c>
      <c r="G57" s="1780">
        <f t="shared" si="36"/>
        <v>205663.53600000008</v>
      </c>
      <c r="H57" s="1780">
        <f t="shared" si="36"/>
        <v>205663.53600000008</v>
      </c>
      <c r="I57" s="1780">
        <f t="shared" si="36"/>
        <v>205663.53600000008</v>
      </c>
      <c r="J57" s="1780">
        <f t="shared" si="36"/>
        <v>205663.53600000008</v>
      </c>
      <c r="K57" s="1780">
        <f t="shared" si="36"/>
        <v>205663.53600000008</v>
      </c>
      <c r="L57" s="1780">
        <f t="shared" si="36"/>
        <v>205663.53600000008</v>
      </c>
      <c r="M57" s="1780">
        <f t="shared" si="36"/>
        <v>205663.53600000008</v>
      </c>
      <c r="N57" s="1780">
        <f t="shared" si="36"/>
        <v>205663.53600000008</v>
      </c>
      <c r="O57" s="1780">
        <f t="shared" si="36"/>
        <v>205663.53600000008</v>
      </c>
      <c r="P57" s="1780">
        <f t="shared" si="36"/>
        <v>205663.53600000008</v>
      </c>
      <c r="Q57" s="1780">
        <f t="shared" si="36"/>
        <v>205663.53600000008</v>
      </c>
      <c r="R57" s="1780">
        <f t="shared" ref="R57:BC57" si="37">Q57*(1+$C$8)</f>
        <v>205663.53600000008</v>
      </c>
      <c r="S57" s="1780">
        <f t="shared" si="37"/>
        <v>205663.53600000008</v>
      </c>
      <c r="T57" s="1780">
        <f t="shared" si="37"/>
        <v>205663.53600000008</v>
      </c>
      <c r="U57" s="1780">
        <f t="shared" si="37"/>
        <v>205663.53600000008</v>
      </c>
      <c r="V57" s="1780">
        <f t="shared" si="37"/>
        <v>205663.53600000008</v>
      </c>
      <c r="W57" s="1780">
        <f t="shared" si="37"/>
        <v>205663.53600000008</v>
      </c>
      <c r="X57" s="1780">
        <f t="shared" si="37"/>
        <v>205663.53600000008</v>
      </c>
      <c r="Y57" s="1780">
        <f t="shared" si="37"/>
        <v>205663.53600000008</v>
      </c>
      <c r="Z57" s="1780">
        <f t="shared" si="37"/>
        <v>205663.53600000008</v>
      </c>
      <c r="AA57" s="1780">
        <f t="shared" si="37"/>
        <v>205663.53600000008</v>
      </c>
      <c r="AB57" s="1780">
        <f t="shared" si="37"/>
        <v>205663.53600000008</v>
      </c>
      <c r="AC57" s="1780">
        <f t="shared" si="37"/>
        <v>205663.53600000008</v>
      </c>
      <c r="AD57" s="1780">
        <f t="shared" si="37"/>
        <v>205663.53600000008</v>
      </c>
      <c r="AE57" s="1780">
        <f t="shared" si="37"/>
        <v>205663.53600000008</v>
      </c>
      <c r="AF57" s="1780">
        <f t="shared" si="37"/>
        <v>205663.53600000008</v>
      </c>
      <c r="AG57" s="1780">
        <f t="shared" si="37"/>
        <v>205663.53600000008</v>
      </c>
      <c r="AH57" s="1780">
        <f t="shared" si="37"/>
        <v>205663.53600000008</v>
      </c>
      <c r="AI57" s="1780">
        <f t="shared" si="37"/>
        <v>205663.53600000008</v>
      </c>
      <c r="AJ57" s="1780">
        <f t="shared" si="37"/>
        <v>205663.53600000008</v>
      </c>
      <c r="AK57" s="1780">
        <f t="shared" si="37"/>
        <v>205663.53600000008</v>
      </c>
      <c r="AL57" s="1780">
        <f t="shared" si="37"/>
        <v>205663.53600000008</v>
      </c>
      <c r="AM57" s="1780">
        <f t="shared" si="37"/>
        <v>205663.53600000008</v>
      </c>
      <c r="AN57" s="1780">
        <f t="shared" si="37"/>
        <v>205663.53600000008</v>
      </c>
      <c r="AO57" s="1780">
        <f t="shared" si="37"/>
        <v>205663.53600000008</v>
      </c>
      <c r="AP57" s="1780">
        <f t="shared" si="37"/>
        <v>205663.53600000008</v>
      </c>
      <c r="AQ57" s="1780">
        <f t="shared" si="37"/>
        <v>205663.53600000008</v>
      </c>
      <c r="AR57" s="1780">
        <f t="shared" si="37"/>
        <v>205663.53600000008</v>
      </c>
      <c r="AS57" s="1780">
        <f t="shared" si="37"/>
        <v>205663.53600000008</v>
      </c>
      <c r="AT57" s="1780">
        <f t="shared" si="37"/>
        <v>205663.53600000008</v>
      </c>
      <c r="AU57" s="1780">
        <f t="shared" si="37"/>
        <v>205663.53600000008</v>
      </c>
      <c r="AV57" s="1780">
        <f t="shared" si="37"/>
        <v>205663.53600000008</v>
      </c>
      <c r="AW57" s="1780">
        <f t="shared" si="37"/>
        <v>205663.53600000008</v>
      </c>
      <c r="AX57" s="1780">
        <f t="shared" si="37"/>
        <v>205663.53600000008</v>
      </c>
      <c r="AY57" s="1780">
        <f t="shared" si="37"/>
        <v>205663.53600000008</v>
      </c>
      <c r="AZ57" s="1780">
        <f t="shared" si="37"/>
        <v>205663.53600000008</v>
      </c>
      <c r="BA57" s="1780">
        <f t="shared" si="37"/>
        <v>205663.53600000008</v>
      </c>
      <c r="BB57" s="1780">
        <f t="shared" si="37"/>
        <v>205663.53600000008</v>
      </c>
      <c r="BC57" s="1780">
        <f t="shared" si="37"/>
        <v>205663.53600000008</v>
      </c>
      <c r="BD57" s="297"/>
      <c r="BE57" s="297"/>
      <c r="BF57" s="297"/>
    </row>
    <row r="58" spans="1:58" s="203" customFormat="1" ht="18" hidden="1" customHeight="1" outlineLevel="1" x14ac:dyDescent="0.35">
      <c r="B58" s="859" t="str">
        <f t="shared" ref="B58:C58" si="38">B86</f>
        <v>Aterro Sanitário</v>
      </c>
      <c r="C58" s="1768" t="str">
        <f t="shared" si="38"/>
        <v>Sim</v>
      </c>
      <c r="D58" s="1768">
        <f>'R&amp;C-Painel de Controle'!H74</f>
        <v>358168.59179999999</v>
      </c>
      <c r="E58" s="1781"/>
      <c r="F58" s="1781"/>
      <c r="G58" s="1781"/>
      <c r="H58" s="1781"/>
      <c r="I58" s="1781"/>
      <c r="J58" s="1781"/>
      <c r="K58" s="1781"/>
      <c r="L58" s="1781"/>
      <c r="M58" s="1781"/>
      <c r="N58" s="1781"/>
      <c r="O58" s="1781"/>
      <c r="P58" s="1781"/>
      <c r="Q58" s="1781"/>
      <c r="R58" s="1781"/>
      <c r="S58" s="1781"/>
      <c r="T58" s="1781"/>
      <c r="U58" s="1781"/>
      <c r="V58" s="1781"/>
      <c r="W58" s="1781"/>
      <c r="X58" s="1781"/>
      <c r="Y58" s="1781"/>
      <c r="Z58" s="1781"/>
      <c r="AA58" s="1781"/>
      <c r="AB58" s="1781"/>
      <c r="AC58" s="1781"/>
      <c r="AD58" s="1781"/>
      <c r="AE58" s="1781"/>
      <c r="AF58" s="1781"/>
      <c r="AG58" s="1781"/>
      <c r="AH58" s="1781"/>
      <c r="AI58" s="1781"/>
      <c r="AJ58" s="1781"/>
      <c r="AK58" s="1781"/>
      <c r="AL58" s="1781"/>
      <c r="AM58" s="1781"/>
      <c r="AN58" s="1781"/>
      <c r="AO58" s="1781"/>
      <c r="AP58" s="1781"/>
      <c r="AQ58" s="1781"/>
      <c r="AR58" s="1781"/>
      <c r="AS58" s="1781"/>
      <c r="AT58" s="1781"/>
      <c r="AU58" s="1781"/>
      <c r="AV58" s="1781"/>
      <c r="AW58" s="1781"/>
      <c r="AX58" s="1781"/>
      <c r="AY58" s="1781"/>
      <c r="AZ58" s="1781"/>
      <c r="BA58" s="1781"/>
      <c r="BB58" s="1781"/>
      <c r="BC58" s="1781"/>
      <c r="BD58" s="292"/>
      <c r="BE58" s="292"/>
      <c r="BF58" s="292"/>
    </row>
    <row r="59" spans="1:58" s="203" customFormat="1" ht="18" hidden="1" customHeight="1" outlineLevel="1" x14ac:dyDescent="0.35">
      <c r="B59" s="284" t="s">
        <v>673</v>
      </c>
      <c r="C59" s="1776">
        <f>IF(SUM(C87)&lt;100%,0,100%)</f>
        <v>0</v>
      </c>
      <c r="D59" s="1777">
        <f>IF(SUM($C87:D87)&lt;100%,0,100%)</f>
        <v>0</v>
      </c>
      <c r="E59" s="1776">
        <v>0.5</v>
      </c>
      <c r="F59" s="1776">
        <f t="shared" ref="F59:Q59" si="39">IF(SUM($C87:F87)&lt;100%,0,100%)</f>
        <v>1</v>
      </c>
      <c r="G59" s="1776">
        <f t="shared" si="39"/>
        <v>1</v>
      </c>
      <c r="H59" s="1776">
        <f t="shared" si="39"/>
        <v>1</v>
      </c>
      <c r="I59" s="1776">
        <f t="shared" si="39"/>
        <v>1</v>
      </c>
      <c r="J59" s="1776">
        <f t="shared" si="39"/>
        <v>1</v>
      </c>
      <c r="K59" s="1776">
        <f t="shared" si="39"/>
        <v>1</v>
      </c>
      <c r="L59" s="1776">
        <f t="shared" si="39"/>
        <v>1</v>
      </c>
      <c r="M59" s="1776">
        <f t="shared" si="39"/>
        <v>1</v>
      </c>
      <c r="N59" s="1776">
        <f t="shared" si="39"/>
        <v>1</v>
      </c>
      <c r="O59" s="1776">
        <f t="shared" si="39"/>
        <v>1</v>
      </c>
      <c r="P59" s="1776">
        <f t="shared" si="39"/>
        <v>1</v>
      </c>
      <c r="Q59" s="1776">
        <f t="shared" si="39"/>
        <v>1</v>
      </c>
      <c r="R59" s="1781"/>
      <c r="S59" s="1781"/>
      <c r="T59" s="1781"/>
      <c r="U59" s="1781"/>
      <c r="V59" s="1781"/>
      <c r="W59" s="1781"/>
      <c r="X59" s="1781"/>
      <c r="Y59" s="1781"/>
      <c r="Z59" s="1781"/>
      <c r="AA59" s="1781"/>
      <c r="AB59" s="1781"/>
      <c r="AC59" s="1781"/>
      <c r="AD59" s="1781"/>
      <c r="AE59" s="1781"/>
      <c r="AF59" s="1781"/>
      <c r="AG59" s="1781"/>
      <c r="AH59" s="1781"/>
      <c r="AI59" s="1781"/>
      <c r="AJ59" s="1781"/>
      <c r="AK59" s="1781"/>
      <c r="AL59" s="1781"/>
      <c r="AM59" s="1781"/>
      <c r="AN59" s="1781"/>
      <c r="AO59" s="1781"/>
      <c r="AP59" s="1781"/>
      <c r="AQ59" s="1781"/>
      <c r="AR59" s="1781"/>
      <c r="AS59" s="1781"/>
      <c r="AT59" s="1781"/>
      <c r="AU59" s="1781"/>
      <c r="AV59" s="1781"/>
      <c r="AW59" s="1781"/>
      <c r="AX59" s="1781"/>
      <c r="AY59" s="1781"/>
      <c r="AZ59" s="1781"/>
      <c r="BA59" s="1781"/>
      <c r="BB59" s="1781"/>
      <c r="BC59" s="1781"/>
      <c r="BD59" s="292"/>
      <c r="BE59" s="292"/>
      <c r="BF59" s="292"/>
    </row>
    <row r="60" spans="1:58" s="203" customFormat="1" ht="18" hidden="1" customHeight="1" outlineLevel="1" x14ac:dyDescent="0.35">
      <c r="B60" s="284" t="s">
        <v>674</v>
      </c>
      <c r="C60" s="1778">
        <f>C59*$D$58</f>
        <v>0</v>
      </c>
      <c r="D60" s="1779">
        <f t="shared" ref="D60:Q60" si="40">D59*$D$58*(1+$C$8)</f>
        <v>0</v>
      </c>
      <c r="E60" s="1780">
        <f t="shared" si="40"/>
        <v>179084.2959</v>
      </c>
      <c r="F60" s="1780">
        <f t="shared" si="40"/>
        <v>358168.59179999999</v>
      </c>
      <c r="G60" s="1780">
        <f t="shared" si="40"/>
        <v>358168.59179999999</v>
      </c>
      <c r="H60" s="1780">
        <f t="shared" si="40"/>
        <v>358168.59179999999</v>
      </c>
      <c r="I60" s="1780">
        <f t="shared" si="40"/>
        <v>358168.59179999999</v>
      </c>
      <c r="J60" s="1780">
        <f t="shared" si="40"/>
        <v>358168.59179999999</v>
      </c>
      <c r="K60" s="1780">
        <f t="shared" si="40"/>
        <v>358168.59179999999</v>
      </c>
      <c r="L60" s="1780">
        <f t="shared" si="40"/>
        <v>358168.59179999999</v>
      </c>
      <c r="M60" s="1780">
        <f t="shared" si="40"/>
        <v>358168.59179999999</v>
      </c>
      <c r="N60" s="1780">
        <f t="shared" si="40"/>
        <v>358168.59179999999</v>
      </c>
      <c r="O60" s="1780">
        <f t="shared" si="40"/>
        <v>358168.59179999999</v>
      </c>
      <c r="P60" s="1780">
        <f t="shared" si="40"/>
        <v>358168.59179999999</v>
      </c>
      <c r="Q60" s="1780">
        <f t="shared" si="40"/>
        <v>358168.59179999999</v>
      </c>
      <c r="R60" s="1780">
        <f t="shared" ref="R60:BC60" si="41">Q60*(1+$C$8)</f>
        <v>358168.59179999999</v>
      </c>
      <c r="S60" s="1780">
        <f t="shared" si="41"/>
        <v>358168.59179999999</v>
      </c>
      <c r="T60" s="1780">
        <f t="shared" si="41"/>
        <v>358168.59179999999</v>
      </c>
      <c r="U60" s="1780">
        <f t="shared" si="41"/>
        <v>358168.59179999999</v>
      </c>
      <c r="V60" s="1780">
        <f t="shared" si="41"/>
        <v>358168.59179999999</v>
      </c>
      <c r="W60" s="1780">
        <f t="shared" si="41"/>
        <v>358168.59179999999</v>
      </c>
      <c r="X60" s="1780">
        <f t="shared" si="41"/>
        <v>358168.59179999999</v>
      </c>
      <c r="Y60" s="1780">
        <f t="shared" si="41"/>
        <v>358168.59179999999</v>
      </c>
      <c r="Z60" s="1780">
        <f t="shared" si="41"/>
        <v>358168.59179999999</v>
      </c>
      <c r="AA60" s="1780">
        <f t="shared" si="41"/>
        <v>358168.59179999999</v>
      </c>
      <c r="AB60" s="1780">
        <f t="shared" si="41"/>
        <v>358168.59179999999</v>
      </c>
      <c r="AC60" s="1780">
        <f t="shared" si="41"/>
        <v>358168.59179999999</v>
      </c>
      <c r="AD60" s="1780">
        <f t="shared" si="41"/>
        <v>358168.59179999999</v>
      </c>
      <c r="AE60" s="1780">
        <f t="shared" si="41"/>
        <v>358168.59179999999</v>
      </c>
      <c r="AF60" s="1780">
        <f t="shared" si="41"/>
        <v>358168.59179999999</v>
      </c>
      <c r="AG60" s="1780">
        <f t="shared" si="41"/>
        <v>358168.59179999999</v>
      </c>
      <c r="AH60" s="1780">
        <f t="shared" si="41"/>
        <v>358168.59179999999</v>
      </c>
      <c r="AI60" s="1780">
        <f t="shared" si="41"/>
        <v>358168.59179999999</v>
      </c>
      <c r="AJ60" s="1780">
        <f t="shared" si="41"/>
        <v>358168.59179999999</v>
      </c>
      <c r="AK60" s="1780">
        <f t="shared" si="41"/>
        <v>358168.59179999999</v>
      </c>
      <c r="AL60" s="1780">
        <f t="shared" si="41"/>
        <v>358168.59179999999</v>
      </c>
      <c r="AM60" s="1780">
        <f t="shared" si="41"/>
        <v>358168.59179999999</v>
      </c>
      <c r="AN60" s="1780">
        <f t="shared" si="41"/>
        <v>358168.59179999999</v>
      </c>
      <c r="AO60" s="1780">
        <f t="shared" si="41"/>
        <v>358168.59179999999</v>
      </c>
      <c r="AP60" s="1780">
        <f t="shared" si="41"/>
        <v>358168.59179999999</v>
      </c>
      <c r="AQ60" s="1780">
        <f t="shared" si="41"/>
        <v>358168.59179999999</v>
      </c>
      <c r="AR60" s="1780">
        <f t="shared" si="41"/>
        <v>358168.59179999999</v>
      </c>
      <c r="AS60" s="1780">
        <f t="shared" si="41"/>
        <v>358168.59179999999</v>
      </c>
      <c r="AT60" s="1780">
        <f t="shared" si="41"/>
        <v>358168.59179999999</v>
      </c>
      <c r="AU60" s="1780">
        <f t="shared" si="41"/>
        <v>358168.59179999999</v>
      </c>
      <c r="AV60" s="1780">
        <f t="shared" si="41"/>
        <v>358168.59179999999</v>
      </c>
      <c r="AW60" s="1780">
        <f t="shared" si="41"/>
        <v>358168.59179999999</v>
      </c>
      <c r="AX60" s="1780">
        <f t="shared" si="41"/>
        <v>358168.59179999999</v>
      </c>
      <c r="AY60" s="1780">
        <f t="shared" si="41"/>
        <v>358168.59179999999</v>
      </c>
      <c r="AZ60" s="1780">
        <f t="shared" si="41"/>
        <v>358168.59179999999</v>
      </c>
      <c r="BA60" s="1780">
        <f t="shared" si="41"/>
        <v>358168.59179999999</v>
      </c>
      <c r="BB60" s="1780">
        <f t="shared" si="41"/>
        <v>358168.59179999999</v>
      </c>
      <c r="BC60" s="1780">
        <f t="shared" si="41"/>
        <v>358168.59179999999</v>
      </c>
      <c r="BD60" s="297"/>
      <c r="BE60" s="297"/>
      <c r="BF60" s="297"/>
    </row>
    <row r="61" spans="1:58" s="203" customFormat="1" ht="18" hidden="1" customHeight="1" outlineLevel="1" x14ac:dyDescent="0.35">
      <c r="B61" s="859" t="s">
        <v>675</v>
      </c>
      <c r="C61" s="1783">
        <f t="shared" ref="C61:D61" si="42">C35</f>
        <v>939000</v>
      </c>
      <c r="D61" s="1784">
        <f t="shared" si="42"/>
        <v>939000</v>
      </c>
      <c r="E61" s="1783">
        <f>'R&amp;C-Painel de Controle'!D47</f>
        <v>300480</v>
      </c>
      <c r="F61" s="1783">
        <f t="shared" ref="F61:Q61" si="43">E61*(1+$C$8)</f>
        <v>300480</v>
      </c>
      <c r="G61" s="1783">
        <f t="shared" si="43"/>
        <v>300480</v>
      </c>
      <c r="H61" s="1783">
        <f t="shared" si="43"/>
        <v>300480</v>
      </c>
      <c r="I61" s="1783">
        <f t="shared" si="43"/>
        <v>300480</v>
      </c>
      <c r="J61" s="1783">
        <f t="shared" si="43"/>
        <v>300480</v>
      </c>
      <c r="K61" s="1783">
        <f t="shared" si="43"/>
        <v>300480</v>
      </c>
      <c r="L61" s="1783">
        <f t="shared" si="43"/>
        <v>300480</v>
      </c>
      <c r="M61" s="1783">
        <f t="shared" si="43"/>
        <v>300480</v>
      </c>
      <c r="N61" s="1783">
        <f t="shared" si="43"/>
        <v>300480</v>
      </c>
      <c r="O61" s="1783">
        <f t="shared" si="43"/>
        <v>300480</v>
      </c>
      <c r="P61" s="1783">
        <f t="shared" si="43"/>
        <v>300480</v>
      </c>
      <c r="Q61" s="1783">
        <f t="shared" si="43"/>
        <v>300480</v>
      </c>
      <c r="R61" s="1783">
        <f t="shared" ref="R61:BC61" si="44">Q61*(1+$C$8)</f>
        <v>300480</v>
      </c>
      <c r="S61" s="1783">
        <f t="shared" si="44"/>
        <v>300480</v>
      </c>
      <c r="T61" s="1783">
        <f t="shared" si="44"/>
        <v>300480</v>
      </c>
      <c r="U61" s="1783">
        <f t="shared" si="44"/>
        <v>300480</v>
      </c>
      <c r="V61" s="1783">
        <f t="shared" si="44"/>
        <v>300480</v>
      </c>
      <c r="W61" s="1783">
        <f t="shared" si="44"/>
        <v>300480</v>
      </c>
      <c r="X61" s="1783">
        <f t="shared" si="44"/>
        <v>300480</v>
      </c>
      <c r="Y61" s="1783">
        <f t="shared" si="44"/>
        <v>300480</v>
      </c>
      <c r="Z61" s="1783">
        <f t="shared" si="44"/>
        <v>300480</v>
      </c>
      <c r="AA61" s="1783">
        <f t="shared" si="44"/>
        <v>300480</v>
      </c>
      <c r="AB61" s="1783">
        <f t="shared" si="44"/>
        <v>300480</v>
      </c>
      <c r="AC61" s="1783">
        <f t="shared" si="44"/>
        <v>300480</v>
      </c>
      <c r="AD61" s="1783">
        <f t="shared" si="44"/>
        <v>300480</v>
      </c>
      <c r="AE61" s="1783">
        <f t="shared" si="44"/>
        <v>300480</v>
      </c>
      <c r="AF61" s="1783">
        <f t="shared" si="44"/>
        <v>300480</v>
      </c>
      <c r="AG61" s="1783">
        <f t="shared" si="44"/>
        <v>300480</v>
      </c>
      <c r="AH61" s="1783">
        <f t="shared" si="44"/>
        <v>300480</v>
      </c>
      <c r="AI61" s="1783">
        <f t="shared" si="44"/>
        <v>300480</v>
      </c>
      <c r="AJ61" s="1783">
        <f t="shared" si="44"/>
        <v>300480</v>
      </c>
      <c r="AK61" s="1783">
        <f t="shared" si="44"/>
        <v>300480</v>
      </c>
      <c r="AL61" s="1783">
        <f t="shared" si="44"/>
        <v>300480</v>
      </c>
      <c r="AM61" s="1783">
        <f t="shared" si="44"/>
        <v>300480</v>
      </c>
      <c r="AN61" s="1783">
        <f t="shared" si="44"/>
        <v>300480</v>
      </c>
      <c r="AO61" s="1783">
        <f t="shared" si="44"/>
        <v>300480</v>
      </c>
      <c r="AP61" s="1783">
        <f t="shared" si="44"/>
        <v>300480</v>
      </c>
      <c r="AQ61" s="1783">
        <f t="shared" si="44"/>
        <v>300480</v>
      </c>
      <c r="AR61" s="1783">
        <f t="shared" si="44"/>
        <v>300480</v>
      </c>
      <c r="AS61" s="1783">
        <f t="shared" si="44"/>
        <v>300480</v>
      </c>
      <c r="AT61" s="1783">
        <f t="shared" si="44"/>
        <v>300480</v>
      </c>
      <c r="AU61" s="1783">
        <f t="shared" si="44"/>
        <v>300480</v>
      </c>
      <c r="AV61" s="1783">
        <f t="shared" si="44"/>
        <v>300480</v>
      </c>
      <c r="AW61" s="1783">
        <f t="shared" si="44"/>
        <v>300480</v>
      </c>
      <c r="AX61" s="1783">
        <f t="shared" si="44"/>
        <v>300480</v>
      </c>
      <c r="AY61" s="1783">
        <f t="shared" si="44"/>
        <v>300480</v>
      </c>
      <c r="AZ61" s="1783">
        <f t="shared" si="44"/>
        <v>300480</v>
      </c>
      <c r="BA61" s="1783">
        <f t="shared" si="44"/>
        <v>300480</v>
      </c>
      <c r="BB61" s="1783">
        <f t="shared" si="44"/>
        <v>300480</v>
      </c>
      <c r="BC61" s="1783">
        <f t="shared" si="44"/>
        <v>300480</v>
      </c>
      <c r="BD61" s="297"/>
      <c r="BE61" s="297"/>
      <c r="BF61" s="297"/>
    </row>
    <row r="62" spans="1:58" s="203" customFormat="1" ht="18" customHeight="1" x14ac:dyDescent="0.35">
      <c r="B62" s="204"/>
      <c r="C62" s="1785"/>
      <c r="D62" s="1785"/>
      <c r="E62" s="1785"/>
      <c r="F62" s="1785"/>
      <c r="G62" s="1785"/>
      <c r="H62" s="1785"/>
      <c r="I62" s="1785"/>
      <c r="J62" s="1785"/>
      <c r="K62" s="1785"/>
      <c r="L62" s="1785"/>
      <c r="M62" s="1785"/>
      <c r="N62" s="1785"/>
      <c r="O62" s="1785"/>
      <c r="P62" s="1785"/>
      <c r="Q62" s="1785"/>
      <c r="R62" s="1765"/>
      <c r="S62" s="1686"/>
      <c r="T62" s="1686"/>
      <c r="U62" s="1686"/>
      <c r="V62" s="1686"/>
      <c r="W62" s="1686"/>
      <c r="X62" s="1686"/>
      <c r="Y62" s="1686"/>
      <c r="Z62" s="1686"/>
      <c r="AA62" s="1686"/>
      <c r="AB62" s="1686"/>
      <c r="AC62" s="1686"/>
      <c r="AD62" s="1686"/>
      <c r="AE62" s="1686"/>
      <c r="AF62" s="1686"/>
      <c r="AG62" s="1686"/>
      <c r="AH62" s="1686"/>
      <c r="AI62" s="1686"/>
      <c r="AJ62" s="1686"/>
      <c r="AK62" s="1686"/>
      <c r="AL62" s="1686"/>
      <c r="AM62" s="1686"/>
      <c r="AN62" s="1686"/>
      <c r="AO62" s="1686"/>
      <c r="AP62" s="1686"/>
      <c r="AQ62" s="1686"/>
      <c r="AR62" s="1686"/>
      <c r="AS62" s="1686"/>
      <c r="AT62" s="1686"/>
      <c r="AU62" s="1686"/>
      <c r="AV62" s="1686"/>
      <c r="AW62" s="1686"/>
      <c r="AX62" s="1686"/>
      <c r="AY62" s="1686"/>
      <c r="AZ62" s="1686"/>
      <c r="BA62" s="1686"/>
      <c r="BB62" s="1686"/>
      <c r="BC62" s="1686"/>
    </row>
    <row r="63" spans="1:58" s="203" customFormat="1" ht="26.15" customHeight="1" collapsed="1" x14ac:dyDescent="0.35">
      <c r="B63" s="1682" t="s">
        <v>408</v>
      </c>
      <c r="C63" s="1785">
        <f>C67+C70+C73+C76+C79+C82+C85+C88+'R&amp;C-Painel de Controle'!H21</f>
        <v>357.56406200364114</v>
      </c>
      <c r="D63" s="1785">
        <f t="shared" ref="D63:E63" si="45">D67+D70+D73+D76+D79+D82+D85+D88</f>
        <v>759.08808283373833</v>
      </c>
      <c r="E63" s="1785">
        <f t="shared" si="45"/>
        <v>548.60264502140399</v>
      </c>
      <c r="F63" s="1785">
        <f>F67+F70+F73+F76+F79+F82+F85+F88+'R&amp;C-Painel de Controle'!$K$78/5+'R&amp;C-Painel de Controle'!$K$76/20+'R&amp;C-Painel de Controle'!D30+'R&amp;C-Painel de Controle'!D31</f>
        <v>10.638233347438916</v>
      </c>
      <c r="G63" s="1785">
        <f>G67+G70+G73+G76+G79+G82+G85+G88+'R&amp;C-Painel de Controle'!$K$78/5+'R&amp;C-Painel de Controle'!$K$76/20</f>
        <v>7.6382333474389164</v>
      </c>
      <c r="H63" s="1785">
        <f>H67+H70+H73+H76+H79+H82+H85+H88+'R&amp;C-Painel de Controle'!$K$78/5+'R&amp;C-Painel de Controle'!$K$76/20</f>
        <v>7.6382333474389164</v>
      </c>
      <c r="I63" s="1785">
        <f>I67+I70+I73+I76+I79+I82+I85+I88+'R&amp;C-Painel de Controle'!$K$78/5+'R&amp;C-Painel de Controle'!$K$76/20</f>
        <v>7.6382333474389164</v>
      </c>
      <c r="J63" s="1785">
        <f>J67+J70+J73+J76+J79+J82+J85+J88+'R&amp;C-Painel de Controle'!$K$78/5+'R&amp;C-Painel de Controle'!$K$76/20</f>
        <v>7.6382333474389164</v>
      </c>
      <c r="K63" s="1785">
        <f>K67+K70+K73+K76+K79+K82+K85+K88+'R&amp;C-Painel de Controle'!$K$78/5+'R&amp;C-Painel de Controle'!$K$76/20</f>
        <v>7.6382333474389164</v>
      </c>
      <c r="L63" s="1785">
        <f>L67+L70+L73+L76+L79+L82+L85+L88+'R&amp;C-Painel de Controle'!$K$78/5+'R&amp;C-Painel de Controle'!$K$76/20</f>
        <v>7.6382333474389164</v>
      </c>
      <c r="M63" s="1785">
        <f>M67+M70+M73+M76+M79+M82+M85+M88+'R&amp;C-Painel de Controle'!$K$78/5+'R&amp;C-Painel de Controle'!$K$76/20</f>
        <v>7.6382333474389164</v>
      </c>
      <c r="N63" s="1785">
        <f>N67+N70+N73+N76+N79+N82+N85+N88+'R&amp;C-Painel de Controle'!$K$78/5+'R&amp;C-Painel de Controle'!$K$76/20</f>
        <v>7.6382333474389164</v>
      </c>
      <c r="O63" s="1785">
        <f>O67+O70+O73+O76+O79+O82+O85+O88+'R&amp;C-Painel de Controle'!$K$78/5+'R&amp;C-Painel de Controle'!$K$76/20</f>
        <v>7.6382333474389164</v>
      </c>
      <c r="P63" s="1785">
        <f>P67+P70+P73+P76+P79+P82+P85+P88+'R&amp;C-Painel de Controle'!$K$78/5+'R&amp;C-Painel de Controle'!$K$76/20</f>
        <v>7.6382333474389164</v>
      </c>
      <c r="Q63" s="1785">
        <f>Q67+Q70+Q73+Q76+Q79+Q82+Q85+Q88+'R&amp;C-Painel de Controle'!$K$78/5+'R&amp;C-Painel de Controle'!$K$76/20</f>
        <v>7.6382333474389164</v>
      </c>
      <c r="R63" s="1785">
        <f>R67+R70+R73+R76+R79+R82+R85+R88+'R&amp;C-Painel de Controle'!$K$78/5+'R&amp;C-Painel de Controle'!$K$76/20</f>
        <v>7.6382333474389164</v>
      </c>
      <c r="S63" s="1785">
        <f>S67+S70+S73+S76+S79+S82+S85+S88+'R&amp;C-Painel de Controle'!$K$78/5+'R&amp;C-Painel de Controle'!$K$76/20</f>
        <v>7.6382333474389164</v>
      </c>
      <c r="T63" s="1785">
        <f>T67+T70+T73+T76+T79+T82+T85+T88+'R&amp;C-Painel de Controle'!$K$78/5+'R&amp;C-Painel de Controle'!$K$76/20</f>
        <v>7.6382333474389164</v>
      </c>
      <c r="U63" s="1785">
        <f>U67+U70+U73+U76+U79+U82+U85+U88+'R&amp;C-Painel de Controle'!$K$78/5+'R&amp;C-Painel de Controle'!$K$76/20</f>
        <v>7.6382333474389164</v>
      </c>
      <c r="V63" s="1785">
        <f>V67+V70+V73+V76+V79+V82+V85+V88+'R&amp;C-Painel de Controle'!$K$78/5+'R&amp;C-Painel de Controle'!$K$76/20</f>
        <v>7.6382333474389164</v>
      </c>
      <c r="W63" s="1785">
        <f>W67+W70+W73+W76+W79+W82+W85+W88+'R&amp;C-Painel de Controle'!$K$78/5+'R&amp;C-Painel de Controle'!$K$76/20</f>
        <v>7.6382333474389164</v>
      </c>
      <c r="X63" s="1785">
        <f>X67+X70+X73+X76+X79+X82+X85+X88+'R&amp;C-Painel de Controle'!$K$78/5+'R&amp;C-Painel de Controle'!$K$76/20</f>
        <v>7.6382333474389164</v>
      </c>
      <c r="Y63" s="1785">
        <f>Y67+Y70+Y73+Y76+Y79+Y82+Y85+Y88+'R&amp;C-Painel de Controle'!$K$78/5+'R&amp;C-Painel de Controle'!$K$76/20</f>
        <v>7.6382333474389164</v>
      </c>
      <c r="Z63" s="1785">
        <f>Z67+Z70+Z73+Z76+Z79+Z82+Z85+Z88+'R&amp;C-Painel de Controle'!$K$78/5+'R&amp;C-Painel de Controle'!$K$76/20</f>
        <v>7.6382333474389164</v>
      </c>
      <c r="AA63" s="1785">
        <f>AA67+AA70+AA73+AA76+AA79+AA82+AA85+AA88+'R&amp;C-Painel de Controle'!$K$78/5+'R&amp;C-Painel de Controle'!$K$76/20</f>
        <v>7.6382333474389164</v>
      </c>
      <c r="AB63" s="1785">
        <f>AB67+AB70+AB73+AB76+AB79+AB82+AB85+AB88+'R&amp;C-Painel de Controle'!$K$78/5+'R&amp;C-Painel de Controle'!$K$76/20</f>
        <v>7.6382333474389164</v>
      </c>
      <c r="AC63" s="1785">
        <f>AC67+AC70+AC73+AC76+AC79+AC82+AC85+AC88+'R&amp;C-Painel de Controle'!$K$78/5+'R&amp;C-Painel de Controle'!$K$76/20</f>
        <v>7.6382333474389164</v>
      </c>
      <c r="AD63" s="1785">
        <f>AD67+AD70+AD73+AD76+AD79+AD82+AD85+AD88+'R&amp;C-Painel de Controle'!$K$78/5+'R&amp;C-Painel de Controle'!$K$76/20</f>
        <v>7.6382333474389164</v>
      </c>
      <c r="AE63" s="1785">
        <f>AE67+AE70+AE73+AE76+AE79+AE82+AE85+AE88+'R&amp;C-Painel de Controle'!$K$78/5+'R&amp;C-Painel de Controle'!$K$76/20</f>
        <v>7.6382333474389164</v>
      </c>
      <c r="AF63" s="1785">
        <f>AF67+AF70+AF73+AF76+AF79+AF82+AF85+AF88+'R&amp;C-Painel de Controle'!$K$78/5+'R&amp;C-Painel de Controle'!$K$76/20</f>
        <v>7.6382333474389164</v>
      </c>
      <c r="AG63" s="1785">
        <f>AG67+AG70+AG73+AG76+AG79+AG82+AG85+AG88+'R&amp;C-Painel de Controle'!$K$78/5+'R&amp;C-Painel de Controle'!$K$76/20</f>
        <v>7.6382333474389164</v>
      </c>
      <c r="AH63" s="1785">
        <f>AH67+AH70+AH73+AH76+AH79+AH82+AH85+AH88+'R&amp;C-Painel de Controle'!$K$78/5+'R&amp;C-Painel de Controle'!$K$76/20</f>
        <v>7.6382333474389164</v>
      </c>
      <c r="AI63" s="1785">
        <f>AI67+AI70+AI73+AI76+AI79+AI82+AI85+AI88+'R&amp;C-Painel de Controle'!$K$78/5+'R&amp;C-Painel de Controle'!$K$76/20</f>
        <v>7.6382333474389164</v>
      </c>
      <c r="AJ63" s="1785">
        <f>AJ67+AJ70+AJ73+AJ76+AJ79+AJ82+AJ85+AJ88+'R&amp;C-Painel de Controle'!$K$78/5+'R&amp;C-Painel de Controle'!$K$76/20</f>
        <v>7.6382333474389164</v>
      </c>
      <c r="AK63" s="1785">
        <f>AK67+AK70+AK73+AK76+AK79+AK82+AK85+AK88+'R&amp;C-Painel de Controle'!$K$78/5+'R&amp;C-Painel de Controle'!$K$76/20</f>
        <v>7.6382333474389164</v>
      </c>
      <c r="AL63" s="1785">
        <f>AL67+AL70+AL73+AL76+AL79+AL82+AL85+AL88+'R&amp;C-Painel de Controle'!$K$78/5+'R&amp;C-Painel de Controle'!$K$76/20</f>
        <v>7.6382333474389164</v>
      </c>
      <c r="AM63" s="1785">
        <f>AM67+AM70+AM73+AM76+AM79+AM82+AM85+AM88+'R&amp;C-Painel de Controle'!$K$78/5+'R&amp;C-Painel de Controle'!$K$76/20</f>
        <v>7.6382333474389164</v>
      </c>
      <c r="AN63" s="1785">
        <f>AN67+AN70+AN73+AN76+AN79+AN82+AN85+AN88+'R&amp;C-Painel de Controle'!$K$78/5+'R&amp;C-Painel de Controle'!$K$76/20</f>
        <v>7.6382333474389164</v>
      </c>
      <c r="AO63" s="1785">
        <f>AO67+AO70+AO73+AO76+AO79+AO82+AO85+AO88+'R&amp;C-Painel de Controle'!$K$78/5+'R&amp;C-Painel de Controle'!$K$76/20</f>
        <v>7.6382333474389164</v>
      </c>
      <c r="AP63" s="1785">
        <f>AP67+AP70+AP73+AP76+AP79+AP82+AP85+AP88+'R&amp;C-Painel de Controle'!$K$78/5+'R&amp;C-Painel de Controle'!$K$76/20</f>
        <v>7.6382333474389164</v>
      </c>
      <c r="AQ63" s="1785">
        <f>AQ67+AQ70+AQ73+AQ76+AQ79+AQ82+AQ85+AQ88+'R&amp;C-Painel de Controle'!$K$78/5+'R&amp;C-Painel de Controle'!$K$76/20</f>
        <v>7.6382333474389164</v>
      </c>
      <c r="AR63" s="1785">
        <f>AR67+AR70+AR73+AR76+AR79+AR82+AR85+AR88+'R&amp;C-Painel de Controle'!$K$78/5+'R&amp;C-Painel de Controle'!$K$76/20</f>
        <v>7.6382333474389164</v>
      </c>
      <c r="AS63" s="1785">
        <f>AS67+AS70+AS73+AS76+AS79+AS82+AS85+AS88+'R&amp;C-Painel de Controle'!$K$78/5+'R&amp;C-Painel de Controle'!$K$76/20</f>
        <v>7.6382333474389164</v>
      </c>
      <c r="AT63" s="1785">
        <f>AT67+AT70+AT73+AT76+AT79+AT82+AT85+AT88+'R&amp;C-Painel de Controle'!$K$78/5+'R&amp;C-Painel de Controle'!$K$76/20</f>
        <v>7.6382333474389164</v>
      </c>
      <c r="AU63" s="1785">
        <f>AU67+AU70+AU73+AU76+AU79+AU82+AU85+AU88+'R&amp;C-Painel de Controle'!$K$78/5+'R&amp;C-Painel de Controle'!$K$76/20</f>
        <v>7.6382333474389164</v>
      </c>
      <c r="AV63" s="1785">
        <f>AV67+AV70+AV73+AV76+AV79+AV82+AV85+AV88+'R&amp;C-Painel de Controle'!$K$78/5+'R&amp;C-Painel de Controle'!$K$76/20</f>
        <v>7.6382333474389164</v>
      </c>
      <c r="AW63" s="1785">
        <f>AW67+AW70+AW73+AW76+AW79+AW82+AW85+AW88+'R&amp;C-Painel de Controle'!$K$78/5+'R&amp;C-Painel de Controle'!$K$76/20</f>
        <v>7.6382333474389164</v>
      </c>
      <c r="AX63" s="1785">
        <f>AX67+AX70+AX73+AX76+AX79+AX82+AX85+AX88+'R&amp;C-Painel de Controle'!$K$78/5+'R&amp;C-Painel de Controle'!$K$76/20</f>
        <v>7.6382333474389164</v>
      </c>
      <c r="AY63" s="1785">
        <f>AY67+AY70+AY73+AY76+AY79+AY82+AY85+AY88+'R&amp;C-Painel de Controle'!$K$78/5+'R&amp;C-Painel de Controle'!$K$76/20</f>
        <v>7.6382333474389164</v>
      </c>
      <c r="AZ63" s="1785">
        <f>AZ67+AZ70+AZ73+AZ76+AZ79+AZ82+AZ85+AZ88+'R&amp;C-Painel de Controle'!$K$78/5+'R&amp;C-Painel de Controle'!$K$76/20</f>
        <v>7.6382333474389164</v>
      </c>
      <c r="BA63" s="1785">
        <f>BA67+BA70+BA73+BA76+BA79+BA82+BA85+BA88+'R&amp;C-Painel de Controle'!$K$78/5+'R&amp;C-Painel de Controle'!$K$76/20</f>
        <v>7.6382333474389164</v>
      </c>
      <c r="BB63" s="1785">
        <f>BB67+BB70+BB73+BB76+BB79+BB82+BB85+BB88+'R&amp;C-Painel de Controle'!$K$78/5+'R&amp;C-Painel de Controle'!$K$76/20</f>
        <v>7.6382333474389164</v>
      </c>
      <c r="BC63" s="1785">
        <f>BC67+BC70+BC73+BC76+BC79+BC82+BC85+BC88+'R&amp;C-Painel de Controle'!$K$78/5+'R&amp;C-Painel de Controle'!$K$76/20</f>
        <v>7.6382333474389164</v>
      </c>
    </row>
    <row r="64" spans="1:58" s="203" customFormat="1" ht="18" hidden="1" customHeight="1" outlineLevel="1" x14ac:dyDescent="0.35">
      <c r="A64" s="295"/>
      <c r="B64" s="248" t="s">
        <v>406</v>
      </c>
      <c r="C64" s="1770" t="s">
        <v>407</v>
      </c>
      <c r="D64" s="1770" t="s">
        <v>297</v>
      </c>
      <c r="E64" s="1770"/>
      <c r="F64" s="1770"/>
      <c r="G64" s="1770"/>
      <c r="H64" s="1770"/>
      <c r="I64" s="1770"/>
      <c r="J64" s="1770"/>
      <c r="K64" s="1770"/>
      <c r="L64" s="1770"/>
      <c r="M64" s="1770"/>
      <c r="N64" s="1770"/>
      <c r="O64" s="1770"/>
      <c r="P64" s="1770"/>
      <c r="Q64" s="1770"/>
      <c r="R64" s="1770"/>
      <c r="S64" s="1770"/>
      <c r="T64" s="1770"/>
      <c r="U64" s="1770"/>
      <c r="V64" s="1770"/>
      <c r="W64" s="1770"/>
      <c r="X64" s="1770"/>
      <c r="Y64" s="1770"/>
      <c r="Z64" s="1770"/>
      <c r="AA64" s="1770"/>
      <c r="AB64" s="1770"/>
      <c r="AC64" s="1770"/>
      <c r="AD64" s="1770"/>
      <c r="AE64" s="1770"/>
      <c r="AF64" s="1770"/>
      <c r="AG64" s="1770"/>
      <c r="AH64" s="1770"/>
      <c r="AI64" s="1770"/>
      <c r="AJ64" s="1770"/>
      <c r="AK64" s="1770"/>
      <c r="AL64" s="1770"/>
      <c r="AM64" s="1770"/>
      <c r="AN64" s="1770"/>
      <c r="AO64" s="1770"/>
      <c r="AP64" s="1770"/>
      <c r="AQ64" s="1770"/>
      <c r="AR64" s="1770"/>
      <c r="AS64" s="1770"/>
      <c r="AT64" s="1770"/>
      <c r="AU64" s="1770"/>
      <c r="AV64" s="1770"/>
      <c r="AW64" s="1770"/>
      <c r="AX64" s="1770"/>
      <c r="AY64" s="1770"/>
      <c r="AZ64" s="1770"/>
      <c r="BA64" s="1770"/>
      <c r="BB64" s="1770"/>
      <c r="BC64" s="1770"/>
      <c r="BD64" s="295"/>
      <c r="BE64" s="295"/>
      <c r="BF64" s="295"/>
    </row>
    <row r="65" spans="2:55" s="203" customFormat="1" ht="18" hidden="1" customHeight="1" outlineLevel="1" x14ac:dyDescent="0.35">
      <c r="B65" s="859" t="str">
        <f>'R&amp;C-Painel de Controle'!F53</f>
        <v>Triagem Manual — Seletivos</v>
      </c>
      <c r="C65" s="1768" t="str">
        <f>'R&amp;C-Painel de Controle'!G53</f>
        <v>Sim</v>
      </c>
      <c r="D65" s="1786">
        <f>'R&amp;C-Painel de Controle'!K53</f>
        <v>28.522630338158294</v>
      </c>
      <c r="E65" s="1686"/>
      <c r="F65" s="1686"/>
      <c r="G65" s="1686"/>
      <c r="H65" s="1686"/>
      <c r="I65" s="1686"/>
      <c r="J65" s="1686"/>
      <c r="K65" s="1686"/>
      <c r="L65" s="1686"/>
      <c r="M65" s="1686"/>
      <c r="N65" s="1686"/>
      <c r="O65" s="1686"/>
      <c r="P65" s="1686"/>
      <c r="Q65" s="1686"/>
      <c r="R65" s="1765"/>
      <c r="S65" s="1686"/>
      <c r="T65" s="1686"/>
      <c r="U65" s="1686"/>
      <c r="V65" s="1686"/>
      <c r="W65" s="1686"/>
      <c r="X65" s="1686"/>
      <c r="Y65" s="1686"/>
      <c r="Z65" s="1686"/>
      <c r="AA65" s="1686"/>
      <c r="AB65" s="1686"/>
      <c r="AC65" s="1686"/>
      <c r="AD65" s="1686"/>
      <c r="AE65" s="1686"/>
      <c r="AF65" s="1686"/>
      <c r="AG65" s="1686"/>
      <c r="AH65" s="1686"/>
      <c r="AI65" s="1686"/>
      <c r="AJ65" s="1686"/>
      <c r="AK65" s="1686"/>
      <c r="AL65" s="1686"/>
      <c r="AM65" s="1686"/>
      <c r="AN65" s="1686"/>
      <c r="AO65" s="1686"/>
      <c r="AP65" s="1686"/>
      <c r="AQ65" s="1686"/>
      <c r="AR65" s="1686"/>
      <c r="AS65" s="1686"/>
      <c r="AT65" s="1686"/>
      <c r="AU65" s="1686"/>
      <c r="AV65" s="1686"/>
      <c r="AW65" s="1686"/>
      <c r="AX65" s="1686"/>
      <c r="AY65" s="1686"/>
      <c r="AZ65" s="1686"/>
      <c r="BA65" s="1686"/>
      <c r="BB65" s="1686"/>
      <c r="BC65" s="1686"/>
    </row>
    <row r="66" spans="2:55" s="203" customFormat="1" ht="18" hidden="1" customHeight="1" outlineLevel="1" x14ac:dyDescent="0.35">
      <c r="B66" s="276" t="s">
        <v>673</v>
      </c>
      <c r="C66" s="1776">
        <v>0.2</v>
      </c>
      <c r="D66" s="1776">
        <v>0.5</v>
      </c>
      <c r="E66" s="1776">
        <v>0.3</v>
      </c>
      <c r="F66" s="1776">
        <v>0</v>
      </c>
      <c r="G66" s="1776">
        <v>0</v>
      </c>
      <c r="H66" s="1776">
        <v>0</v>
      </c>
      <c r="I66" s="1776">
        <v>0</v>
      </c>
      <c r="J66" s="1776">
        <v>0</v>
      </c>
      <c r="K66" s="1776">
        <v>0</v>
      </c>
      <c r="L66" s="1776">
        <v>0</v>
      </c>
      <c r="M66" s="1776">
        <v>0</v>
      </c>
      <c r="N66" s="1776">
        <v>0</v>
      </c>
      <c r="O66" s="1776">
        <v>0</v>
      </c>
      <c r="P66" s="1776">
        <v>0</v>
      </c>
      <c r="Q66" s="1776">
        <v>0</v>
      </c>
      <c r="R66" s="1776">
        <v>0</v>
      </c>
      <c r="S66" s="1776">
        <v>0</v>
      </c>
      <c r="T66" s="1776">
        <v>0</v>
      </c>
      <c r="U66" s="1776">
        <v>0</v>
      </c>
      <c r="V66" s="1776">
        <v>0</v>
      </c>
      <c r="W66" s="1776">
        <v>0</v>
      </c>
      <c r="X66" s="1776">
        <v>0</v>
      </c>
      <c r="Y66" s="1776">
        <v>0</v>
      </c>
      <c r="Z66" s="1776">
        <v>0</v>
      </c>
      <c r="AA66" s="1776">
        <v>0</v>
      </c>
      <c r="AB66" s="1776">
        <v>0</v>
      </c>
      <c r="AC66" s="1776">
        <v>0</v>
      </c>
      <c r="AD66" s="1776">
        <v>0</v>
      </c>
      <c r="AE66" s="1776">
        <v>0</v>
      </c>
      <c r="AF66" s="1776">
        <v>0</v>
      </c>
      <c r="AG66" s="1776">
        <v>0</v>
      </c>
      <c r="AH66" s="1776">
        <v>0</v>
      </c>
      <c r="AI66" s="1776">
        <v>0</v>
      </c>
      <c r="AJ66" s="1776">
        <v>0</v>
      </c>
      <c r="AK66" s="1776">
        <v>0</v>
      </c>
      <c r="AL66" s="1776">
        <v>0</v>
      </c>
      <c r="AM66" s="1776">
        <v>0</v>
      </c>
      <c r="AN66" s="1776">
        <v>0</v>
      </c>
      <c r="AO66" s="1776">
        <v>0</v>
      </c>
      <c r="AP66" s="1776">
        <v>0</v>
      </c>
      <c r="AQ66" s="1776">
        <v>0</v>
      </c>
      <c r="AR66" s="1776">
        <v>0</v>
      </c>
      <c r="AS66" s="1776">
        <v>0</v>
      </c>
      <c r="AT66" s="1776">
        <v>0</v>
      </c>
      <c r="AU66" s="1776">
        <v>0</v>
      </c>
      <c r="AV66" s="1776">
        <v>0</v>
      </c>
      <c r="AW66" s="1776">
        <v>0</v>
      </c>
      <c r="AX66" s="1776">
        <v>0</v>
      </c>
      <c r="AY66" s="1776">
        <v>0</v>
      </c>
      <c r="AZ66" s="1776">
        <v>0</v>
      </c>
      <c r="BA66" s="1776">
        <v>0</v>
      </c>
      <c r="BB66" s="1776">
        <v>0</v>
      </c>
      <c r="BC66" s="1776">
        <v>0</v>
      </c>
    </row>
    <row r="67" spans="2:55" s="203" customFormat="1" ht="18" hidden="1" customHeight="1" outlineLevel="1" x14ac:dyDescent="0.35">
      <c r="B67" s="276" t="s">
        <v>409</v>
      </c>
      <c r="C67" s="1780">
        <f t="shared" ref="C67:BC67" si="46">C66*$D$65</f>
        <v>5.7045260676316589</v>
      </c>
      <c r="D67" s="1780">
        <f t="shared" si="46"/>
        <v>14.261315169079147</v>
      </c>
      <c r="E67" s="1780">
        <f t="shared" si="46"/>
        <v>8.5567891014474871</v>
      </c>
      <c r="F67" s="1780">
        <f t="shared" si="46"/>
        <v>0</v>
      </c>
      <c r="G67" s="1780">
        <f t="shared" si="46"/>
        <v>0</v>
      </c>
      <c r="H67" s="1780">
        <f t="shared" si="46"/>
        <v>0</v>
      </c>
      <c r="I67" s="1780">
        <f t="shared" si="46"/>
        <v>0</v>
      </c>
      <c r="J67" s="1780">
        <f t="shared" si="46"/>
        <v>0</v>
      </c>
      <c r="K67" s="1780">
        <f t="shared" si="46"/>
        <v>0</v>
      </c>
      <c r="L67" s="1780">
        <f t="shared" si="46"/>
        <v>0</v>
      </c>
      <c r="M67" s="1780">
        <f t="shared" si="46"/>
        <v>0</v>
      </c>
      <c r="N67" s="1780">
        <f t="shared" si="46"/>
        <v>0</v>
      </c>
      <c r="O67" s="1780">
        <f t="shared" si="46"/>
        <v>0</v>
      </c>
      <c r="P67" s="1780">
        <f t="shared" si="46"/>
        <v>0</v>
      </c>
      <c r="Q67" s="1780">
        <f t="shared" si="46"/>
        <v>0</v>
      </c>
      <c r="R67" s="1780">
        <f t="shared" si="46"/>
        <v>0</v>
      </c>
      <c r="S67" s="1780">
        <f t="shared" si="46"/>
        <v>0</v>
      </c>
      <c r="T67" s="1780">
        <f t="shared" si="46"/>
        <v>0</v>
      </c>
      <c r="U67" s="1780">
        <f t="shared" si="46"/>
        <v>0</v>
      </c>
      <c r="V67" s="1780">
        <f t="shared" si="46"/>
        <v>0</v>
      </c>
      <c r="W67" s="1780">
        <f t="shared" si="46"/>
        <v>0</v>
      </c>
      <c r="X67" s="1780">
        <f t="shared" si="46"/>
        <v>0</v>
      </c>
      <c r="Y67" s="1780">
        <f t="shared" si="46"/>
        <v>0</v>
      </c>
      <c r="Z67" s="1780">
        <f t="shared" si="46"/>
        <v>0</v>
      </c>
      <c r="AA67" s="1780">
        <f t="shared" si="46"/>
        <v>0</v>
      </c>
      <c r="AB67" s="1780">
        <f t="shared" si="46"/>
        <v>0</v>
      </c>
      <c r="AC67" s="1780">
        <f t="shared" si="46"/>
        <v>0</v>
      </c>
      <c r="AD67" s="1780">
        <f t="shared" si="46"/>
        <v>0</v>
      </c>
      <c r="AE67" s="1780">
        <f t="shared" si="46"/>
        <v>0</v>
      </c>
      <c r="AF67" s="1780">
        <f t="shared" si="46"/>
        <v>0</v>
      </c>
      <c r="AG67" s="1780">
        <f t="shared" si="46"/>
        <v>0</v>
      </c>
      <c r="AH67" s="1780">
        <f t="shared" si="46"/>
        <v>0</v>
      </c>
      <c r="AI67" s="1780">
        <f t="shared" si="46"/>
        <v>0</v>
      </c>
      <c r="AJ67" s="1780">
        <f t="shared" si="46"/>
        <v>0</v>
      </c>
      <c r="AK67" s="1780">
        <f t="shared" si="46"/>
        <v>0</v>
      </c>
      <c r="AL67" s="1780">
        <f t="shared" si="46"/>
        <v>0</v>
      </c>
      <c r="AM67" s="1780">
        <f t="shared" si="46"/>
        <v>0</v>
      </c>
      <c r="AN67" s="1780">
        <f t="shared" si="46"/>
        <v>0</v>
      </c>
      <c r="AO67" s="1780">
        <f t="shared" si="46"/>
        <v>0</v>
      </c>
      <c r="AP67" s="1780">
        <f t="shared" si="46"/>
        <v>0</v>
      </c>
      <c r="AQ67" s="1780">
        <f t="shared" si="46"/>
        <v>0</v>
      </c>
      <c r="AR67" s="1780">
        <f t="shared" si="46"/>
        <v>0</v>
      </c>
      <c r="AS67" s="1780">
        <f t="shared" si="46"/>
        <v>0</v>
      </c>
      <c r="AT67" s="1780">
        <f t="shared" si="46"/>
        <v>0</v>
      </c>
      <c r="AU67" s="1780">
        <f t="shared" si="46"/>
        <v>0</v>
      </c>
      <c r="AV67" s="1780">
        <f t="shared" si="46"/>
        <v>0</v>
      </c>
      <c r="AW67" s="1780">
        <f t="shared" si="46"/>
        <v>0</v>
      </c>
      <c r="AX67" s="1780">
        <f t="shared" si="46"/>
        <v>0</v>
      </c>
      <c r="AY67" s="1780">
        <f t="shared" si="46"/>
        <v>0</v>
      </c>
      <c r="AZ67" s="1780">
        <f t="shared" si="46"/>
        <v>0</v>
      </c>
      <c r="BA67" s="1780">
        <f t="shared" si="46"/>
        <v>0</v>
      </c>
      <c r="BB67" s="1780">
        <f t="shared" si="46"/>
        <v>0</v>
      </c>
      <c r="BC67" s="1780">
        <f t="shared" si="46"/>
        <v>0</v>
      </c>
    </row>
    <row r="68" spans="2:55" s="203" customFormat="1" ht="18" hidden="1" customHeight="1" outlineLevel="1" x14ac:dyDescent="0.35">
      <c r="B68" s="859" t="str">
        <f>'R&amp;C-Painel de Controle'!F56</f>
        <v>Triagem Mecanizada</v>
      </c>
      <c r="C68" s="1768" t="str">
        <f>'R&amp;C-Painel de Controle'!G56</f>
        <v>Sim</v>
      </c>
      <c r="D68" s="1786">
        <f>'R&amp;C-Painel de Controle'!K56</f>
        <v>245.13104031884473</v>
      </c>
      <c r="E68" s="1775"/>
      <c r="F68" s="1775"/>
      <c r="G68" s="1775"/>
      <c r="H68" s="1775"/>
      <c r="I68" s="1775"/>
      <c r="J68" s="1775"/>
      <c r="K68" s="1775"/>
      <c r="L68" s="1775"/>
      <c r="M68" s="1775"/>
      <c r="N68" s="1775"/>
      <c r="O68" s="1775"/>
      <c r="P68" s="1775"/>
      <c r="Q68" s="1775"/>
      <c r="R68" s="1775"/>
      <c r="S68" s="1775"/>
      <c r="T68" s="1775"/>
      <c r="U68" s="1775"/>
      <c r="V68" s="1775"/>
      <c r="W68" s="1775"/>
      <c r="X68" s="1775"/>
      <c r="Y68" s="1775"/>
      <c r="Z68" s="1775"/>
      <c r="AA68" s="1775"/>
      <c r="AB68" s="1775"/>
      <c r="AC68" s="1775"/>
      <c r="AD68" s="1775"/>
      <c r="AE68" s="1775"/>
      <c r="AF68" s="1775"/>
      <c r="AG68" s="1775"/>
      <c r="AH68" s="1775"/>
      <c r="AI68" s="1775"/>
      <c r="AJ68" s="1775"/>
      <c r="AK68" s="1775"/>
      <c r="AL68" s="1775"/>
      <c r="AM68" s="1775"/>
      <c r="AN68" s="1775"/>
      <c r="AO68" s="1775"/>
      <c r="AP68" s="1775"/>
      <c r="AQ68" s="1775"/>
      <c r="AR68" s="1775"/>
      <c r="AS68" s="1775"/>
      <c r="AT68" s="1775"/>
      <c r="AU68" s="1775"/>
      <c r="AV68" s="1775"/>
      <c r="AW68" s="1775"/>
      <c r="AX68" s="1775"/>
      <c r="AY68" s="1775"/>
      <c r="AZ68" s="1775"/>
      <c r="BA68" s="1775"/>
      <c r="BB68" s="1775"/>
      <c r="BC68" s="1775"/>
    </row>
    <row r="69" spans="2:55" s="203" customFormat="1" ht="18" hidden="1" customHeight="1" outlineLevel="1" x14ac:dyDescent="0.35">
      <c r="B69" s="276" t="s">
        <v>673</v>
      </c>
      <c r="C69" s="1776">
        <v>0.3</v>
      </c>
      <c r="D69" s="1776">
        <v>0.2</v>
      </c>
      <c r="E69" s="1776">
        <v>0.5</v>
      </c>
      <c r="F69" s="1776">
        <v>0</v>
      </c>
      <c r="G69" s="1776">
        <v>0</v>
      </c>
      <c r="H69" s="1776">
        <v>0</v>
      </c>
      <c r="I69" s="1776">
        <v>0</v>
      </c>
      <c r="J69" s="1776">
        <v>0</v>
      </c>
      <c r="K69" s="1776">
        <v>0</v>
      </c>
      <c r="L69" s="1776">
        <v>0</v>
      </c>
      <c r="M69" s="1776">
        <v>0</v>
      </c>
      <c r="N69" s="1776">
        <v>0</v>
      </c>
      <c r="O69" s="1776">
        <v>0</v>
      </c>
      <c r="P69" s="1776">
        <v>0</v>
      </c>
      <c r="Q69" s="1776">
        <v>0</v>
      </c>
      <c r="R69" s="1776">
        <v>0</v>
      </c>
      <c r="S69" s="1776">
        <v>0</v>
      </c>
      <c r="T69" s="1776">
        <v>0</v>
      </c>
      <c r="U69" s="1776">
        <v>0</v>
      </c>
      <c r="V69" s="1776">
        <v>0</v>
      </c>
      <c r="W69" s="1776">
        <v>0</v>
      </c>
      <c r="X69" s="1776">
        <v>0</v>
      </c>
      <c r="Y69" s="1776">
        <v>0</v>
      </c>
      <c r="Z69" s="1776">
        <v>0</v>
      </c>
      <c r="AA69" s="1776">
        <v>0</v>
      </c>
      <c r="AB69" s="1776">
        <v>0</v>
      </c>
      <c r="AC69" s="1776">
        <v>0</v>
      </c>
      <c r="AD69" s="1776">
        <v>0</v>
      </c>
      <c r="AE69" s="1776">
        <v>0</v>
      </c>
      <c r="AF69" s="1776">
        <v>0</v>
      </c>
      <c r="AG69" s="1776">
        <v>0</v>
      </c>
      <c r="AH69" s="1776">
        <v>0</v>
      </c>
      <c r="AI69" s="1776">
        <v>0</v>
      </c>
      <c r="AJ69" s="1776">
        <v>0</v>
      </c>
      <c r="AK69" s="1776">
        <v>0</v>
      </c>
      <c r="AL69" s="1776">
        <v>0</v>
      </c>
      <c r="AM69" s="1776">
        <v>0</v>
      </c>
      <c r="AN69" s="1776">
        <v>0</v>
      </c>
      <c r="AO69" s="1776">
        <v>0</v>
      </c>
      <c r="AP69" s="1776">
        <v>0</v>
      </c>
      <c r="AQ69" s="1776">
        <v>0</v>
      </c>
      <c r="AR69" s="1776">
        <v>0</v>
      </c>
      <c r="AS69" s="1776">
        <v>0</v>
      </c>
      <c r="AT69" s="1776">
        <v>0</v>
      </c>
      <c r="AU69" s="1776">
        <v>0</v>
      </c>
      <c r="AV69" s="1776">
        <v>0</v>
      </c>
      <c r="AW69" s="1776">
        <v>0</v>
      </c>
      <c r="AX69" s="1776">
        <v>0</v>
      </c>
      <c r="AY69" s="1776">
        <v>0</v>
      </c>
      <c r="AZ69" s="1776">
        <v>0</v>
      </c>
      <c r="BA69" s="1776">
        <v>0</v>
      </c>
      <c r="BB69" s="1776">
        <v>0</v>
      </c>
      <c r="BC69" s="1776">
        <v>0</v>
      </c>
    </row>
    <row r="70" spans="2:55" s="203" customFormat="1" ht="18" hidden="1" customHeight="1" outlineLevel="1" x14ac:dyDescent="0.35">
      <c r="B70" s="276" t="s">
        <v>409</v>
      </c>
      <c r="C70" s="1780">
        <f t="shared" ref="C70:E70" si="47">C69*$D$68</f>
        <v>73.539312095653415</v>
      </c>
      <c r="D70" s="1780">
        <f t="shared" si="47"/>
        <v>49.026208063768948</v>
      </c>
      <c r="E70" s="1780">
        <f t="shared" si="47"/>
        <v>122.56552015942236</v>
      </c>
      <c r="F70" s="1780">
        <f t="shared" ref="F70:BC70" si="48">F69*$D$65</f>
        <v>0</v>
      </c>
      <c r="G70" s="1780">
        <f t="shared" si="48"/>
        <v>0</v>
      </c>
      <c r="H70" s="1780">
        <f t="shared" si="48"/>
        <v>0</v>
      </c>
      <c r="I70" s="1780">
        <f t="shared" si="48"/>
        <v>0</v>
      </c>
      <c r="J70" s="1780">
        <f t="shared" si="48"/>
        <v>0</v>
      </c>
      <c r="K70" s="1780">
        <f t="shared" si="48"/>
        <v>0</v>
      </c>
      <c r="L70" s="1780">
        <f t="shared" si="48"/>
        <v>0</v>
      </c>
      <c r="M70" s="1780">
        <f t="shared" si="48"/>
        <v>0</v>
      </c>
      <c r="N70" s="1780">
        <f t="shared" si="48"/>
        <v>0</v>
      </c>
      <c r="O70" s="1780">
        <f t="shared" si="48"/>
        <v>0</v>
      </c>
      <c r="P70" s="1780">
        <f t="shared" si="48"/>
        <v>0</v>
      </c>
      <c r="Q70" s="1780">
        <f t="shared" si="48"/>
        <v>0</v>
      </c>
      <c r="R70" s="1780">
        <f t="shared" si="48"/>
        <v>0</v>
      </c>
      <c r="S70" s="1780">
        <f t="shared" si="48"/>
        <v>0</v>
      </c>
      <c r="T70" s="1780">
        <f t="shared" si="48"/>
        <v>0</v>
      </c>
      <c r="U70" s="1780">
        <f t="shared" si="48"/>
        <v>0</v>
      </c>
      <c r="V70" s="1780">
        <f t="shared" si="48"/>
        <v>0</v>
      </c>
      <c r="W70" s="1780">
        <f t="shared" si="48"/>
        <v>0</v>
      </c>
      <c r="X70" s="1780">
        <f t="shared" si="48"/>
        <v>0</v>
      </c>
      <c r="Y70" s="1780">
        <f t="shared" si="48"/>
        <v>0</v>
      </c>
      <c r="Z70" s="1780">
        <f t="shared" si="48"/>
        <v>0</v>
      </c>
      <c r="AA70" s="1780">
        <f t="shared" si="48"/>
        <v>0</v>
      </c>
      <c r="AB70" s="1780">
        <f t="shared" si="48"/>
        <v>0</v>
      </c>
      <c r="AC70" s="1780">
        <f t="shared" si="48"/>
        <v>0</v>
      </c>
      <c r="AD70" s="1780">
        <f t="shared" si="48"/>
        <v>0</v>
      </c>
      <c r="AE70" s="1780">
        <f t="shared" si="48"/>
        <v>0</v>
      </c>
      <c r="AF70" s="1780">
        <f t="shared" si="48"/>
        <v>0</v>
      </c>
      <c r="AG70" s="1780">
        <f t="shared" si="48"/>
        <v>0</v>
      </c>
      <c r="AH70" s="1780">
        <f t="shared" si="48"/>
        <v>0</v>
      </c>
      <c r="AI70" s="1780">
        <f t="shared" si="48"/>
        <v>0</v>
      </c>
      <c r="AJ70" s="1780">
        <f t="shared" si="48"/>
        <v>0</v>
      </c>
      <c r="AK70" s="1780">
        <f t="shared" si="48"/>
        <v>0</v>
      </c>
      <c r="AL70" s="1780">
        <f t="shared" si="48"/>
        <v>0</v>
      </c>
      <c r="AM70" s="1780">
        <f t="shared" si="48"/>
        <v>0</v>
      </c>
      <c r="AN70" s="1780">
        <f t="shared" si="48"/>
        <v>0</v>
      </c>
      <c r="AO70" s="1780">
        <f t="shared" si="48"/>
        <v>0</v>
      </c>
      <c r="AP70" s="1780">
        <f t="shared" si="48"/>
        <v>0</v>
      </c>
      <c r="AQ70" s="1780">
        <f t="shared" si="48"/>
        <v>0</v>
      </c>
      <c r="AR70" s="1780">
        <f t="shared" si="48"/>
        <v>0</v>
      </c>
      <c r="AS70" s="1780">
        <f t="shared" si="48"/>
        <v>0</v>
      </c>
      <c r="AT70" s="1780">
        <f t="shared" si="48"/>
        <v>0</v>
      </c>
      <c r="AU70" s="1780">
        <f t="shared" si="48"/>
        <v>0</v>
      </c>
      <c r="AV70" s="1780">
        <f t="shared" si="48"/>
        <v>0</v>
      </c>
      <c r="AW70" s="1780">
        <f t="shared" si="48"/>
        <v>0</v>
      </c>
      <c r="AX70" s="1780">
        <f t="shared" si="48"/>
        <v>0</v>
      </c>
      <c r="AY70" s="1780">
        <f t="shared" si="48"/>
        <v>0</v>
      </c>
      <c r="AZ70" s="1780">
        <f t="shared" si="48"/>
        <v>0</v>
      </c>
      <c r="BA70" s="1780">
        <f t="shared" si="48"/>
        <v>0</v>
      </c>
      <c r="BB70" s="1780">
        <f t="shared" si="48"/>
        <v>0</v>
      </c>
      <c r="BC70" s="1780">
        <f t="shared" si="48"/>
        <v>0</v>
      </c>
    </row>
    <row r="71" spans="2:55" s="203" customFormat="1" ht="18" hidden="1" customHeight="1" outlineLevel="1" x14ac:dyDescent="0.35">
      <c r="B71" s="859" t="str">
        <f>'R&amp;C-Painel de Controle'!F59</f>
        <v>Produção de CDR TM — Trat. Mec.</v>
      </c>
      <c r="C71" s="1768" t="str">
        <f>'R&amp;C-Painel de Controle'!G59</f>
        <v>Sim</v>
      </c>
      <c r="D71" s="1786">
        <f>'R&amp;C-Painel de Controle'!K59</f>
        <v>24.236957281306918</v>
      </c>
      <c r="E71" s="1686"/>
      <c r="F71" s="1686"/>
      <c r="G71" s="1686"/>
      <c r="H71" s="1686"/>
      <c r="I71" s="1686"/>
      <c r="J71" s="1686"/>
      <c r="K71" s="1686"/>
      <c r="L71" s="1686"/>
      <c r="M71" s="1686"/>
      <c r="N71" s="1686"/>
      <c r="O71" s="1686"/>
      <c r="P71" s="1686"/>
      <c r="Q71" s="1686"/>
      <c r="R71" s="1686"/>
      <c r="S71" s="1686"/>
      <c r="T71" s="1686"/>
      <c r="U71" s="1686"/>
      <c r="V71" s="1686"/>
      <c r="W71" s="1686"/>
      <c r="X71" s="1686"/>
      <c r="Y71" s="1686"/>
      <c r="Z71" s="1686"/>
      <c r="AA71" s="1686"/>
      <c r="AB71" s="1686"/>
      <c r="AC71" s="1686"/>
      <c r="AD71" s="1686"/>
      <c r="AE71" s="1686"/>
      <c r="AF71" s="1686"/>
      <c r="AG71" s="1686"/>
      <c r="AH71" s="1686"/>
      <c r="AI71" s="1686"/>
      <c r="AJ71" s="1686"/>
      <c r="AK71" s="1686"/>
      <c r="AL71" s="1686"/>
      <c r="AM71" s="1686"/>
      <c r="AN71" s="1686"/>
      <c r="AO71" s="1686"/>
      <c r="AP71" s="1686"/>
      <c r="AQ71" s="1686"/>
      <c r="AR71" s="1686"/>
      <c r="AS71" s="1686"/>
      <c r="AT71" s="1686"/>
      <c r="AU71" s="1686"/>
      <c r="AV71" s="1686"/>
      <c r="AW71" s="1686"/>
      <c r="AX71" s="1686"/>
      <c r="AY71" s="1686"/>
      <c r="AZ71" s="1686"/>
      <c r="BA71" s="1686"/>
      <c r="BB71" s="1686"/>
      <c r="BC71" s="1686"/>
    </row>
    <row r="72" spans="2:55" s="203" customFormat="1" ht="18" hidden="1" customHeight="1" outlineLevel="1" x14ac:dyDescent="0.35">
      <c r="B72" s="276" t="s">
        <v>673</v>
      </c>
      <c r="C72" s="1776">
        <v>0.2</v>
      </c>
      <c r="D72" s="1777">
        <v>0.5</v>
      </c>
      <c r="E72" s="1776">
        <v>0.3</v>
      </c>
      <c r="F72" s="1776">
        <v>0</v>
      </c>
      <c r="G72" s="1776">
        <v>0</v>
      </c>
      <c r="H72" s="1776">
        <v>0</v>
      </c>
      <c r="I72" s="1776">
        <v>0</v>
      </c>
      <c r="J72" s="1776">
        <v>0</v>
      </c>
      <c r="K72" s="1776">
        <v>0</v>
      </c>
      <c r="L72" s="1776">
        <v>0</v>
      </c>
      <c r="M72" s="1776">
        <v>0</v>
      </c>
      <c r="N72" s="1776">
        <v>0</v>
      </c>
      <c r="O72" s="1776">
        <v>0</v>
      </c>
      <c r="P72" s="1776">
        <v>0</v>
      </c>
      <c r="Q72" s="1776">
        <v>0</v>
      </c>
      <c r="R72" s="1776">
        <v>0</v>
      </c>
      <c r="S72" s="1776">
        <v>0</v>
      </c>
      <c r="T72" s="1776">
        <v>0</v>
      </c>
      <c r="U72" s="1776">
        <v>0</v>
      </c>
      <c r="V72" s="1776">
        <v>0</v>
      </c>
      <c r="W72" s="1776">
        <v>0</v>
      </c>
      <c r="X72" s="1776">
        <v>0</v>
      </c>
      <c r="Y72" s="1776">
        <v>0</v>
      </c>
      <c r="Z72" s="1776">
        <v>0</v>
      </c>
      <c r="AA72" s="1776">
        <v>0</v>
      </c>
      <c r="AB72" s="1776">
        <v>0</v>
      </c>
      <c r="AC72" s="1776">
        <v>0</v>
      </c>
      <c r="AD72" s="1776">
        <v>0</v>
      </c>
      <c r="AE72" s="1776">
        <v>0</v>
      </c>
      <c r="AF72" s="1776">
        <v>0</v>
      </c>
      <c r="AG72" s="1776">
        <v>0</v>
      </c>
      <c r="AH72" s="1776">
        <v>0</v>
      </c>
      <c r="AI72" s="1776">
        <v>0</v>
      </c>
      <c r="AJ72" s="1776">
        <v>0</v>
      </c>
      <c r="AK72" s="1776">
        <v>0</v>
      </c>
      <c r="AL72" s="1776">
        <v>0</v>
      </c>
      <c r="AM72" s="1776">
        <v>0</v>
      </c>
      <c r="AN72" s="1776">
        <v>0</v>
      </c>
      <c r="AO72" s="1776">
        <v>0</v>
      </c>
      <c r="AP72" s="1776">
        <v>0</v>
      </c>
      <c r="AQ72" s="1776">
        <v>0</v>
      </c>
      <c r="AR72" s="1776">
        <v>0</v>
      </c>
      <c r="AS72" s="1776">
        <v>0</v>
      </c>
      <c r="AT72" s="1776">
        <v>0</v>
      </c>
      <c r="AU72" s="1776">
        <v>0</v>
      </c>
      <c r="AV72" s="1776">
        <v>0</v>
      </c>
      <c r="AW72" s="1776">
        <v>0</v>
      </c>
      <c r="AX72" s="1776">
        <v>0</v>
      </c>
      <c r="AY72" s="1776">
        <v>0</v>
      </c>
      <c r="AZ72" s="1776">
        <v>0</v>
      </c>
      <c r="BA72" s="1776">
        <v>0</v>
      </c>
      <c r="BB72" s="1776">
        <v>0</v>
      </c>
      <c r="BC72" s="1776">
        <v>0</v>
      </c>
    </row>
    <row r="73" spans="2:55" s="203" customFormat="1" ht="18" hidden="1" customHeight="1" outlineLevel="1" x14ac:dyDescent="0.35">
      <c r="B73" s="276" t="s">
        <v>409</v>
      </c>
      <c r="C73" s="1780">
        <f t="shared" ref="C73:BC73" si="49">C72*$D$71</f>
        <v>4.8473914562613842</v>
      </c>
      <c r="D73" s="1787">
        <f t="shared" si="49"/>
        <v>12.118478640653459</v>
      </c>
      <c r="E73" s="1780">
        <f t="shared" si="49"/>
        <v>7.2710871843920746</v>
      </c>
      <c r="F73" s="1780">
        <f t="shared" si="49"/>
        <v>0</v>
      </c>
      <c r="G73" s="1780">
        <f t="shared" si="49"/>
        <v>0</v>
      </c>
      <c r="H73" s="1780">
        <f t="shared" si="49"/>
        <v>0</v>
      </c>
      <c r="I73" s="1780">
        <f t="shared" si="49"/>
        <v>0</v>
      </c>
      <c r="J73" s="1780">
        <f t="shared" si="49"/>
        <v>0</v>
      </c>
      <c r="K73" s="1780">
        <f t="shared" si="49"/>
        <v>0</v>
      </c>
      <c r="L73" s="1780">
        <f t="shared" si="49"/>
        <v>0</v>
      </c>
      <c r="M73" s="1780">
        <f t="shared" si="49"/>
        <v>0</v>
      </c>
      <c r="N73" s="1780">
        <f t="shared" si="49"/>
        <v>0</v>
      </c>
      <c r="O73" s="1780">
        <f t="shared" si="49"/>
        <v>0</v>
      </c>
      <c r="P73" s="1780">
        <f t="shared" si="49"/>
        <v>0</v>
      </c>
      <c r="Q73" s="1780">
        <f t="shared" si="49"/>
        <v>0</v>
      </c>
      <c r="R73" s="1780">
        <f t="shared" si="49"/>
        <v>0</v>
      </c>
      <c r="S73" s="1780">
        <f t="shared" si="49"/>
        <v>0</v>
      </c>
      <c r="T73" s="1780">
        <f t="shared" si="49"/>
        <v>0</v>
      </c>
      <c r="U73" s="1780">
        <f t="shared" si="49"/>
        <v>0</v>
      </c>
      <c r="V73" s="1780">
        <f t="shared" si="49"/>
        <v>0</v>
      </c>
      <c r="W73" s="1780">
        <f t="shared" si="49"/>
        <v>0</v>
      </c>
      <c r="X73" s="1780">
        <f t="shared" si="49"/>
        <v>0</v>
      </c>
      <c r="Y73" s="1780">
        <f t="shared" si="49"/>
        <v>0</v>
      </c>
      <c r="Z73" s="1780">
        <f t="shared" si="49"/>
        <v>0</v>
      </c>
      <c r="AA73" s="1780">
        <f t="shared" si="49"/>
        <v>0</v>
      </c>
      <c r="AB73" s="1780">
        <f t="shared" si="49"/>
        <v>0</v>
      </c>
      <c r="AC73" s="1780">
        <f t="shared" si="49"/>
        <v>0</v>
      </c>
      <c r="AD73" s="1780">
        <f t="shared" si="49"/>
        <v>0</v>
      </c>
      <c r="AE73" s="1780">
        <f t="shared" si="49"/>
        <v>0</v>
      </c>
      <c r="AF73" s="1780">
        <f t="shared" si="49"/>
        <v>0</v>
      </c>
      <c r="AG73" s="1780">
        <f t="shared" si="49"/>
        <v>0</v>
      </c>
      <c r="AH73" s="1780">
        <f t="shared" si="49"/>
        <v>0</v>
      </c>
      <c r="AI73" s="1780">
        <f t="shared" si="49"/>
        <v>0</v>
      </c>
      <c r="AJ73" s="1780">
        <f t="shared" si="49"/>
        <v>0</v>
      </c>
      <c r="AK73" s="1780">
        <f t="shared" si="49"/>
        <v>0</v>
      </c>
      <c r="AL73" s="1780">
        <f t="shared" si="49"/>
        <v>0</v>
      </c>
      <c r="AM73" s="1780">
        <f t="shared" si="49"/>
        <v>0</v>
      </c>
      <c r="AN73" s="1780">
        <f t="shared" si="49"/>
        <v>0</v>
      </c>
      <c r="AO73" s="1780">
        <f t="shared" si="49"/>
        <v>0</v>
      </c>
      <c r="AP73" s="1780">
        <f t="shared" si="49"/>
        <v>0</v>
      </c>
      <c r="AQ73" s="1780">
        <f t="shared" si="49"/>
        <v>0</v>
      </c>
      <c r="AR73" s="1780">
        <f t="shared" si="49"/>
        <v>0</v>
      </c>
      <c r="AS73" s="1780">
        <f t="shared" si="49"/>
        <v>0</v>
      </c>
      <c r="AT73" s="1780">
        <f t="shared" si="49"/>
        <v>0</v>
      </c>
      <c r="AU73" s="1780">
        <f t="shared" si="49"/>
        <v>0</v>
      </c>
      <c r="AV73" s="1780">
        <f t="shared" si="49"/>
        <v>0</v>
      </c>
      <c r="AW73" s="1780">
        <f t="shared" si="49"/>
        <v>0</v>
      </c>
      <c r="AX73" s="1780">
        <f t="shared" si="49"/>
        <v>0</v>
      </c>
      <c r="AY73" s="1780">
        <f t="shared" si="49"/>
        <v>0</v>
      </c>
      <c r="AZ73" s="1780">
        <f t="shared" si="49"/>
        <v>0</v>
      </c>
      <c r="BA73" s="1780">
        <f t="shared" si="49"/>
        <v>0</v>
      </c>
      <c r="BB73" s="1780">
        <f t="shared" si="49"/>
        <v>0</v>
      </c>
      <c r="BC73" s="1780">
        <f t="shared" si="49"/>
        <v>0</v>
      </c>
    </row>
    <row r="74" spans="2:55" s="203" customFormat="1" ht="18" hidden="1" customHeight="1" outlineLevel="1" x14ac:dyDescent="0.35">
      <c r="B74" s="859" t="str">
        <f>'R&amp;C-Painel de Controle'!F62</f>
        <v>Prod. CDR TMB — Trat. Mec./Biológ.</v>
      </c>
      <c r="C74" s="1768" t="str">
        <f>'R&amp;C-Painel de Controle'!G62</f>
        <v>Não</v>
      </c>
      <c r="D74" s="1786">
        <f>'R&amp;C-Painel de Controle'!K62</f>
        <v>0</v>
      </c>
      <c r="E74" s="1775"/>
      <c r="F74" s="1775"/>
      <c r="G74" s="1775"/>
      <c r="H74" s="1775"/>
      <c r="I74" s="1775"/>
      <c r="J74" s="1775"/>
      <c r="K74" s="1775"/>
      <c r="L74" s="1775"/>
      <c r="M74" s="1775"/>
      <c r="N74" s="1775"/>
      <c r="O74" s="1775"/>
      <c r="P74" s="1775"/>
      <c r="Q74" s="1775"/>
      <c r="R74" s="1775"/>
      <c r="S74" s="1775"/>
      <c r="T74" s="1775"/>
      <c r="U74" s="1775"/>
      <c r="V74" s="1775"/>
      <c r="W74" s="1775"/>
      <c r="X74" s="1775"/>
      <c r="Y74" s="1775"/>
      <c r="Z74" s="1775"/>
      <c r="AA74" s="1775"/>
      <c r="AB74" s="1775"/>
      <c r="AC74" s="1775"/>
      <c r="AD74" s="1775"/>
      <c r="AE74" s="1775"/>
      <c r="AF74" s="1775"/>
      <c r="AG74" s="1775"/>
      <c r="AH74" s="1775"/>
      <c r="AI74" s="1775"/>
      <c r="AJ74" s="1775"/>
      <c r="AK74" s="1775"/>
      <c r="AL74" s="1775"/>
      <c r="AM74" s="1775"/>
      <c r="AN74" s="1775"/>
      <c r="AO74" s="1775"/>
      <c r="AP74" s="1775"/>
      <c r="AQ74" s="1775"/>
      <c r="AR74" s="1775"/>
      <c r="AS74" s="1775"/>
      <c r="AT74" s="1775"/>
      <c r="AU74" s="1775"/>
      <c r="AV74" s="1775"/>
      <c r="AW74" s="1775"/>
      <c r="AX74" s="1775"/>
      <c r="AY74" s="1775"/>
      <c r="AZ74" s="1775"/>
      <c r="BA74" s="1775"/>
      <c r="BB74" s="1775"/>
      <c r="BC74" s="1775"/>
    </row>
    <row r="75" spans="2:55" s="203" customFormat="1" ht="18" hidden="1" customHeight="1" outlineLevel="1" x14ac:dyDescent="0.35">
      <c r="B75" s="276" t="s">
        <v>673</v>
      </c>
      <c r="C75" s="1776">
        <v>0.2</v>
      </c>
      <c r="D75" s="1777">
        <v>0.5</v>
      </c>
      <c r="E75" s="1776">
        <v>0.3</v>
      </c>
      <c r="F75" s="1776">
        <v>0</v>
      </c>
      <c r="G75" s="1776">
        <v>0</v>
      </c>
      <c r="H75" s="1776">
        <v>0</v>
      </c>
      <c r="I75" s="1776">
        <v>0</v>
      </c>
      <c r="J75" s="1776">
        <v>0</v>
      </c>
      <c r="K75" s="1776">
        <v>0</v>
      </c>
      <c r="L75" s="1776">
        <v>0</v>
      </c>
      <c r="M75" s="1776">
        <v>0</v>
      </c>
      <c r="N75" s="1776">
        <v>0</v>
      </c>
      <c r="O75" s="1776">
        <v>0</v>
      </c>
      <c r="P75" s="1776">
        <v>0</v>
      </c>
      <c r="Q75" s="1776">
        <v>0</v>
      </c>
      <c r="R75" s="1776">
        <v>0</v>
      </c>
      <c r="S75" s="1776">
        <v>0</v>
      </c>
      <c r="T75" s="1776">
        <v>0</v>
      </c>
      <c r="U75" s="1776">
        <v>0</v>
      </c>
      <c r="V75" s="1776">
        <v>0</v>
      </c>
      <c r="W75" s="1776">
        <v>0</v>
      </c>
      <c r="X75" s="1776">
        <v>0</v>
      </c>
      <c r="Y75" s="1776">
        <v>0</v>
      </c>
      <c r="Z75" s="1776">
        <v>0</v>
      </c>
      <c r="AA75" s="1776">
        <v>0</v>
      </c>
      <c r="AB75" s="1776">
        <v>0</v>
      </c>
      <c r="AC75" s="1776">
        <v>0</v>
      </c>
      <c r="AD75" s="1776">
        <v>0</v>
      </c>
      <c r="AE75" s="1776">
        <v>0</v>
      </c>
      <c r="AF75" s="1776">
        <v>0</v>
      </c>
      <c r="AG75" s="1776">
        <v>0</v>
      </c>
      <c r="AH75" s="1776">
        <v>0</v>
      </c>
      <c r="AI75" s="1776">
        <v>0</v>
      </c>
      <c r="AJ75" s="1776">
        <v>0</v>
      </c>
      <c r="AK75" s="1776">
        <v>0</v>
      </c>
      <c r="AL75" s="1776">
        <v>0</v>
      </c>
      <c r="AM75" s="1776">
        <v>0</v>
      </c>
      <c r="AN75" s="1776">
        <v>0</v>
      </c>
      <c r="AO75" s="1776">
        <v>0</v>
      </c>
      <c r="AP75" s="1776">
        <v>0</v>
      </c>
      <c r="AQ75" s="1776">
        <v>0</v>
      </c>
      <c r="AR75" s="1776">
        <v>0</v>
      </c>
      <c r="AS75" s="1776">
        <v>0</v>
      </c>
      <c r="AT75" s="1776">
        <v>0</v>
      </c>
      <c r="AU75" s="1776">
        <v>0</v>
      </c>
      <c r="AV75" s="1776">
        <v>0</v>
      </c>
      <c r="AW75" s="1776">
        <v>0</v>
      </c>
      <c r="AX75" s="1776">
        <v>0</v>
      </c>
      <c r="AY75" s="1776">
        <v>0</v>
      </c>
      <c r="AZ75" s="1776">
        <v>0</v>
      </c>
      <c r="BA75" s="1776">
        <v>0</v>
      </c>
      <c r="BB75" s="1776">
        <v>0</v>
      </c>
      <c r="BC75" s="1776">
        <v>0</v>
      </c>
    </row>
    <row r="76" spans="2:55" s="203" customFormat="1" ht="18" hidden="1" customHeight="1" outlineLevel="1" x14ac:dyDescent="0.35">
      <c r="B76" s="276" t="s">
        <v>409</v>
      </c>
      <c r="C76" s="1780">
        <f t="shared" ref="C76:BC76" si="50">C75*$D$74</f>
        <v>0</v>
      </c>
      <c r="D76" s="1787">
        <f t="shared" si="50"/>
        <v>0</v>
      </c>
      <c r="E76" s="1780">
        <f t="shared" si="50"/>
        <v>0</v>
      </c>
      <c r="F76" s="1780">
        <f t="shared" si="50"/>
        <v>0</v>
      </c>
      <c r="G76" s="1780">
        <f t="shared" si="50"/>
        <v>0</v>
      </c>
      <c r="H76" s="1780">
        <f t="shared" si="50"/>
        <v>0</v>
      </c>
      <c r="I76" s="1780">
        <f t="shared" si="50"/>
        <v>0</v>
      </c>
      <c r="J76" s="1780">
        <f t="shared" si="50"/>
        <v>0</v>
      </c>
      <c r="K76" s="1780">
        <f t="shared" si="50"/>
        <v>0</v>
      </c>
      <c r="L76" s="1780">
        <f t="shared" si="50"/>
        <v>0</v>
      </c>
      <c r="M76" s="1780">
        <f t="shared" si="50"/>
        <v>0</v>
      </c>
      <c r="N76" s="1780">
        <f t="shared" si="50"/>
        <v>0</v>
      </c>
      <c r="O76" s="1780">
        <f t="shared" si="50"/>
        <v>0</v>
      </c>
      <c r="P76" s="1780">
        <f t="shared" si="50"/>
        <v>0</v>
      </c>
      <c r="Q76" s="1780">
        <f t="shared" si="50"/>
        <v>0</v>
      </c>
      <c r="R76" s="1780">
        <f t="shared" si="50"/>
        <v>0</v>
      </c>
      <c r="S76" s="1780">
        <f t="shared" si="50"/>
        <v>0</v>
      </c>
      <c r="T76" s="1780">
        <f t="shared" si="50"/>
        <v>0</v>
      </c>
      <c r="U76" s="1780">
        <f t="shared" si="50"/>
        <v>0</v>
      </c>
      <c r="V76" s="1780">
        <f t="shared" si="50"/>
        <v>0</v>
      </c>
      <c r="W76" s="1780">
        <f t="shared" si="50"/>
        <v>0</v>
      </c>
      <c r="X76" s="1780">
        <f t="shared" si="50"/>
        <v>0</v>
      </c>
      <c r="Y76" s="1780">
        <f t="shared" si="50"/>
        <v>0</v>
      </c>
      <c r="Z76" s="1780">
        <f t="shared" si="50"/>
        <v>0</v>
      </c>
      <c r="AA76" s="1780">
        <f t="shared" si="50"/>
        <v>0</v>
      </c>
      <c r="AB76" s="1780">
        <f t="shared" si="50"/>
        <v>0</v>
      </c>
      <c r="AC76" s="1780">
        <f t="shared" si="50"/>
        <v>0</v>
      </c>
      <c r="AD76" s="1780">
        <f t="shared" si="50"/>
        <v>0</v>
      </c>
      <c r="AE76" s="1780">
        <f t="shared" si="50"/>
        <v>0</v>
      </c>
      <c r="AF76" s="1780">
        <f t="shared" si="50"/>
        <v>0</v>
      </c>
      <c r="AG76" s="1780">
        <f t="shared" si="50"/>
        <v>0</v>
      </c>
      <c r="AH76" s="1780">
        <f t="shared" si="50"/>
        <v>0</v>
      </c>
      <c r="AI76" s="1780">
        <f t="shared" si="50"/>
        <v>0</v>
      </c>
      <c r="AJ76" s="1780">
        <f t="shared" si="50"/>
        <v>0</v>
      </c>
      <c r="AK76" s="1780">
        <f t="shared" si="50"/>
        <v>0</v>
      </c>
      <c r="AL76" s="1780">
        <f t="shared" si="50"/>
        <v>0</v>
      </c>
      <c r="AM76" s="1780">
        <f t="shared" si="50"/>
        <v>0</v>
      </c>
      <c r="AN76" s="1780">
        <f t="shared" si="50"/>
        <v>0</v>
      </c>
      <c r="AO76" s="1780">
        <f t="shared" si="50"/>
        <v>0</v>
      </c>
      <c r="AP76" s="1780">
        <f t="shared" si="50"/>
        <v>0</v>
      </c>
      <c r="AQ76" s="1780">
        <f t="shared" si="50"/>
        <v>0</v>
      </c>
      <c r="AR76" s="1780">
        <f t="shared" si="50"/>
        <v>0</v>
      </c>
      <c r="AS76" s="1780">
        <f t="shared" si="50"/>
        <v>0</v>
      </c>
      <c r="AT76" s="1780">
        <f t="shared" si="50"/>
        <v>0</v>
      </c>
      <c r="AU76" s="1780">
        <f t="shared" si="50"/>
        <v>0</v>
      </c>
      <c r="AV76" s="1780">
        <f t="shared" si="50"/>
        <v>0</v>
      </c>
      <c r="AW76" s="1780">
        <f t="shared" si="50"/>
        <v>0</v>
      </c>
      <c r="AX76" s="1780">
        <f t="shared" si="50"/>
        <v>0</v>
      </c>
      <c r="AY76" s="1780">
        <f t="shared" si="50"/>
        <v>0</v>
      </c>
      <c r="AZ76" s="1780">
        <f t="shared" si="50"/>
        <v>0</v>
      </c>
      <c r="BA76" s="1780">
        <f t="shared" si="50"/>
        <v>0</v>
      </c>
      <c r="BB76" s="1780">
        <f t="shared" si="50"/>
        <v>0</v>
      </c>
      <c r="BC76" s="1780">
        <f t="shared" si="50"/>
        <v>0</v>
      </c>
    </row>
    <row r="77" spans="2:55" s="203" customFormat="1" ht="18" hidden="1" customHeight="1" outlineLevel="1" x14ac:dyDescent="0.35">
      <c r="B77" s="859" t="str">
        <f>'R&amp;C-Painel de Controle'!F65</f>
        <v>Biodigestão Anaeróbia</v>
      </c>
      <c r="C77" s="1768" t="str">
        <f>'R&amp;C-Painel de Controle'!G65</f>
        <v>Sim</v>
      </c>
      <c r="D77" s="1786">
        <f>'R&amp;C-Painel de Controle'!K65</f>
        <v>343.01724240354127</v>
      </c>
      <c r="E77" s="1686"/>
      <c r="F77" s="1686"/>
      <c r="G77" s="1686"/>
      <c r="H77" s="1686"/>
      <c r="I77" s="1686"/>
      <c r="J77" s="1686"/>
      <c r="K77" s="1686"/>
      <c r="L77" s="1686"/>
      <c r="M77" s="1686"/>
      <c r="N77" s="1686"/>
      <c r="O77" s="1686"/>
      <c r="P77" s="1686"/>
      <c r="Q77" s="1686"/>
      <c r="R77" s="1686"/>
      <c r="S77" s="1686"/>
      <c r="T77" s="1686"/>
      <c r="U77" s="1686"/>
      <c r="V77" s="1686"/>
      <c r="W77" s="1686"/>
      <c r="X77" s="1686"/>
      <c r="Y77" s="1686"/>
      <c r="Z77" s="1686"/>
      <c r="AA77" s="1686"/>
      <c r="AB77" s="1686"/>
      <c r="AC77" s="1686"/>
      <c r="AD77" s="1686"/>
      <c r="AE77" s="1686"/>
      <c r="AF77" s="1686"/>
      <c r="AG77" s="1686"/>
      <c r="AH77" s="1686"/>
      <c r="AI77" s="1686"/>
      <c r="AJ77" s="1686"/>
      <c r="AK77" s="1686"/>
      <c r="AL77" s="1686"/>
      <c r="AM77" s="1686"/>
      <c r="AN77" s="1686"/>
      <c r="AO77" s="1686"/>
      <c r="AP77" s="1686"/>
      <c r="AQ77" s="1686"/>
      <c r="AR77" s="1686"/>
      <c r="AS77" s="1686"/>
      <c r="AT77" s="1686"/>
      <c r="AU77" s="1686"/>
      <c r="AV77" s="1686"/>
      <c r="AW77" s="1686"/>
      <c r="AX77" s="1686"/>
      <c r="AY77" s="1686"/>
      <c r="AZ77" s="1686"/>
      <c r="BA77" s="1686"/>
      <c r="BB77" s="1686"/>
      <c r="BC77" s="1686"/>
    </row>
    <row r="78" spans="2:55" s="203" customFormat="1" ht="18" hidden="1" customHeight="1" outlineLevel="1" x14ac:dyDescent="0.35">
      <c r="B78" s="276" t="s">
        <v>673</v>
      </c>
      <c r="C78" s="1776">
        <v>0.2</v>
      </c>
      <c r="D78" s="1777">
        <v>0.5</v>
      </c>
      <c r="E78" s="1776">
        <v>0.3</v>
      </c>
      <c r="F78" s="1776">
        <v>0</v>
      </c>
      <c r="G78" s="1776">
        <v>0</v>
      </c>
      <c r="H78" s="1776">
        <v>0</v>
      </c>
      <c r="I78" s="1776">
        <v>0</v>
      </c>
      <c r="J78" s="1776">
        <v>0</v>
      </c>
      <c r="K78" s="1776">
        <v>0</v>
      </c>
      <c r="L78" s="1776">
        <v>0</v>
      </c>
      <c r="M78" s="1776">
        <v>0</v>
      </c>
      <c r="N78" s="1776">
        <v>0</v>
      </c>
      <c r="O78" s="1776">
        <v>0</v>
      </c>
      <c r="P78" s="1776">
        <v>0</v>
      </c>
      <c r="Q78" s="1776">
        <v>0</v>
      </c>
      <c r="R78" s="1776">
        <v>0</v>
      </c>
      <c r="S78" s="1776">
        <v>0</v>
      </c>
      <c r="T78" s="1776">
        <v>0</v>
      </c>
      <c r="U78" s="1776">
        <v>0</v>
      </c>
      <c r="V78" s="1776">
        <v>0</v>
      </c>
      <c r="W78" s="1776">
        <v>0</v>
      </c>
      <c r="X78" s="1776">
        <v>0</v>
      </c>
      <c r="Y78" s="1776">
        <v>0</v>
      </c>
      <c r="Z78" s="1776">
        <v>0</v>
      </c>
      <c r="AA78" s="1776">
        <v>0</v>
      </c>
      <c r="AB78" s="1776">
        <v>0</v>
      </c>
      <c r="AC78" s="1776">
        <v>0</v>
      </c>
      <c r="AD78" s="1776">
        <v>0</v>
      </c>
      <c r="AE78" s="1776">
        <v>0</v>
      </c>
      <c r="AF78" s="1776">
        <v>0</v>
      </c>
      <c r="AG78" s="1776">
        <v>0</v>
      </c>
      <c r="AH78" s="1776">
        <v>0</v>
      </c>
      <c r="AI78" s="1776">
        <v>0</v>
      </c>
      <c r="AJ78" s="1776">
        <v>0</v>
      </c>
      <c r="AK78" s="1776">
        <v>0</v>
      </c>
      <c r="AL78" s="1776">
        <v>0</v>
      </c>
      <c r="AM78" s="1776">
        <v>0</v>
      </c>
      <c r="AN78" s="1776">
        <v>0</v>
      </c>
      <c r="AO78" s="1776">
        <v>0</v>
      </c>
      <c r="AP78" s="1776">
        <v>0</v>
      </c>
      <c r="AQ78" s="1776">
        <v>0</v>
      </c>
      <c r="AR78" s="1776">
        <v>0</v>
      </c>
      <c r="AS78" s="1776">
        <v>0</v>
      </c>
      <c r="AT78" s="1776">
        <v>0</v>
      </c>
      <c r="AU78" s="1776">
        <v>0</v>
      </c>
      <c r="AV78" s="1776">
        <v>0</v>
      </c>
      <c r="AW78" s="1776">
        <v>0</v>
      </c>
      <c r="AX78" s="1776">
        <v>0</v>
      </c>
      <c r="AY78" s="1776">
        <v>0</v>
      </c>
      <c r="AZ78" s="1776">
        <v>0</v>
      </c>
      <c r="BA78" s="1776">
        <v>0</v>
      </c>
      <c r="BB78" s="1776">
        <v>0</v>
      </c>
      <c r="BC78" s="1776">
        <v>0</v>
      </c>
    </row>
    <row r="79" spans="2:55" s="203" customFormat="1" ht="18" hidden="1" customHeight="1" outlineLevel="1" x14ac:dyDescent="0.35">
      <c r="B79" s="276" t="s">
        <v>409</v>
      </c>
      <c r="C79" s="1780">
        <f t="shared" ref="C79:BC79" si="51">C78*$D$77</f>
        <v>68.603448480708252</v>
      </c>
      <c r="D79" s="1787">
        <f t="shared" si="51"/>
        <v>171.50862120177064</v>
      </c>
      <c r="E79" s="1780">
        <f t="shared" si="51"/>
        <v>102.90517272106239</v>
      </c>
      <c r="F79" s="1780">
        <f t="shared" si="51"/>
        <v>0</v>
      </c>
      <c r="G79" s="1780">
        <f t="shared" si="51"/>
        <v>0</v>
      </c>
      <c r="H79" s="1780">
        <f t="shared" si="51"/>
        <v>0</v>
      </c>
      <c r="I79" s="1780">
        <f t="shared" si="51"/>
        <v>0</v>
      </c>
      <c r="J79" s="1780">
        <f t="shared" si="51"/>
        <v>0</v>
      </c>
      <c r="K79" s="1780">
        <f t="shared" si="51"/>
        <v>0</v>
      </c>
      <c r="L79" s="1780">
        <f t="shared" si="51"/>
        <v>0</v>
      </c>
      <c r="M79" s="1780">
        <f t="shared" si="51"/>
        <v>0</v>
      </c>
      <c r="N79" s="1780">
        <f t="shared" si="51"/>
        <v>0</v>
      </c>
      <c r="O79" s="1780">
        <f t="shared" si="51"/>
        <v>0</v>
      </c>
      <c r="P79" s="1780">
        <f t="shared" si="51"/>
        <v>0</v>
      </c>
      <c r="Q79" s="1780">
        <f t="shared" si="51"/>
        <v>0</v>
      </c>
      <c r="R79" s="1780">
        <f t="shared" si="51"/>
        <v>0</v>
      </c>
      <c r="S79" s="1780">
        <f t="shared" si="51"/>
        <v>0</v>
      </c>
      <c r="T79" s="1780">
        <f t="shared" si="51"/>
        <v>0</v>
      </c>
      <c r="U79" s="1780">
        <f t="shared" si="51"/>
        <v>0</v>
      </c>
      <c r="V79" s="1780">
        <f t="shared" si="51"/>
        <v>0</v>
      </c>
      <c r="W79" s="1780">
        <f t="shared" si="51"/>
        <v>0</v>
      </c>
      <c r="X79" s="1780">
        <f t="shared" si="51"/>
        <v>0</v>
      </c>
      <c r="Y79" s="1780">
        <f t="shared" si="51"/>
        <v>0</v>
      </c>
      <c r="Z79" s="1780">
        <f t="shared" si="51"/>
        <v>0</v>
      </c>
      <c r="AA79" s="1780">
        <f t="shared" si="51"/>
        <v>0</v>
      </c>
      <c r="AB79" s="1780">
        <f t="shared" si="51"/>
        <v>0</v>
      </c>
      <c r="AC79" s="1780">
        <f t="shared" si="51"/>
        <v>0</v>
      </c>
      <c r="AD79" s="1780">
        <f t="shared" si="51"/>
        <v>0</v>
      </c>
      <c r="AE79" s="1780">
        <f t="shared" si="51"/>
        <v>0</v>
      </c>
      <c r="AF79" s="1780">
        <f t="shared" si="51"/>
        <v>0</v>
      </c>
      <c r="AG79" s="1780">
        <f t="shared" si="51"/>
        <v>0</v>
      </c>
      <c r="AH79" s="1780">
        <f t="shared" si="51"/>
        <v>0</v>
      </c>
      <c r="AI79" s="1780">
        <f t="shared" si="51"/>
        <v>0</v>
      </c>
      <c r="AJ79" s="1780">
        <f t="shared" si="51"/>
        <v>0</v>
      </c>
      <c r="AK79" s="1780">
        <f t="shared" si="51"/>
        <v>0</v>
      </c>
      <c r="AL79" s="1780">
        <f t="shared" si="51"/>
        <v>0</v>
      </c>
      <c r="AM79" s="1780">
        <f t="shared" si="51"/>
        <v>0</v>
      </c>
      <c r="AN79" s="1780">
        <f t="shared" si="51"/>
        <v>0</v>
      </c>
      <c r="AO79" s="1780">
        <f t="shared" si="51"/>
        <v>0</v>
      </c>
      <c r="AP79" s="1780">
        <f t="shared" si="51"/>
        <v>0</v>
      </c>
      <c r="AQ79" s="1780">
        <f t="shared" si="51"/>
        <v>0</v>
      </c>
      <c r="AR79" s="1780">
        <f t="shared" si="51"/>
        <v>0</v>
      </c>
      <c r="AS79" s="1780">
        <f t="shared" si="51"/>
        <v>0</v>
      </c>
      <c r="AT79" s="1780">
        <f t="shared" si="51"/>
        <v>0</v>
      </c>
      <c r="AU79" s="1780">
        <f t="shared" si="51"/>
        <v>0</v>
      </c>
      <c r="AV79" s="1780">
        <f t="shared" si="51"/>
        <v>0</v>
      </c>
      <c r="AW79" s="1780">
        <f t="shared" si="51"/>
        <v>0</v>
      </c>
      <c r="AX79" s="1780">
        <f t="shared" si="51"/>
        <v>0</v>
      </c>
      <c r="AY79" s="1780">
        <f t="shared" si="51"/>
        <v>0</v>
      </c>
      <c r="AZ79" s="1780">
        <f t="shared" si="51"/>
        <v>0</v>
      </c>
      <c r="BA79" s="1780">
        <f t="shared" si="51"/>
        <v>0</v>
      </c>
      <c r="BB79" s="1780">
        <f t="shared" si="51"/>
        <v>0</v>
      </c>
      <c r="BC79" s="1780">
        <f t="shared" si="51"/>
        <v>0</v>
      </c>
    </row>
    <row r="80" spans="2:55" s="203" customFormat="1" ht="18" hidden="1" customHeight="1" outlineLevel="1" x14ac:dyDescent="0.35">
      <c r="B80" s="859" t="str">
        <f>'R&amp;C-Painel de Controle'!F68</f>
        <v>Compostagem</v>
      </c>
      <c r="C80" s="1768" t="str">
        <f>'R&amp;C-Painel de Controle'!G68</f>
        <v>Sim</v>
      </c>
      <c r="D80" s="1786">
        <f>'R&amp;C-Painel de Controle'!K68</f>
        <v>79.975123750323903</v>
      </c>
      <c r="E80" s="1775"/>
      <c r="F80" s="1775"/>
      <c r="G80" s="1775"/>
      <c r="H80" s="1775"/>
      <c r="I80" s="1775"/>
      <c r="J80" s="1775"/>
      <c r="K80" s="1775"/>
      <c r="L80" s="1775"/>
      <c r="M80" s="1775"/>
      <c r="N80" s="1775"/>
      <c r="O80" s="1775"/>
      <c r="P80" s="1775"/>
      <c r="Q80" s="1775"/>
      <c r="R80" s="1775"/>
      <c r="S80" s="1775"/>
      <c r="T80" s="1775"/>
      <c r="U80" s="1775"/>
      <c r="V80" s="1775"/>
      <c r="W80" s="1775"/>
      <c r="X80" s="1775"/>
      <c r="Y80" s="1775"/>
      <c r="Z80" s="1775"/>
      <c r="AA80" s="1775"/>
      <c r="AB80" s="1775"/>
      <c r="AC80" s="1775"/>
      <c r="AD80" s="1775"/>
      <c r="AE80" s="1775"/>
      <c r="AF80" s="1775"/>
      <c r="AG80" s="1775"/>
      <c r="AH80" s="1775"/>
      <c r="AI80" s="1775"/>
      <c r="AJ80" s="1775"/>
      <c r="AK80" s="1775"/>
      <c r="AL80" s="1775"/>
      <c r="AM80" s="1775"/>
      <c r="AN80" s="1775"/>
      <c r="AO80" s="1775"/>
      <c r="AP80" s="1775"/>
      <c r="AQ80" s="1775"/>
      <c r="AR80" s="1775"/>
      <c r="AS80" s="1775"/>
      <c r="AT80" s="1775"/>
      <c r="AU80" s="1775"/>
      <c r="AV80" s="1775"/>
      <c r="AW80" s="1775"/>
      <c r="AX80" s="1775"/>
      <c r="AY80" s="1775"/>
      <c r="AZ80" s="1775"/>
      <c r="BA80" s="1775"/>
      <c r="BB80" s="1775"/>
      <c r="BC80" s="1775"/>
    </row>
    <row r="81" spans="1:58" s="203" customFormat="1" ht="18" hidden="1" customHeight="1" outlineLevel="1" x14ac:dyDescent="0.35">
      <c r="B81" s="276" t="s">
        <v>673</v>
      </c>
      <c r="C81" s="1776">
        <v>0.2</v>
      </c>
      <c r="D81" s="1777">
        <v>0.5</v>
      </c>
      <c r="E81" s="1788">
        <v>0.3</v>
      </c>
      <c r="F81" s="1776">
        <v>0</v>
      </c>
      <c r="G81" s="1776">
        <v>0</v>
      </c>
      <c r="H81" s="1776">
        <v>0</v>
      </c>
      <c r="I81" s="1776">
        <v>0</v>
      </c>
      <c r="J81" s="1776">
        <v>0</v>
      </c>
      <c r="K81" s="1776">
        <v>0</v>
      </c>
      <c r="L81" s="1776">
        <v>0</v>
      </c>
      <c r="M81" s="1776">
        <v>0</v>
      </c>
      <c r="N81" s="1776">
        <v>0</v>
      </c>
      <c r="O81" s="1776">
        <v>0</v>
      </c>
      <c r="P81" s="1776">
        <v>0</v>
      </c>
      <c r="Q81" s="1776">
        <v>0</v>
      </c>
      <c r="R81" s="1776">
        <v>0</v>
      </c>
      <c r="S81" s="1776">
        <v>0</v>
      </c>
      <c r="T81" s="1776">
        <v>0</v>
      </c>
      <c r="U81" s="1776">
        <v>0</v>
      </c>
      <c r="V81" s="1776">
        <v>0</v>
      </c>
      <c r="W81" s="1776">
        <v>0</v>
      </c>
      <c r="X81" s="1776">
        <v>0</v>
      </c>
      <c r="Y81" s="1776">
        <v>0</v>
      </c>
      <c r="Z81" s="1776">
        <v>0</v>
      </c>
      <c r="AA81" s="1776">
        <v>0</v>
      </c>
      <c r="AB81" s="1776">
        <v>0</v>
      </c>
      <c r="AC81" s="1776">
        <v>0</v>
      </c>
      <c r="AD81" s="1776">
        <v>0</v>
      </c>
      <c r="AE81" s="1776">
        <v>0</v>
      </c>
      <c r="AF81" s="1776">
        <v>0</v>
      </c>
      <c r="AG81" s="1776">
        <v>0</v>
      </c>
      <c r="AH81" s="1776">
        <v>0</v>
      </c>
      <c r="AI81" s="1776">
        <v>0</v>
      </c>
      <c r="AJ81" s="1776">
        <v>0</v>
      </c>
      <c r="AK81" s="1776">
        <v>0</v>
      </c>
      <c r="AL81" s="1776">
        <v>0</v>
      </c>
      <c r="AM81" s="1776">
        <v>0</v>
      </c>
      <c r="AN81" s="1776">
        <v>0</v>
      </c>
      <c r="AO81" s="1776">
        <v>0</v>
      </c>
      <c r="AP81" s="1776">
        <v>0</v>
      </c>
      <c r="AQ81" s="1776">
        <v>0</v>
      </c>
      <c r="AR81" s="1776">
        <v>0</v>
      </c>
      <c r="AS81" s="1776">
        <v>0</v>
      </c>
      <c r="AT81" s="1776">
        <v>0</v>
      </c>
      <c r="AU81" s="1776">
        <v>0</v>
      </c>
      <c r="AV81" s="1776">
        <v>0</v>
      </c>
      <c r="AW81" s="1776">
        <v>0</v>
      </c>
      <c r="AX81" s="1776">
        <v>0</v>
      </c>
      <c r="AY81" s="1776">
        <v>0</v>
      </c>
      <c r="AZ81" s="1776">
        <v>0</v>
      </c>
      <c r="BA81" s="1776">
        <v>0</v>
      </c>
      <c r="BB81" s="1776">
        <v>0</v>
      </c>
      <c r="BC81" s="1776">
        <v>0</v>
      </c>
    </row>
    <row r="82" spans="1:58" s="203" customFormat="1" ht="18" hidden="1" customHeight="1" outlineLevel="1" x14ac:dyDescent="0.35">
      <c r="B82" s="276" t="s">
        <v>409</v>
      </c>
      <c r="C82" s="1780">
        <f t="shared" ref="C82:BC82" si="52">C81*$D$80</f>
        <v>15.995024750064781</v>
      </c>
      <c r="D82" s="1787">
        <f t="shared" si="52"/>
        <v>39.987561875161951</v>
      </c>
      <c r="E82" s="1789">
        <f t="shared" si="52"/>
        <v>23.992537125097169</v>
      </c>
      <c r="F82" s="1780">
        <f t="shared" si="52"/>
        <v>0</v>
      </c>
      <c r="G82" s="1780">
        <f t="shared" si="52"/>
        <v>0</v>
      </c>
      <c r="H82" s="1780">
        <f t="shared" si="52"/>
        <v>0</v>
      </c>
      <c r="I82" s="1780">
        <f t="shared" si="52"/>
        <v>0</v>
      </c>
      <c r="J82" s="1780">
        <f t="shared" si="52"/>
        <v>0</v>
      </c>
      <c r="K82" s="1780">
        <f t="shared" si="52"/>
        <v>0</v>
      </c>
      <c r="L82" s="1780">
        <f t="shared" si="52"/>
        <v>0</v>
      </c>
      <c r="M82" s="1780">
        <f t="shared" si="52"/>
        <v>0</v>
      </c>
      <c r="N82" s="1780">
        <f t="shared" si="52"/>
        <v>0</v>
      </c>
      <c r="O82" s="1780">
        <f t="shared" si="52"/>
        <v>0</v>
      </c>
      <c r="P82" s="1780">
        <f t="shared" si="52"/>
        <v>0</v>
      </c>
      <c r="Q82" s="1780">
        <f t="shared" si="52"/>
        <v>0</v>
      </c>
      <c r="R82" s="1780">
        <f t="shared" si="52"/>
        <v>0</v>
      </c>
      <c r="S82" s="1780">
        <f t="shared" si="52"/>
        <v>0</v>
      </c>
      <c r="T82" s="1780">
        <f t="shared" si="52"/>
        <v>0</v>
      </c>
      <c r="U82" s="1780">
        <f t="shared" si="52"/>
        <v>0</v>
      </c>
      <c r="V82" s="1780">
        <f t="shared" si="52"/>
        <v>0</v>
      </c>
      <c r="W82" s="1780">
        <f t="shared" si="52"/>
        <v>0</v>
      </c>
      <c r="X82" s="1780">
        <f t="shared" si="52"/>
        <v>0</v>
      </c>
      <c r="Y82" s="1780">
        <f t="shared" si="52"/>
        <v>0</v>
      </c>
      <c r="Z82" s="1780">
        <f t="shared" si="52"/>
        <v>0</v>
      </c>
      <c r="AA82" s="1780">
        <f t="shared" si="52"/>
        <v>0</v>
      </c>
      <c r="AB82" s="1780">
        <f t="shared" si="52"/>
        <v>0</v>
      </c>
      <c r="AC82" s="1780">
        <f t="shared" si="52"/>
        <v>0</v>
      </c>
      <c r="AD82" s="1780">
        <f t="shared" si="52"/>
        <v>0</v>
      </c>
      <c r="AE82" s="1780">
        <f t="shared" si="52"/>
        <v>0</v>
      </c>
      <c r="AF82" s="1780">
        <f t="shared" si="52"/>
        <v>0</v>
      </c>
      <c r="AG82" s="1780">
        <f t="shared" si="52"/>
        <v>0</v>
      </c>
      <c r="AH82" s="1780">
        <f t="shared" si="52"/>
        <v>0</v>
      </c>
      <c r="AI82" s="1780">
        <f t="shared" si="52"/>
        <v>0</v>
      </c>
      <c r="AJ82" s="1780">
        <f t="shared" si="52"/>
        <v>0</v>
      </c>
      <c r="AK82" s="1780">
        <f t="shared" si="52"/>
        <v>0</v>
      </c>
      <c r="AL82" s="1780">
        <f t="shared" si="52"/>
        <v>0</v>
      </c>
      <c r="AM82" s="1780">
        <f t="shared" si="52"/>
        <v>0</v>
      </c>
      <c r="AN82" s="1780">
        <f t="shared" si="52"/>
        <v>0</v>
      </c>
      <c r="AO82" s="1780">
        <f t="shared" si="52"/>
        <v>0</v>
      </c>
      <c r="AP82" s="1780">
        <f t="shared" si="52"/>
        <v>0</v>
      </c>
      <c r="AQ82" s="1780">
        <f t="shared" si="52"/>
        <v>0</v>
      </c>
      <c r="AR82" s="1780">
        <f t="shared" si="52"/>
        <v>0</v>
      </c>
      <c r="AS82" s="1780">
        <f t="shared" si="52"/>
        <v>0</v>
      </c>
      <c r="AT82" s="1780">
        <f t="shared" si="52"/>
        <v>0</v>
      </c>
      <c r="AU82" s="1780">
        <f t="shared" si="52"/>
        <v>0</v>
      </c>
      <c r="AV82" s="1780">
        <f t="shared" si="52"/>
        <v>0</v>
      </c>
      <c r="AW82" s="1780">
        <f t="shared" si="52"/>
        <v>0</v>
      </c>
      <c r="AX82" s="1780">
        <f t="shared" si="52"/>
        <v>0</v>
      </c>
      <c r="AY82" s="1780">
        <f t="shared" si="52"/>
        <v>0</v>
      </c>
      <c r="AZ82" s="1780">
        <f t="shared" si="52"/>
        <v>0</v>
      </c>
      <c r="BA82" s="1780">
        <f t="shared" si="52"/>
        <v>0</v>
      </c>
      <c r="BB82" s="1780">
        <f t="shared" si="52"/>
        <v>0</v>
      </c>
      <c r="BC82" s="1780">
        <f t="shared" si="52"/>
        <v>0</v>
      </c>
    </row>
    <row r="83" spans="1:58" s="203" customFormat="1" ht="18" hidden="1" customHeight="1" outlineLevel="1" x14ac:dyDescent="0.35">
      <c r="B83" s="859" t="str">
        <f>'R&amp;C-Painel de Controle'!F71</f>
        <v>Incineração</v>
      </c>
      <c r="C83" s="1768" t="str">
        <f>'R&amp;C-Painel de Controle'!G71</f>
        <v>Sim</v>
      </c>
      <c r="D83" s="1786">
        <f>'R&amp;C-Painel de Controle'!K71</f>
        <v>891.62250448216832</v>
      </c>
      <c r="E83" s="1686"/>
      <c r="F83" s="1686"/>
      <c r="G83" s="1686"/>
      <c r="H83" s="1686"/>
      <c r="I83" s="1686"/>
      <c r="J83" s="1686"/>
      <c r="K83" s="1686"/>
      <c r="L83" s="1686"/>
      <c r="M83" s="1686"/>
      <c r="N83" s="1686"/>
      <c r="O83" s="1686"/>
      <c r="P83" s="1686"/>
      <c r="Q83" s="1686"/>
      <c r="R83" s="1686"/>
      <c r="S83" s="1686"/>
      <c r="T83" s="1686"/>
      <c r="U83" s="1686"/>
      <c r="V83" s="1686"/>
      <c r="W83" s="1686"/>
      <c r="X83" s="1686"/>
      <c r="Y83" s="1686"/>
      <c r="Z83" s="1686"/>
      <c r="AA83" s="1686"/>
      <c r="AB83" s="1686"/>
      <c r="AC83" s="1686"/>
      <c r="AD83" s="1686"/>
      <c r="AE83" s="1686"/>
      <c r="AF83" s="1686"/>
      <c r="AG83" s="1686"/>
      <c r="AH83" s="1686"/>
      <c r="AI83" s="1686"/>
      <c r="AJ83" s="1686"/>
      <c r="AK83" s="1686"/>
      <c r="AL83" s="1686"/>
      <c r="AM83" s="1686"/>
      <c r="AN83" s="1686"/>
      <c r="AO83" s="1686"/>
      <c r="AP83" s="1686"/>
      <c r="AQ83" s="1686"/>
      <c r="AR83" s="1686"/>
      <c r="AS83" s="1686"/>
      <c r="AT83" s="1686"/>
      <c r="AU83" s="1686"/>
      <c r="AV83" s="1686"/>
      <c r="AW83" s="1686"/>
      <c r="AX83" s="1686"/>
      <c r="AY83" s="1686"/>
      <c r="AZ83" s="1686"/>
      <c r="BA83" s="1686"/>
      <c r="BB83" s="1686"/>
      <c r="BC83" s="1686"/>
    </row>
    <row r="84" spans="1:58" s="203" customFormat="1" ht="18" hidden="1" customHeight="1" outlineLevel="1" x14ac:dyDescent="0.35">
      <c r="B84" s="276" t="s">
        <v>673</v>
      </c>
      <c r="C84" s="1776">
        <v>0.2</v>
      </c>
      <c r="D84" s="1777">
        <v>0.5</v>
      </c>
      <c r="E84" s="1788">
        <v>0.3</v>
      </c>
      <c r="F84" s="1776">
        <v>0</v>
      </c>
      <c r="G84" s="1776">
        <v>0</v>
      </c>
      <c r="H84" s="1776">
        <v>0</v>
      </c>
      <c r="I84" s="1776">
        <v>0</v>
      </c>
      <c r="J84" s="1776">
        <v>0</v>
      </c>
      <c r="K84" s="1776">
        <v>0</v>
      </c>
      <c r="L84" s="1776">
        <v>0</v>
      </c>
      <c r="M84" s="1776">
        <v>0</v>
      </c>
      <c r="N84" s="1776">
        <v>0</v>
      </c>
      <c r="O84" s="1776">
        <v>0</v>
      </c>
      <c r="P84" s="1776">
        <v>0</v>
      </c>
      <c r="Q84" s="1776">
        <v>0</v>
      </c>
      <c r="R84" s="1776">
        <v>0</v>
      </c>
      <c r="S84" s="1776">
        <v>0</v>
      </c>
      <c r="T84" s="1776">
        <v>0</v>
      </c>
      <c r="U84" s="1776">
        <v>0</v>
      </c>
      <c r="V84" s="1776">
        <v>0</v>
      </c>
      <c r="W84" s="1776">
        <v>0</v>
      </c>
      <c r="X84" s="1776">
        <v>0</v>
      </c>
      <c r="Y84" s="1776">
        <v>0</v>
      </c>
      <c r="Z84" s="1776">
        <v>0</v>
      </c>
      <c r="AA84" s="1776">
        <v>0</v>
      </c>
      <c r="AB84" s="1776">
        <v>0</v>
      </c>
      <c r="AC84" s="1776">
        <v>0</v>
      </c>
      <c r="AD84" s="1776">
        <v>0</v>
      </c>
      <c r="AE84" s="1776">
        <v>0</v>
      </c>
      <c r="AF84" s="1776">
        <v>0</v>
      </c>
      <c r="AG84" s="1776">
        <v>0</v>
      </c>
      <c r="AH84" s="1776">
        <v>0</v>
      </c>
      <c r="AI84" s="1776">
        <v>0</v>
      </c>
      <c r="AJ84" s="1776">
        <v>0</v>
      </c>
      <c r="AK84" s="1776">
        <v>0</v>
      </c>
      <c r="AL84" s="1776">
        <v>0</v>
      </c>
      <c r="AM84" s="1776">
        <v>0</v>
      </c>
      <c r="AN84" s="1776">
        <v>0</v>
      </c>
      <c r="AO84" s="1776">
        <v>0</v>
      </c>
      <c r="AP84" s="1776">
        <v>0</v>
      </c>
      <c r="AQ84" s="1776">
        <v>0</v>
      </c>
      <c r="AR84" s="1776">
        <v>0</v>
      </c>
      <c r="AS84" s="1776">
        <v>0</v>
      </c>
      <c r="AT84" s="1776">
        <v>0</v>
      </c>
      <c r="AU84" s="1776">
        <v>0</v>
      </c>
      <c r="AV84" s="1776">
        <v>0</v>
      </c>
      <c r="AW84" s="1776">
        <v>0</v>
      </c>
      <c r="AX84" s="1776">
        <v>0</v>
      </c>
      <c r="AY84" s="1776">
        <v>0</v>
      </c>
      <c r="AZ84" s="1776">
        <v>0</v>
      </c>
      <c r="BA84" s="1776">
        <v>0</v>
      </c>
      <c r="BB84" s="1776">
        <v>0</v>
      </c>
      <c r="BC84" s="1776">
        <v>0</v>
      </c>
    </row>
    <row r="85" spans="1:58" s="203" customFormat="1" ht="18" hidden="1" customHeight="1" outlineLevel="1" x14ac:dyDescent="0.35">
      <c r="B85" s="276" t="s">
        <v>409</v>
      </c>
      <c r="C85" s="1780">
        <f t="shared" ref="C85:BC85" si="53">C84*$D$83</f>
        <v>178.32450089643368</v>
      </c>
      <c r="D85" s="1787">
        <f t="shared" si="53"/>
        <v>445.81125224108416</v>
      </c>
      <c r="E85" s="1789">
        <f t="shared" si="53"/>
        <v>267.48675134465049</v>
      </c>
      <c r="F85" s="1780">
        <f t="shared" si="53"/>
        <v>0</v>
      </c>
      <c r="G85" s="1780">
        <f t="shared" si="53"/>
        <v>0</v>
      </c>
      <c r="H85" s="1780">
        <f t="shared" si="53"/>
        <v>0</v>
      </c>
      <c r="I85" s="1780">
        <f t="shared" si="53"/>
        <v>0</v>
      </c>
      <c r="J85" s="1780">
        <f t="shared" si="53"/>
        <v>0</v>
      </c>
      <c r="K85" s="1780">
        <f t="shared" si="53"/>
        <v>0</v>
      </c>
      <c r="L85" s="1780">
        <f t="shared" si="53"/>
        <v>0</v>
      </c>
      <c r="M85" s="1780">
        <f t="shared" si="53"/>
        <v>0</v>
      </c>
      <c r="N85" s="1780">
        <f t="shared" si="53"/>
        <v>0</v>
      </c>
      <c r="O85" s="1780">
        <f t="shared" si="53"/>
        <v>0</v>
      </c>
      <c r="P85" s="1780">
        <f t="shared" si="53"/>
        <v>0</v>
      </c>
      <c r="Q85" s="1780">
        <f t="shared" si="53"/>
        <v>0</v>
      </c>
      <c r="R85" s="1780">
        <f t="shared" si="53"/>
        <v>0</v>
      </c>
      <c r="S85" s="1780">
        <f t="shared" si="53"/>
        <v>0</v>
      </c>
      <c r="T85" s="1780">
        <f t="shared" si="53"/>
        <v>0</v>
      </c>
      <c r="U85" s="1780">
        <f t="shared" si="53"/>
        <v>0</v>
      </c>
      <c r="V85" s="1780">
        <f t="shared" si="53"/>
        <v>0</v>
      </c>
      <c r="W85" s="1780">
        <f t="shared" si="53"/>
        <v>0</v>
      </c>
      <c r="X85" s="1780">
        <f t="shared" si="53"/>
        <v>0</v>
      </c>
      <c r="Y85" s="1780">
        <f t="shared" si="53"/>
        <v>0</v>
      </c>
      <c r="Z85" s="1780">
        <f t="shared" si="53"/>
        <v>0</v>
      </c>
      <c r="AA85" s="1780">
        <f t="shared" si="53"/>
        <v>0</v>
      </c>
      <c r="AB85" s="1780">
        <f t="shared" si="53"/>
        <v>0</v>
      </c>
      <c r="AC85" s="1780">
        <f t="shared" si="53"/>
        <v>0</v>
      </c>
      <c r="AD85" s="1780">
        <f t="shared" si="53"/>
        <v>0</v>
      </c>
      <c r="AE85" s="1780">
        <f t="shared" si="53"/>
        <v>0</v>
      </c>
      <c r="AF85" s="1780">
        <f t="shared" si="53"/>
        <v>0</v>
      </c>
      <c r="AG85" s="1780">
        <f t="shared" si="53"/>
        <v>0</v>
      </c>
      <c r="AH85" s="1780">
        <f t="shared" si="53"/>
        <v>0</v>
      </c>
      <c r="AI85" s="1780">
        <f t="shared" si="53"/>
        <v>0</v>
      </c>
      <c r="AJ85" s="1780">
        <f t="shared" si="53"/>
        <v>0</v>
      </c>
      <c r="AK85" s="1780">
        <f t="shared" si="53"/>
        <v>0</v>
      </c>
      <c r="AL85" s="1780">
        <f t="shared" si="53"/>
        <v>0</v>
      </c>
      <c r="AM85" s="1780">
        <f t="shared" si="53"/>
        <v>0</v>
      </c>
      <c r="AN85" s="1780">
        <f t="shared" si="53"/>
        <v>0</v>
      </c>
      <c r="AO85" s="1780">
        <f t="shared" si="53"/>
        <v>0</v>
      </c>
      <c r="AP85" s="1780">
        <f t="shared" si="53"/>
        <v>0</v>
      </c>
      <c r="AQ85" s="1780">
        <f t="shared" si="53"/>
        <v>0</v>
      </c>
      <c r="AR85" s="1780">
        <f t="shared" si="53"/>
        <v>0</v>
      </c>
      <c r="AS85" s="1780">
        <f t="shared" si="53"/>
        <v>0</v>
      </c>
      <c r="AT85" s="1780">
        <f t="shared" si="53"/>
        <v>0</v>
      </c>
      <c r="AU85" s="1780">
        <f t="shared" si="53"/>
        <v>0</v>
      </c>
      <c r="AV85" s="1780">
        <f t="shared" si="53"/>
        <v>0</v>
      </c>
      <c r="AW85" s="1780">
        <f t="shared" si="53"/>
        <v>0</v>
      </c>
      <c r="AX85" s="1780">
        <f t="shared" si="53"/>
        <v>0</v>
      </c>
      <c r="AY85" s="1780">
        <f t="shared" si="53"/>
        <v>0</v>
      </c>
      <c r="AZ85" s="1780">
        <f t="shared" si="53"/>
        <v>0</v>
      </c>
      <c r="BA85" s="1780">
        <f t="shared" si="53"/>
        <v>0</v>
      </c>
      <c r="BB85" s="1780">
        <f t="shared" si="53"/>
        <v>0</v>
      </c>
      <c r="BC85" s="1780">
        <f t="shared" si="53"/>
        <v>0</v>
      </c>
    </row>
    <row r="86" spans="1:58" s="203" customFormat="1" ht="18" hidden="1" customHeight="1" outlineLevel="1" x14ac:dyDescent="0.35">
      <c r="B86" s="859" t="str">
        <f>'R&amp;C-Painel de Controle'!F74</f>
        <v>Aterro Sanitário</v>
      </c>
      <c r="C86" s="1768" t="str">
        <f>'R&amp;C-Painel de Controle'!G74</f>
        <v>Sim</v>
      </c>
      <c r="D86" s="1786">
        <f>'R&amp;C-Painel de Controle'!K74</f>
        <v>52.749291284439984</v>
      </c>
      <c r="E86" s="1775"/>
      <c r="F86" s="1775"/>
      <c r="G86" s="1775"/>
      <c r="H86" s="1775"/>
      <c r="I86" s="1775"/>
      <c r="J86" s="1775"/>
      <c r="K86" s="1775"/>
      <c r="L86" s="1775"/>
      <c r="M86" s="1775"/>
      <c r="N86" s="1775"/>
      <c r="O86" s="1775"/>
      <c r="P86" s="1775"/>
      <c r="Q86" s="1775"/>
      <c r="R86" s="1775"/>
      <c r="S86" s="1775"/>
      <c r="T86" s="1775"/>
      <c r="U86" s="1775"/>
      <c r="V86" s="1775"/>
      <c r="W86" s="1775"/>
      <c r="X86" s="1775"/>
      <c r="Y86" s="1775"/>
      <c r="Z86" s="1775"/>
      <c r="AA86" s="1775"/>
      <c r="AB86" s="1775"/>
      <c r="AC86" s="1775"/>
      <c r="AD86" s="1775"/>
      <c r="AE86" s="1775"/>
      <c r="AF86" s="1775"/>
      <c r="AG86" s="1775"/>
      <c r="AH86" s="1775"/>
      <c r="AI86" s="1775"/>
      <c r="AJ86" s="1775"/>
      <c r="AK86" s="1775"/>
      <c r="AL86" s="1775"/>
      <c r="AM86" s="1775"/>
      <c r="AN86" s="1775"/>
      <c r="AO86" s="1775"/>
      <c r="AP86" s="1775"/>
      <c r="AQ86" s="1775"/>
      <c r="AR86" s="1775"/>
      <c r="AS86" s="1775"/>
      <c r="AT86" s="1775"/>
      <c r="AU86" s="1775"/>
      <c r="AV86" s="1775"/>
      <c r="AW86" s="1775"/>
      <c r="AX86" s="1775"/>
      <c r="AY86" s="1775"/>
      <c r="AZ86" s="1775"/>
      <c r="BA86" s="1775"/>
      <c r="BB86" s="1775"/>
      <c r="BC86" s="1775"/>
    </row>
    <row r="87" spans="1:58" s="203" customFormat="1" ht="18" hidden="1" customHeight="1" outlineLevel="1" x14ac:dyDescent="0.35">
      <c r="B87" s="276" t="s">
        <v>673</v>
      </c>
      <c r="C87" s="1776">
        <v>0.2</v>
      </c>
      <c r="D87" s="1777">
        <v>0.5</v>
      </c>
      <c r="E87" s="1788">
        <v>0.3</v>
      </c>
      <c r="F87" s="1776">
        <v>0</v>
      </c>
      <c r="G87" s="1776">
        <v>0</v>
      </c>
      <c r="H87" s="1776">
        <v>0</v>
      </c>
      <c r="I87" s="1776">
        <v>0</v>
      </c>
      <c r="J87" s="1776">
        <v>0</v>
      </c>
      <c r="K87" s="1776">
        <v>0</v>
      </c>
      <c r="L87" s="1776">
        <v>0</v>
      </c>
      <c r="M87" s="1776">
        <v>0</v>
      </c>
      <c r="N87" s="1776">
        <v>0</v>
      </c>
      <c r="O87" s="1776">
        <v>0</v>
      </c>
      <c r="P87" s="1776">
        <v>0</v>
      </c>
      <c r="Q87" s="1776">
        <v>0</v>
      </c>
      <c r="R87" s="1776">
        <v>0</v>
      </c>
      <c r="S87" s="1776">
        <v>0</v>
      </c>
      <c r="T87" s="1776">
        <v>0</v>
      </c>
      <c r="U87" s="1776">
        <v>0</v>
      </c>
      <c r="V87" s="1776">
        <v>0</v>
      </c>
      <c r="W87" s="1776">
        <v>0</v>
      </c>
      <c r="X87" s="1776">
        <v>0</v>
      </c>
      <c r="Y87" s="1776">
        <v>0</v>
      </c>
      <c r="Z87" s="1776">
        <v>0</v>
      </c>
      <c r="AA87" s="1776">
        <v>0</v>
      </c>
      <c r="AB87" s="1776">
        <v>0</v>
      </c>
      <c r="AC87" s="1776">
        <v>0</v>
      </c>
      <c r="AD87" s="1776">
        <v>0</v>
      </c>
      <c r="AE87" s="1776">
        <v>0</v>
      </c>
      <c r="AF87" s="1776">
        <v>0</v>
      </c>
      <c r="AG87" s="1776">
        <v>0</v>
      </c>
      <c r="AH87" s="1776">
        <v>0</v>
      </c>
      <c r="AI87" s="1776">
        <v>0</v>
      </c>
      <c r="AJ87" s="1776">
        <v>0</v>
      </c>
      <c r="AK87" s="1776">
        <v>0</v>
      </c>
      <c r="AL87" s="1776">
        <v>0</v>
      </c>
      <c r="AM87" s="1776">
        <v>0</v>
      </c>
      <c r="AN87" s="1776">
        <v>0</v>
      </c>
      <c r="AO87" s="1776">
        <v>0</v>
      </c>
      <c r="AP87" s="1776">
        <v>0</v>
      </c>
      <c r="AQ87" s="1776">
        <v>0</v>
      </c>
      <c r="AR87" s="1776">
        <v>0</v>
      </c>
      <c r="AS87" s="1776">
        <v>0</v>
      </c>
      <c r="AT87" s="1776">
        <v>0</v>
      </c>
      <c r="AU87" s="1776">
        <v>0</v>
      </c>
      <c r="AV87" s="1776">
        <v>0</v>
      </c>
      <c r="AW87" s="1776">
        <v>0</v>
      </c>
      <c r="AX87" s="1776">
        <v>0</v>
      </c>
      <c r="AY87" s="1776">
        <v>0</v>
      </c>
      <c r="AZ87" s="1776">
        <v>0</v>
      </c>
      <c r="BA87" s="1776">
        <v>0</v>
      </c>
      <c r="BB87" s="1776">
        <v>0</v>
      </c>
      <c r="BC87" s="1776">
        <v>0</v>
      </c>
    </row>
    <row r="88" spans="1:58" s="203" customFormat="1" ht="18" hidden="1" customHeight="1" outlineLevel="1" x14ac:dyDescent="0.35">
      <c r="B88" s="276" t="s">
        <v>409</v>
      </c>
      <c r="C88" s="1780">
        <f t="shared" ref="C88:BC88" si="54">C87*$D$86</f>
        <v>10.549858256887997</v>
      </c>
      <c r="D88" s="1787">
        <f t="shared" si="54"/>
        <v>26.374645642219992</v>
      </c>
      <c r="E88" s="1789">
        <f t="shared" si="54"/>
        <v>15.824787385331994</v>
      </c>
      <c r="F88" s="1780">
        <f t="shared" si="54"/>
        <v>0</v>
      </c>
      <c r="G88" s="1780">
        <f t="shared" si="54"/>
        <v>0</v>
      </c>
      <c r="H88" s="1780">
        <f t="shared" si="54"/>
        <v>0</v>
      </c>
      <c r="I88" s="1780">
        <f t="shared" si="54"/>
        <v>0</v>
      </c>
      <c r="J88" s="1780">
        <f t="shared" si="54"/>
        <v>0</v>
      </c>
      <c r="K88" s="1780">
        <f t="shared" si="54"/>
        <v>0</v>
      </c>
      <c r="L88" s="1780">
        <f t="shared" si="54"/>
        <v>0</v>
      </c>
      <c r="M88" s="1780">
        <f t="shared" si="54"/>
        <v>0</v>
      </c>
      <c r="N88" s="1780">
        <f t="shared" si="54"/>
        <v>0</v>
      </c>
      <c r="O88" s="1780">
        <f t="shared" si="54"/>
        <v>0</v>
      </c>
      <c r="P88" s="1780">
        <f t="shared" si="54"/>
        <v>0</v>
      </c>
      <c r="Q88" s="1780">
        <f t="shared" si="54"/>
        <v>0</v>
      </c>
      <c r="R88" s="1780">
        <f t="shared" si="54"/>
        <v>0</v>
      </c>
      <c r="S88" s="1780">
        <f t="shared" si="54"/>
        <v>0</v>
      </c>
      <c r="T88" s="1780">
        <f t="shared" si="54"/>
        <v>0</v>
      </c>
      <c r="U88" s="1780">
        <f t="shared" si="54"/>
        <v>0</v>
      </c>
      <c r="V88" s="1780">
        <f t="shared" si="54"/>
        <v>0</v>
      </c>
      <c r="W88" s="1780">
        <f t="shared" si="54"/>
        <v>0</v>
      </c>
      <c r="X88" s="1780">
        <f t="shared" si="54"/>
        <v>0</v>
      </c>
      <c r="Y88" s="1780">
        <f t="shared" si="54"/>
        <v>0</v>
      </c>
      <c r="Z88" s="1780">
        <f t="shared" si="54"/>
        <v>0</v>
      </c>
      <c r="AA88" s="1780">
        <f t="shared" si="54"/>
        <v>0</v>
      </c>
      <c r="AB88" s="1780">
        <f t="shared" si="54"/>
        <v>0</v>
      </c>
      <c r="AC88" s="1780">
        <f t="shared" si="54"/>
        <v>0</v>
      </c>
      <c r="AD88" s="1780">
        <f t="shared" si="54"/>
        <v>0</v>
      </c>
      <c r="AE88" s="1780">
        <f t="shared" si="54"/>
        <v>0</v>
      </c>
      <c r="AF88" s="1780">
        <f t="shared" si="54"/>
        <v>0</v>
      </c>
      <c r="AG88" s="1780">
        <f t="shared" si="54"/>
        <v>0</v>
      </c>
      <c r="AH88" s="1780">
        <f t="shared" si="54"/>
        <v>0</v>
      </c>
      <c r="AI88" s="1780">
        <f t="shared" si="54"/>
        <v>0</v>
      </c>
      <c r="AJ88" s="1780">
        <f t="shared" si="54"/>
        <v>0</v>
      </c>
      <c r="AK88" s="1780">
        <f t="shared" si="54"/>
        <v>0</v>
      </c>
      <c r="AL88" s="1780">
        <f t="shared" si="54"/>
        <v>0</v>
      </c>
      <c r="AM88" s="1780">
        <f t="shared" si="54"/>
        <v>0</v>
      </c>
      <c r="AN88" s="1780">
        <f t="shared" si="54"/>
        <v>0</v>
      </c>
      <c r="AO88" s="1780">
        <f t="shared" si="54"/>
        <v>0</v>
      </c>
      <c r="AP88" s="1780">
        <f t="shared" si="54"/>
        <v>0</v>
      </c>
      <c r="AQ88" s="1780">
        <f t="shared" si="54"/>
        <v>0</v>
      </c>
      <c r="AR88" s="1780">
        <f t="shared" si="54"/>
        <v>0</v>
      </c>
      <c r="AS88" s="1780">
        <f t="shared" si="54"/>
        <v>0</v>
      </c>
      <c r="AT88" s="1780">
        <f t="shared" si="54"/>
        <v>0</v>
      </c>
      <c r="AU88" s="1780">
        <f t="shared" si="54"/>
        <v>0</v>
      </c>
      <c r="AV88" s="1780">
        <f t="shared" si="54"/>
        <v>0</v>
      </c>
      <c r="AW88" s="1780">
        <f t="shared" si="54"/>
        <v>0</v>
      </c>
      <c r="AX88" s="1780">
        <f t="shared" si="54"/>
        <v>0</v>
      </c>
      <c r="AY88" s="1780">
        <f t="shared" si="54"/>
        <v>0</v>
      </c>
      <c r="AZ88" s="1780">
        <f t="shared" si="54"/>
        <v>0</v>
      </c>
      <c r="BA88" s="1780">
        <f t="shared" si="54"/>
        <v>0</v>
      </c>
      <c r="BB88" s="1780">
        <f t="shared" si="54"/>
        <v>0</v>
      </c>
      <c r="BC88" s="1780">
        <f t="shared" si="54"/>
        <v>0</v>
      </c>
    </row>
    <row r="89" spans="1:58" s="203" customFormat="1" ht="18" customHeight="1" x14ac:dyDescent="0.35">
      <c r="B89" s="304"/>
      <c r="C89" s="1686"/>
      <c r="D89" s="1686"/>
      <c r="E89" s="1686"/>
      <c r="F89" s="1686"/>
      <c r="G89" s="1686"/>
      <c r="H89" s="1686"/>
      <c r="I89" s="1686"/>
      <c r="J89" s="1686"/>
      <c r="K89" s="1686"/>
      <c r="L89" s="1686"/>
      <c r="M89" s="1686"/>
      <c r="N89" s="1686"/>
      <c r="O89" s="1686"/>
      <c r="P89" s="1686"/>
      <c r="Q89" s="1686"/>
      <c r="R89" s="1765"/>
      <c r="S89" s="1686"/>
      <c r="T89" s="1686"/>
      <c r="U89" s="1686"/>
      <c r="V89" s="1686"/>
      <c r="W89" s="1686"/>
      <c r="X89" s="1686"/>
      <c r="Y89" s="1686"/>
      <c r="Z89" s="1686"/>
      <c r="AA89" s="1686"/>
      <c r="AB89" s="1686"/>
      <c r="AC89" s="1686"/>
      <c r="AD89" s="1686"/>
      <c r="AE89" s="1686"/>
      <c r="AF89" s="1686"/>
      <c r="AG89" s="1686"/>
      <c r="AH89" s="1686"/>
      <c r="AI89" s="1686"/>
      <c r="AJ89" s="1686"/>
      <c r="AK89" s="1686"/>
      <c r="AL89" s="1686"/>
      <c r="AM89" s="1686"/>
      <c r="AN89" s="1686"/>
      <c r="AO89" s="1686"/>
      <c r="AP89" s="1686"/>
      <c r="AQ89" s="1686"/>
      <c r="AR89" s="1686"/>
      <c r="AS89" s="1686"/>
      <c r="AT89" s="1686"/>
      <c r="AU89" s="1686"/>
      <c r="AV89" s="1686"/>
      <c r="AW89" s="1686"/>
      <c r="AX89" s="1686"/>
      <c r="AY89" s="1686"/>
      <c r="AZ89" s="1686"/>
      <c r="BA89" s="1686"/>
      <c r="BB89" s="1686"/>
      <c r="BC89" s="1686"/>
    </row>
    <row r="90" spans="1:58" s="203" customFormat="1" ht="26.15" customHeight="1" collapsed="1" x14ac:dyDescent="0.35">
      <c r="B90" s="1682" t="s">
        <v>982</v>
      </c>
      <c r="C90" s="1785">
        <f>IF('R&amp;C-Painel de Controle'!$D$24="Não",C94+C97+C100+C103+C106+C109+C112+C115,C94+C97+C100+C103+C106+C109+C112+C115+'R&amp;C-Painel de Controle'!$L$91)</f>
        <v>0</v>
      </c>
      <c r="D90" s="1785">
        <f>IF('R&amp;C-Painel de Controle'!$D$24="Não",D94+D97+D100+D103+D106+D109+D112+D115,D94+D97+D100+D103+D106+D109+D112+D115+'R&amp;C-Painel de Controle'!$L$91)</f>
        <v>0</v>
      </c>
      <c r="E90" s="1785">
        <f>IF('R&amp;C-Painel de Controle'!$D$24="Não",E94+E97+E100+E103+E106+E109+E112+E115,E94+E97+E100+E103+E106+E109+E112+E115+'R&amp;C-Painel de Controle'!$L$91)</f>
        <v>113.07784585040227</v>
      </c>
      <c r="F90" s="1785">
        <f>IF('R&amp;C-Painel de Controle'!$D$24="Não",F94+F97+F100+F103+F106+F109+F112+F115,F94+F97+F100+F103+F106+F109+F112+F115+'R&amp;C-Painel de Controle'!$L$91)</f>
        <v>190.1892033261139</v>
      </c>
      <c r="G90" s="1785">
        <f>IF('R&amp;C-Painel de Controle'!$D$24="Não",G94+G97+G100+G103+G106+G109+G112+G115,G94+G97+G100+G103+G106+G109+G112+G115+'R&amp;C-Painel de Controle'!$L$91)</f>
        <v>190.1892033261139</v>
      </c>
      <c r="H90" s="1785">
        <f>IF('R&amp;C-Painel de Controle'!$D$24="Não",H94+H97+H100+H103+H106+H109+H112+H115,H94+H97+H100+H103+H106+H109+H112+H115+'R&amp;C-Painel de Controle'!$L$91)</f>
        <v>190.1892033261139</v>
      </c>
      <c r="I90" s="1785">
        <f>IF('R&amp;C-Painel de Controle'!$D$24="Não",I94+I97+I100+I103+I106+I109+I112+I115,I94+I97+I100+I103+I106+I109+I112+I115+'R&amp;C-Painel de Controle'!$L$91)</f>
        <v>190.1892033261139</v>
      </c>
      <c r="J90" s="1785">
        <f>IF('R&amp;C-Painel de Controle'!$D$24="Não",J94+J97+J100+J103+J106+J109+J112+J115,J94+J97+J100+J103+J106+J109+J112+J115+'R&amp;C-Painel de Controle'!$L$91)</f>
        <v>190.1892033261139</v>
      </c>
      <c r="K90" s="1785">
        <f>IF('R&amp;C-Painel de Controle'!$D$24="Não",K94+K97+K100+K103+K106+K109+K112+K115,K94+K97+K100+K103+K106+K109+K112+K115+'R&amp;C-Painel de Controle'!$L$91)</f>
        <v>190.1892033261139</v>
      </c>
      <c r="L90" s="1785">
        <f>IF('R&amp;C-Painel de Controle'!$D$24="Não",L94+L97+L100+L103+L106+L109+L112+L115,L94+L97+L100+L103+L106+L109+L112+L115+'R&amp;C-Painel de Controle'!$L$91)</f>
        <v>190.1892033261139</v>
      </c>
      <c r="M90" s="1785">
        <f>IF('R&amp;C-Painel de Controle'!$D$24="Não",M94+M97+M100+M103+M106+M109+M112+M115,M94+M97+M100+M103+M106+M109+M112+M115+'R&amp;C-Painel de Controle'!$L$91)</f>
        <v>190.1892033261139</v>
      </c>
      <c r="N90" s="1785">
        <f>IF('R&amp;C-Painel de Controle'!$D$24="Não",N94+N97+N100+N103+N106+N109+N112+N115,N94+N97+N100+N103+N106+N109+N112+N115+'R&amp;C-Painel de Controle'!$L$91)</f>
        <v>190.1892033261139</v>
      </c>
      <c r="O90" s="1785">
        <f>IF('R&amp;C-Painel de Controle'!$D$24="Não",O94+O97+O100+O103+O106+O109+O112+O115,O94+O97+O100+O103+O106+O109+O112+O115+'R&amp;C-Painel de Controle'!$L$91)</f>
        <v>190.1892033261139</v>
      </c>
      <c r="P90" s="1785">
        <f>IF('R&amp;C-Painel de Controle'!$D$24="Não",P94+P97+P100+P103+P106+P109+P112+P115,P94+P97+P100+P103+P106+P109+P112+P115+'R&amp;C-Painel de Controle'!$L$91)</f>
        <v>190.1892033261139</v>
      </c>
      <c r="Q90" s="1785">
        <f>IF('R&amp;C-Painel de Controle'!$D$24="Não",Q94+Q97+Q100+Q103+Q106+Q109+Q112+Q115,Q94+Q97+Q100+Q103+Q106+Q109+Q112+Q115+'R&amp;C-Painel de Controle'!$L$91)</f>
        <v>190.1892033261139</v>
      </c>
      <c r="R90" s="1785">
        <f>IF('R&amp;C-Painel de Controle'!$D$24="Não",R94+R97+R100+R103+R106+R109+R112+R115,R94+R97+R100+R103+R106+R109+R112+R115+'R&amp;C-Painel de Controle'!$L$91)</f>
        <v>190.1892033261139</v>
      </c>
      <c r="S90" s="1785">
        <f>IF('R&amp;C-Painel de Controle'!$D$24="Não",S94+S97+S100+S103+S106+S109+S112+S115,S94+S97+S100+S103+S106+S109+S112+S115+'R&amp;C-Painel de Controle'!$L$91)</f>
        <v>190.1892033261139</v>
      </c>
      <c r="T90" s="1785">
        <f>IF('R&amp;C-Painel de Controle'!$D$24="Não",T94+T97+T100+T103+T106+T109+T112+T115,T94+T97+T100+T103+T106+T109+T112+T115+'R&amp;C-Painel de Controle'!$L$91)</f>
        <v>190.1892033261139</v>
      </c>
      <c r="U90" s="1785">
        <f>IF('R&amp;C-Painel de Controle'!$D$24="Não",U94+U97+U100+U103+U106+U109+U112+U115,U94+U97+U100+U103+U106+U109+U112+U115+'R&amp;C-Painel de Controle'!$L$91)</f>
        <v>190.1892033261139</v>
      </c>
      <c r="V90" s="1785">
        <f>IF('R&amp;C-Painel de Controle'!$D$24="Não",V94+V97+V100+V103+V106+V109+V112+V115,V94+V97+V100+V103+V106+V109+V112+V115+'R&amp;C-Painel de Controle'!$L$91)</f>
        <v>190.1892033261139</v>
      </c>
      <c r="W90" s="1785">
        <f>IF('R&amp;C-Painel de Controle'!$D$24="Não",W94+W97+W100+W103+W106+W109+W112+W115,W94+W97+W100+W103+W106+W109+W112+W115+'R&amp;C-Painel de Controle'!$L$91)</f>
        <v>190.1892033261139</v>
      </c>
      <c r="X90" s="1785">
        <f>IF('R&amp;C-Painel de Controle'!$D$24="Não",X94+X97+X100+X103+X106+X109+X112+X115,X94+X97+X100+X103+X106+X109+X112+X115+'R&amp;C-Painel de Controle'!$L$91)</f>
        <v>190.1892033261139</v>
      </c>
      <c r="Y90" s="1785">
        <f>IF('R&amp;C-Painel de Controle'!$D$24="Não",Y94+Y97+Y100+Y103+Y106+Y109+Y112+Y115,Y94+Y97+Y100+Y103+Y106+Y109+Y112+Y115+'R&amp;C-Painel de Controle'!$L$91)</f>
        <v>190.1892033261139</v>
      </c>
      <c r="Z90" s="1785">
        <f>IF('R&amp;C-Painel de Controle'!$D$24="Não",Z94+Z97+Z100+Z103+Z106+Z109+Z112+Z115,Z94+Z97+Z100+Z103+Z106+Z109+Z112+Z115+'R&amp;C-Painel de Controle'!$L$91)</f>
        <v>190.1892033261139</v>
      </c>
      <c r="AA90" s="1785">
        <f>IF('R&amp;C-Painel de Controle'!$D$24="Não",AA94+AA97+AA100+AA103+AA106+AA109+AA112+AA115,AA94+AA97+AA100+AA103+AA106+AA109+AA112+AA115+'R&amp;C-Painel de Controle'!$L$91)</f>
        <v>190.1892033261139</v>
      </c>
      <c r="AB90" s="1785">
        <f>IF('R&amp;C-Painel de Controle'!$D$24="Não",AB94+AB97+AB100+AB103+AB106+AB109+AB112+AB115,AB94+AB97+AB100+AB103+AB106+AB109+AB112+AB115+'R&amp;C-Painel de Controle'!$L$91)</f>
        <v>190.1892033261139</v>
      </c>
      <c r="AC90" s="1785">
        <f>IF('R&amp;C-Painel de Controle'!$D$24="Não",AC94+AC97+AC100+AC103+AC106+AC109+AC112+AC115,AC94+AC97+AC100+AC103+AC106+AC109+AC112+AC115+'R&amp;C-Painel de Controle'!$L$91)</f>
        <v>190.1892033261139</v>
      </c>
      <c r="AD90" s="1785">
        <f>IF('R&amp;C-Painel de Controle'!$D$24="Não",AD94+AD97+AD100+AD103+AD106+AD109+AD112+AD115,AD94+AD97+AD100+AD103+AD106+AD109+AD112+AD115+'R&amp;C-Painel de Controle'!$L$91)</f>
        <v>190.1892033261139</v>
      </c>
      <c r="AE90" s="1785">
        <f>IF('R&amp;C-Painel de Controle'!$D$24="Não",AE94+AE97+AE100+AE103+AE106+AE109+AE112+AE115,AE94+AE97+AE100+AE103+AE106+AE109+AE112+AE115+'R&amp;C-Painel de Controle'!$L$91)</f>
        <v>190.1892033261139</v>
      </c>
      <c r="AF90" s="1785">
        <f>IF('R&amp;C-Painel de Controle'!$D$24="Não",AF94+AF97+AF100+AF103+AF106+AF109+AF112+AF115,AF94+AF97+AF100+AF103+AF106+AF109+AF112+AF115+'R&amp;C-Painel de Controle'!$L$91)</f>
        <v>190.1892033261139</v>
      </c>
      <c r="AG90" s="1785">
        <f>IF('R&amp;C-Painel de Controle'!$D$24="Não",AG94+AG97+AG100+AG103+AG106+AG109+AG112+AG115,AG94+AG97+AG100+AG103+AG106+AG109+AG112+AG115+'R&amp;C-Painel de Controle'!$L$91)</f>
        <v>190.1892033261139</v>
      </c>
      <c r="AH90" s="1785">
        <f>IF('R&amp;C-Painel de Controle'!$D$24="Não",AH94+AH97+AH100+AH103+AH106+AH109+AH112+AH115,AH94+AH97+AH100+AH103+AH106+AH109+AH112+AH115+'R&amp;C-Painel de Controle'!$L$91)</f>
        <v>190.1892033261139</v>
      </c>
      <c r="AI90" s="1785">
        <f>IF('R&amp;C-Painel de Controle'!$D$24="Não",AI94+AI97+AI100+AI103+AI106+AI109+AI112+AI115,AI94+AI97+AI100+AI103+AI106+AI109+AI112+AI115+'R&amp;C-Painel de Controle'!$L$91)</f>
        <v>190.1892033261139</v>
      </c>
      <c r="AJ90" s="1785">
        <f>IF('R&amp;C-Painel de Controle'!$D$24="Não",AJ94+AJ97+AJ100+AJ103+AJ106+AJ109+AJ112+AJ115,AJ94+AJ97+AJ100+AJ103+AJ106+AJ109+AJ112+AJ115+'R&amp;C-Painel de Controle'!$L$91)</f>
        <v>190.1892033261139</v>
      </c>
      <c r="AK90" s="1785">
        <f>IF('R&amp;C-Painel de Controle'!$D$24="Não",AK94+AK97+AK100+AK103+AK106+AK109+AK112+AK115,AK94+AK97+AK100+AK103+AK106+AK109+AK112+AK115+'R&amp;C-Painel de Controle'!$L$91)</f>
        <v>190.1892033261139</v>
      </c>
      <c r="AL90" s="1785">
        <f>IF('R&amp;C-Painel de Controle'!$D$24="Não",AL94+AL97+AL100+AL103+AL106+AL109+AL112+AL115,AL94+AL97+AL100+AL103+AL106+AL109+AL112+AL115+'R&amp;C-Painel de Controle'!$L$91)</f>
        <v>190.1892033261139</v>
      </c>
      <c r="AM90" s="1785">
        <f>IF('R&amp;C-Painel de Controle'!$D$24="Não",AM94+AM97+AM100+AM103+AM106+AM109+AM112+AM115,AM94+AM97+AM100+AM103+AM106+AM109+AM112+AM115+'R&amp;C-Painel de Controle'!$L$91)</f>
        <v>190.1892033261139</v>
      </c>
      <c r="AN90" s="1785">
        <f>IF('R&amp;C-Painel de Controle'!$D$24="Não",AN94+AN97+AN100+AN103+AN106+AN109+AN112+AN115,AN94+AN97+AN100+AN103+AN106+AN109+AN112+AN115+'R&amp;C-Painel de Controle'!$L$91)</f>
        <v>190.1892033261139</v>
      </c>
      <c r="AO90" s="1785">
        <f>IF('R&amp;C-Painel de Controle'!$D$24="Não",AO94+AO97+AO100+AO103+AO106+AO109+AO112+AO115,AO94+AO97+AO100+AO103+AO106+AO109+AO112+AO115+'R&amp;C-Painel de Controle'!$L$91)</f>
        <v>190.1892033261139</v>
      </c>
      <c r="AP90" s="1785">
        <f>IF('R&amp;C-Painel de Controle'!$D$24="Não",AP94+AP97+AP100+AP103+AP106+AP109+AP112+AP115,AP94+AP97+AP100+AP103+AP106+AP109+AP112+AP115+'R&amp;C-Painel de Controle'!$L$91)</f>
        <v>190.1892033261139</v>
      </c>
      <c r="AQ90" s="1785">
        <f>IF('R&amp;C-Painel de Controle'!$D$24="Não",AQ94+AQ97+AQ100+AQ103+AQ106+AQ109+AQ112+AQ115,AQ94+AQ97+AQ100+AQ103+AQ106+AQ109+AQ112+AQ115+'R&amp;C-Painel de Controle'!$L$91)</f>
        <v>190.1892033261139</v>
      </c>
      <c r="AR90" s="1785">
        <f>IF('R&amp;C-Painel de Controle'!$D$24="Não",AR94+AR97+AR100+AR103+AR106+AR109+AR112+AR115,AR94+AR97+AR100+AR103+AR106+AR109+AR112+AR115+'R&amp;C-Painel de Controle'!$L$91)</f>
        <v>190.1892033261139</v>
      </c>
      <c r="AS90" s="1785">
        <f>IF('R&amp;C-Painel de Controle'!$D$24="Não",AS94+AS97+AS100+AS103+AS106+AS109+AS112+AS115,AS94+AS97+AS100+AS103+AS106+AS109+AS112+AS115+'R&amp;C-Painel de Controle'!$L$91)</f>
        <v>190.1892033261139</v>
      </c>
      <c r="AT90" s="1785">
        <f>IF('R&amp;C-Painel de Controle'!$D$24="Não",AT94+AT97+AT100+AT103+AT106+AT109+AT112+AT115,AT94+AT97+AT100+AT103+AT106+AT109+AT112+AT115+'R&amp;C-Painel de Controle'!$L$91)</f>
        <v>190.1892033261139</v>
      </c>
      <c r="AU90" s="1785">
        <f>IF('R&amp;C-Painel de Controle'!$D$24="Não",AU94+AU97+AU100+AU103+AU106+AU109+AU112+AU115,AU94+AU97+AU100+AU103+AU106+AU109+AU112+AU115+'R&amp;C-Painel de Controle'!$L$91)</f>
        <v>190.1892033261139</v>
      </c>
      <c r="AV90" s="1785">
        <f>IF('R&amp;C-Painel de Controle'!$D$24="Não",AV94+AV97+AV100+AV103+AV106+AV109+AV112+AV115,AV94+AV97+AV100+AV103+AV106+AV109+AV112+AV115+'R&amp;C-Painel de Controle'!$L$91)</f>
        <v>190.1892033261139</v>
      </c>
      <c r="AW90" s="1785">
        <f>IF('R&amp;C-Painel de Controle'!$D$24="Não",AW94+AW97+AW100+AW103+AW106+AW109+AW112+AW115,AW94+AW97+AW100+AW103+AW106+AW109+AW112+AW115+'R&amp;C-Painel de Controle'!$L$91)</f>
        <v>190.1892033261139</v>
      </c>
      <c r="AX90" s="1785">
        <f>IF('R&amp;C-Painel de Controle'!$D$24="Não",AX94+AX97+AX100+AX103+AX106+AX109+AX112+AX115,AX94+AX97+AX100+AX103+AX106+AX109+AX112+AX115+'R&amp;C-Painel de Controle'!$L$91)</f>
        <v>190.1892033261139</v>
      </c>
      <c r="AY90" s="1785">
        <f>IF('R&amp;C-Painel de Controle'!$D$24="Não",AY94+AY97+AY100+AY103+AY106+AY109+AY112+AY115,AY94+AY97+AY100+AY103+AY106+AY109+AY112+AY115+'R&amp;C-Painel de Controle'!$L$91)</f>
        <v>190.1892033261139</v>
      </c>
      <c r="AZ90" s="1785">
        <f>IF('R&amp;C-Painel de Controle'!$D$24="Não",AZ94+AZ97+AZ100+AZ103+AZ106+AZ109+AZ112+AZ115,AZ94+AZ97+AZ100+AZ103+AZ106+AZ109+AZ112+AZ115+'R&amp;C-Painel de Controle'!$L$91)</f>
        <v>190.1892033261139</v>
      </c>
      <c r="BA90" s="1785">
        <f>IF('R&amp;C-Painel de Controle'!$D$24="Não",BA94+BA97+BA100+BA103+BA106+BA109+BA112+BA115,BA94+BA97+BA100+BA103+BA106+BA109+BA112+BA115+'R&amp;C-Painel de Controle'!$L$91)</f>
        <v>190.1892033261139</v>
      </c>
      <c r="BB90" s="1785">
        <f>IF('R&amp;C-Painel de Controle'!$D$24="Não",BB94+BB97+BB100+BB103+BB106+BB109+BB112+BB115,BB94+BB97+BB100+BB103+BB106+BB109+BB112+BB115+'R&amp;C-Painel de Controle'!$L$91)</f>
        <v>190.1892033261139</v>
      </c>
      <c r="BC90" s="1785">
        <f>IF('R&amp;C-Painel de Controle'!$D$24="Não",BC94+BC97+BC100+BC103+BC106+BC109+BC112+BC115,BC94+BC97+BC100+BC103+BC106+BC109+BC112+BC115+'R&amp;C-Painel de Controle'!$L$91)</f>
        <v>190.1892033261139</v>
      </c>
    </row>
    <row r="91" spans="1:58" s="203" customFormat="1" ht="18" hidden="1" customHeight="1" outlineLevel="1" x14ac:dyDescent="0.35">
      <c r="A91" s="295"/>
      <c r="B91" s="248" t="s">
        <v>406</v>
      </c>
      <c r="C91" s="1770" t="s">
        <v>407</v>
      </c>
      <c r="D91" s="1770" t="s">
        <v>291</v>
      </c>
      <c r="E91" s="1770"/>
      <c r="F91" s="1770"/>
      <c r="G91" s="1770"/>
      <c r="H91" s="1770"/>
      <c r="I91" s="1770"/>
      <c r="J91" s="1770"/>
      <c r="K91" s="1770"/>
      <c r="L91" s="1770"/>
      <c r="M91" s="1770"/>
      <c r="N91" s="1770"/>
      <c r="O91" s="1770"/>
      <c r="P91" s="1770"/>
      <c r="Q91" s="1770"/>
      <c r="R91" s="1770"/>
      <c r="S91" s="1770"/>
      <c r="T91" s="1770"/>
      <c r="U91" s="1770"/>
      <c r="V91" s="1770"/>
      <c r="W91" s="1770"/>
      <c r="X91" s="1770"/>
      <c r="Y91" s="1770"/>
      <c r="Z91" s="1770"/>
      <c r="AA91" s="1770"/>
      <c r="AB91" s="1770"/>
      <c r="AC91" s="1770"/>
      <c r="AD91" s="1770"/>
      <c r="AE91" s="1770"/>
      <c r="AF91" s="1770"/>
      <c r="AG91" s="1770"/>
      <c r="AH91" s="1770"/>
      <c r="AI91" s="1770"/>
      <c r="AJ91" s="1770"/>
      <c r="AK91" s="1770"/>
      <c r="AL91" s="1770"/>
      <c r="AM91" s="1770"/>
      <c r="AN91" s="1770"/>
      <c r="AO91" s="1770"/>
      <c r="AP91" s="1770"/>
      <c r="AQ91" s="1770"/>
      <c r="AR91" s="1770"/>
      <c r="AS91" s="1770"/>
      <c r="AT91" s="1770"/>
      <c r="AU91" s="1770"/>
      <c r="AV91" s="1770"/>
      <c r="AW91" s="1770"/>
      <c r="AX91" s="1770"/>
      <c r="AY91" s="1770"/>
      <c r="AZ91" s="1770"/>
      <c r="BA91" s="1770"/>
      <c r="BB91" s="1770"/>
      <c r="BC91" s="1770"/>
      <c r="BD91" s="295"/>
      <c r="BE91" s="295"/>
      <c r="BF91" s="295"/>
    </row>
    <row r="92" spans="1:58" s="203" customFormat="1" ht="18" hidden="1" customHeight="1" outlineLevel="1" x14ac:dyDescent="0.35">
      <c r="B92" s="859" t="str">
        <f>B65</f>
        <v>Triagem Manual — Seletivos</v>
      </c>
      <c r="C92" s="1768" t="str">
        <f t="shared" ref="C92:D92" si="55">C37</f>
        <v>Sim</v>
      </c>
      <c r="D92" s="1768">
        <f t="shared" si="55"/>
        <v>15493.499999999998</v>
      </c>
      <c r="E92" s="1775"/>
      <c r="F92" s="1686"/>
      <c r="G92" s="1686"/>
      <c r="H92" s="1686"/>
      <c r="I92" s="1686"/>
      <c r="J92" s="1686"/>
      <c r="K92" s="1686"/>
      <c r="L92" s="1686"/>
      <c r="M92" s="1686"/>
      <c r="N92" s="1686"/>
      <c r="O92" s="1686"/>
      <c r="P92" s="1686"/>
      <c r="Q92" s="1686"/>
      <c r="R92" s="1765"/>
      <c r="S92" s="1686"/>
      <c r="T92" s="1686"/>
      <c r="U92" s="1686"/>
      <c r="V92" s="1686"/>
      <c r="W92" s="1686"/>
      <c r="X92" s="1686"/>
      <c r="Y92" s="1686"/>
      <c r="Z92" s="1686"/>
      <c r="AA92" s="1686"/>
      <c r="AB92" s="1686"/>
      <c r="AC92" s="1686"/>
      <c r="AD92" s="1686"/>
      <c r="AE92" s="1686"/>
      <c r="AF92" s="1686"/>
      <c r="AG92" s="1686"/>
      <c r="AH92" s="1686"/>
      <c r="AI92" s="1686"/>
      <c r="AJ92" s="1686"/>
      <c r="AK92" s="1686"/>
      <c r="AL92" s="1686"/>
      <c r="AM92" s="1686"/>
      <c r="AN92" s="1686"/>
      <c r="AO92" s="1686"/>
      <c r="AP92" s="1686"/>
      <c r="AQ92" s="1686"/>
      <c r="AR92" s="1686"/>
      <c r="AS92" s="1686"/>
      <c r="AT92" s="1686"/>
      <c r="AU92" s="1686"/>
      <c r="AV92" s="1686"/>
      <c r="AW92" s="1686"/>
      <c r="AX92" s="1686"/>
      <c r="AY92" s="1686"/>
      <c r="AZ92" s="1686"/>
      <c r="BA92" s="1686"/>
      <c r="BB92" s="1686"/>
      <c r="BC92" s="1686"/>
    </row>
    <row r="93" spans="1:58" s="203" customFormat="1" ht="18" hidden="1" customHeight="1" outlineLevel="1" x14ac:dyDescent="0.35">
      <c r="B93" s="284"/>
      <c r="C93" s="1776"/>
      <c r="D93" s="1776"/>
      <c r="E93" s="1776"/>
      <c r="F93" s="1776"/>
      <c r="G93" s="1776"/>
      <c r="H93" s="1776"/>
      <c r="I93" s="1776"/>
      <c r="J93" s="1776"/>
      <c r="K93" s="1776"/>
      <c r="L93" s="1776"/>
      <c r="M93" s="1776"/>
      <c r="N93" s="1776"/>
      <c r="O93" s="1776"/>
      <c r="P93" s="1776"/>
      <c r="Q93" s="1776"/>
      <c r="R93" s="1765"/>
      <c r="S93" s="1765"/>
      <c r="T93" s="1765"/>
      <c r="U93" s="1765"/>
      <c r="V93" s="1765"/>
      <c r="W93" s="1765"/>
      <c r="X93" s="1765"/>
      <c r="Y93" s="1765"/>
      <c r="Z93" s="1765"/>
      <c r="AA93" s="1765"/>
      <c r="AB93" s="1765"/>
      <c r="AC93" s="1765"/>
      <c r="AD93" s="1765"/>
      <c r="AE93" s="1765"/>
      <c r="AF93" s="1765"/>
      <c r="AG93" s="1765"/>
      <c r="AH93" s="1765"/>
      <c r="AI93" s="1765"/>
      <c r="AJ93" s="1765"/>
      <c r="AK93" s="1765"/>
      <c r="AL93" s="1765"/>
      <c r="AM93" s="1765"/>
      <c r="AN93" s="1765"/>
      <c r="AO93" s="1765"/>
      <c r="AP93" s="1765"/>
      <c r="AQ93" s="1765"/>
      <c r="AR93" s="1765"/>
      <c r="AS93" s="1765"/>
      <c r="AT93" s="1765"/>
      <c r="AU93" s="1765"/>
      <c r="AV93" s="1765"/>
      <c r="AW93" s="1765"/>
      <c r="AX93" s="1765"/>
      <c r="AY93" s="1765"/>
      <c r="AZ93" s="1765"/>
      <c r="BA93" s="1765"/>
      <c r="BB93" s="1765"/>
      <c r="BC93" s="1765"/>
      <c r="BD93" s="292"/>
      <c r="BE93" s="292"/>
      <c r="BF93" s="292"/>
    </row>
    <row r="94" spans="1:58" s="203" customFormat="1" ht="18" hidden="1" customHeight="1" outlineLevel="1" x14ac:dyDescent="0.35">
      <c r="B94" s="284" t="s">
        <v>410</v>
      </c>
      <c r="C94" s="1778">
        <f>IF(C39&gt;0,'R&amp;C-Painel de Controle'!$O$55+'R&amp;C-Painel de Controle'!$P$55*C39/1000000,0)</f>
        <v>0</v>
      </c>
      <c r="D94" s="1778">
        <f>IF(D39&gt;0,'R&amp;C-Painel de Controle'!$O$55+'R&amp;C-Painel de Controle'!$P$55*D39/1000000,0)</f>
        <v>0</v>
      </c>
      <c r="E94" s="1778">
        <f>IF(E39&gt;0,'R&amp;C-Painel de Controle'!O55+'R&amp;C-Painel de Controle'!$P$55*E39/1000000,0)</f>
        <v>8.0852878343749985</v>
      </c>
      <c r="F94" s="1778">
        <f>IF(F39&gt;0,'R&amp;C-Painel de Controle'!$O$55+'R&amp;C-Painel de Controle'!$P$55*F39/1000000,0)</f>
        <v>13.142369418749997</v>
      </c>
      <c r="G94" s="1778">
        <f>IF(G39&gt;0,'R&amp;C-Painel de Controle'!$O$55+'R&amp;C-Painel de Controle'!$P$55*G39/1000000,0)</f>
        <v>13.142369418749997</v>
      </c>
      <c r="H94" s="1778">
        <f>IF(H39&gt;0,'R&amp;C-Painel de Controle'!$O$55+'R&amp;C-Painel de Controle'!$P$55*H39/1000000,0)</f>
        <v>13.142369418749997</v>
      </c>
      <c r="I94" s="1778">
        <f>IF(I39&gt;0,'R&amp;C-Painel de Controle'!$O$55+'R&amp;C-Painel de Controle'!$P$55*I39/1000000,0)</f>
        <v>13.142369418749997</v>
      </c>
      <c r="J94" s="1778">
        <f>IF(J39&gt;0,'R&amp;C-Painel de Controle'!$O$55+'R&amp;C-Painel de Controle'!$P$55*J39/1000000,0)</f>
        <v>13.142369418749997</v>
      </c>
      <c r="K94" s="1778">
        <f>IF(K39&gt;0,'R&amp;C-Painel de Controle'!$O$55+'R&amp;C-Painel de Controle'!$P$55*K39/1000000,0)</f>
        <v>13.142369418749997</v>
      </c>
      <c r="L94" s="1778">
        <f>IF(L39&gt;0,'R&amp;C-Painel de Controle'!$O$55+'R&amp;C-Painel de Controle'!$P$55*L39/1000000,0)</f>
        <v>13.142369418749997</v>
      </c>
      <c r="M94" s="1778">
        <f>IF(M39&gt;0,'R&amp;C-Painel de Controle'!$O$55+'R&amp;C-Painel de Controle'!$P$55*M39/1000000,0)</f>
        <v>13.142369418749997</v>
      </c>
      <c r="N94" s="1778">
        <f>IF(N39&gt;0,'R&amp;C-Painel de Controle'!$O$55+'R&amp;C-Painel de Controle'!$P$55*N39/1000000,0)</f>
        <v>13.142369418749997</v>
      </c>
      <c r="O94" s="1778">
        <f>IF(O39&gt;0,'R&amp;C-Painel de Controle'!$O$55+'R&amp;C-Painel de Controle'!$P$55*O39/1000000,0)</f>
        <v>13.142369418749997</v>
      </c>
      <c r="P94" s="1778">
        <f>IF(P39&gt;0,'R&amp;C-Painel de Controle'!$O$55+'R&amp;C-Painel de Controle'!$P$55*P39/1000000,0)</f>
        <v>13.142369418749997</v>
      </c>
      <c r="Q94" s="1778">
        <f>IF(Q39&gt;0,'R&amp;C-Painel de Controle'!$O$55+'R&amp;C-Painel de Controle'!$P$55*Q39/1000000,0)</f>
        <v>13.142369418749997</v>
      </c>
      <c r="R94" s="1790">
        <f t="shared" ref="R94:BC94" si="56">Q94</f>
        <v>13.142369418749997</v>
      </c>
      <c r="S94" s="1790">
        <f t="shared" si="56"/>
        <v>13.142369418749997</v>
      </c>
      <c r="T94" s="1790">
        <f t="shared" si="56"/>
        <v>13.142369418749997</v>
      </c>
      <c r="U94" s="1790">
        <f t="shared" si="56"/>
        <v>13.142369418749997</v>
      </c>
      <c r="V94" s="1790">
        <f t="shared" si="56"/>
        <v>13.142369418749997</v>
      </c>
      <c r="W94" s="1790">
        <f t="shared" si="56"/>
        <v>13.142369418749997</v>
      </c>
      <c r="X94" s="1790">
        <f t="shared" si="56"/>
        <v>13.142369418749997</v>
      </c>
      <c r="Y94" s="1790">
        <f t="shared" si="56"/>
        <v>13.142369418749997</v>
      </c>
      <c r="Z94" s="1790">
        <f t="shared" si="56"/>
        <v>13.142369418749997</v>
      </c>
      <c r="AA94" s="1790">
        <f t="shared" si="56"/>
        <v>13.142369418749997</v>
      </c>
      <c r="AB94" s="1790">
        <f t="shared" si="56"/>
        <v>13.142369418749997</v>
      </c>
      <c r="AC94" s="1790">
        <f t="shared" si="56"/>
        <v>13.142369418749997</v>
      </c>
      <c r="AD94" s="1790">
        <f t="shared" si="56"/>
        <v>13.142369418749997</v>
      </c>
      <c r="AE94" s="1790">
        <f t="shared" si="56"/>
        <v>13.142369418749997</v>
      </c>
      <c r="AF94" s="1790">
        <f t="shared" si="56"/>
        <v>13.142369418749997</v>
      </c>
      <c r="AG94" s="1790">
        <f t="shared" si="56"/>
        <v>13.142369418749997</v>
      </c>
      <c r="AH94" s="1790">
        <f t="shared" si="56"/>
        <v>13.142369418749997</v>
      </c>
      <c r="AI94" s="1790">
        <f t="shared" si="56"/>
        <v>13.142369418749997</v>
      </c>
      <c r="AJ94" s="1790">
        <f t="shared" si="56"/>
        <v>13.142369418749997</v>
      </c>
      <c r="AK94" s="1790">
        <f t="shared" si="56"/>
        <v>13.142369418749997</v>
      </c>
      <c r="AL94" s="1790">
        <f t="shared" si="56"/>
        <v>13.142369418749997</v>
      </c>
      <c r="AM94" s="1790">
        <f t="shared" si="56"/>
        <v>13.142369418749997</v>
      </c>
      <c r="AN94" s="1790">
        <f t="shared" si="56"/>
        <v>13.142369418749997</v>
      </c>
      <c r="AO94" s="1790">
        <f t="shared" si="56"/>
        <v>13.142369418749997</v>
      </c>
      <c r="AP94" s="1790">
        <f t="shared" si="56"/>
        <v>13.142369418749997</v>
      </c>
      <c r="AQ94" s="1790">
        <f t="shared" si="56"/>
        <v>13.142369418749997</v>
      </c>
      <c r="AR94" s="1790">
        <f t="shared" si="56"/>
        <v>13.142369418749997</v>
      </c>
      <c r="AS94" s="1790">
        <f t="shared" si="56"/>
        <v>13.142369418749997</v>
      </c>
      <c r="AT94" s="1790">
        <f t="shared" si="56"/>
        <v>13.142369418749997</v>
      </c>
      <c r="AU94" s="1790">
        <f t="shared" si="56"/>
        <v>13.142369418749997</v>
      </c>
      <c r="AV94" s="1790">
        <f t="shared" si="56"/>
        <v>13.142369418749997</v>
      </c>
      <c r="AW94" s="1790">
        <f t="shared" si="56"/>
        <v>13.142369418749997</v>
      </c>
      <c r="AX94" s="1790">
        <f t="shared" si="56"/>
        <v>13.142369418749997</v>
      </c>
      <c r="AY94" s="1790">
        <f t="shared" si="56"/>
        <v>13.142369418749997</v>
      </c>
      <c r="AZ94" s="1790">
        <f t="shared" si="56"/>
        <v>13.142369418749997</v>
      </c>
      <c r="BA94" s="1790">
        <f t="shared" si="56"/>
        <v>13.142369418749997</v>
      </c>
      <c r="BB94" s="1790">
        <f t="shared" si="56"/>
        <v>13.142369418749997</v>
      </c>
      <c r="BC94" s="1790">
        <f t="shared" si="56"/>
        <v>13.142369418749997</v>
      </c>
      <c r="BD94" s="297"/>
      <c r="BE94" s="297"/>
      <c r="BF94" s="297"/>
    </row>
    <row r="95" spans="1:58" s="203" customFormat="1" ht="18" hidden="1" customHeight="1" outlineLevel="1" x14ac:dyDescent="0.35">
      <c r="B95" s="859" t="str">
        <f>B68</f>
        <v>Triagem Mecanizada</v>
      </c>
      <c r="C95" s="1768" t="str">
        <f t="shared" ref="C95:D95" si="57">C40</f>
        <v>Sim</v>
      </c>
      <c r="D95" s="1768">
        <f t="shared" si="57"/>
        <v>692982</v>
      </c>
      <c r="E95" s="1775"/>
      <c r="F95" s="1775"/>
      <c r="G95" s="1775"/>
      <c r="H95" s="1775"/>
      <c r="I95" s="1775"/>
      <c r="J95" s="1775"/>
      <c r="K95" s="1775"/>
      <c r="L95" s="1775"/>
      <c r="M95" s="1775"/>
      <c r="N95" s="1775"/>
      <c r="O95" s="1775"/>
      <c r="P95" s="1775"/>
      <c r="Q95" s="1791"/>
      <c r="R95" s="1765"/>
      <c r="S95" s="1765"/>
      <c r="T95" s="1765"/>
      <c r="U95" s="1765"/>
      <c r="V95" s="1765"/>
      <c r="W95" s="1765"/>
      <c r="X95" s="1765"/>
      <c r="Y95" s="1765"/>
      <c r="Z95" s="1765"/>
      <c r="AA95" s="1765"/>
      <c r="AB95" s="1765"/>
      <c r="AC95" s="1765"/>
      <c r="AD95" s="1765"/>
      <c r="AE95" s="1765"/>
      <c r="AF95" s="1765"/>
      <c r="AG95" s="1765"/>
      <c r="AH95" s="1765"/>
      <c r="AI95" s="1765"/>
      <c r="AJ95" s="1765"/>
      <c r="AK95" s="1765"/>
      <c r="AL95" s="1765"/>
      <c r="AM95" s="1765"/>
      <c r="AN95" s="1765"/>
      <c r="AO95" s="1765"/>
      <c r="AP95" s="1765"/>
      <c r="AQ95" s="1765"/>
      <c r="AR95" s="1765"/>
      <c r="AS95" s="1765"/>
      <c r="AT95" s="1765"/>
      <c r="AU95" s="1765"/>
      <c r="AV95" s="1765"/>
      <c r="AW95" s="1765"/>
      <c r="AX95" s="1765"/>
      <c r="AY95" s="1765"/>
      <c r="AZ95" s="1765"/>
      <c r="BA95" s="1765"/>
      <c r="BB95" s="1765"/>
      <c r="BC95" s="1765"/>
      <c r="BD95" s="292"/>
      <c r="BE95" s="292"/>
      <c r="BF95" s="292"/>
    </row>
    <row r="96" spans="1:58" s="203" customFormat="1" ht="18" hidden="1" customHeight="1" outlineLevel="1" x14ac:dyDescent="0.35">
      <c r="B96" s="284"/>
      <c r="C96" s="1776"/>
      <c r="D96" s="1777"/>
      <c r="E96" s="1776"/>
      <c r="F96" s="1776"/>
      <c r="G96" s="1776"/>
      <c r="H96" s="1776"/>
      <c r="I96" s="1776"/>
      <c r="J96" s="1776"/>
      <c r="K96" s="1776"/>
      <c r="L96" s="1776"/>
      <c r="M96" s="1776"/>
      <c r="N96" s="1776"/>
      <c r="O96" s="1776"/>
      <c r="P96" s="1776"/>
      <c r="Q96" s="1776"/>
      <c r="R96" s="1765"/>
      <c r="S96" s="1765"/>
      <c r="T96" s="1765"/>
      <c r="U96" s="1765"/>
      <c r="V96" s="1765"/>
      <c r="W96" s="1765"/>
      <c r="X96" s="1765"/>
      <c r="Y96" s="1765"/>
      <c r="Z96" s="1765"/>
      <c r="AA96" s="1765"/>
      <c r="AB96" s="1765"/>
      <c r="AC96" s="1765"/>
      <c r="AD96" s="1765"/>
      <c r="AE96" s="1765"/>
      <c r="AF96" s="1765"/>
      <c r="AG96" s="1765"/>
      <c r="AH96" s="1765"/>
      <c r="AI96" s="1765"/>
      <c r="AJ96" s="1765"/>
      <c r="AK96" s="1765"/>
      <c r="AL96" s="1765"/>
      <c r="AM96" s="1765"/>
      <c r="AN96" s="1765"/>
      <c r="AO96" s="1765"/>
      <c r="AP96" s="1765"/>
      <c r="AQ96" s="1765"/>
      <c r="AR96" s="1765"/>
      <c r="AS96" s="1765"/>
      <c r="AT96" s="1765"/>
      <c r="AU96" s="1765"/>
      <c r="AV96" s="1765"/>
      <c r="AW96" s="1765"/>
      <c r="AX96" s="1765"/>
      <c r="AY96" s="1765"/>
      <c r="AZ96" s="1765"/>
      <c r="BA96" s="1765"/>
      <c r="BB96" s="1765"/>
      <c r="BC96" s="1765"/>
      <c r="BD96" s="292"/>
      <c r="BE96" s="292"/>
      <c r="BF96" s="292"/>
    </row>
    <row r="97" spans="2:58" s="203" customFormat="1" ht="18" hidden="1" customHeight="1" outlineLevel="1" x14ac:dyDescent="0.35">
      <c r="B97" s="284" t="s">
        <v>410</v>
      </c>
      <c r="C97" s="1778">
        <f>IF(C42&gt;0,'R&amp;C-Painel de Controle'!$O58+'R&amp;C-Painel de Controle'!$P58*C42/1000000,0)</f>
        <v>0</v>
      </c>
      <c r="D97" s="1779">
        <f>IF(D42&gt;0,'R&amp;C-Painel de Controle'!$O58+'R&amp;C-Painel de Controle'!$P58*D42/1000000,0)</f>
        <v>0</v>
      </c>
      <c r="E97" s="1778">
        <f>IF(E42&gt;0,'R&amp;C-Painel de Controle'!$O58+'R&amp;C-Painel de Controle'!$P58*E42/1000000,0)</f>
        <v>27.638955741724345</v>
      </c>
      <c r="F97" s="1778">
        <f>IF(F42&gt;0,'R&amp;C-Painel de Controle'!$O58+'R&amp;C-Painel de Controle'!$P58*F42/1000000,0)</f>
        <v>45.975239608448696</v>
      </c>
      <c r="G97" s="1778">
        <f>IF(G42&gt;0,'R&amp;C-Painel de Controle'!$O58+'R&amp;C-Painel de Controle'!$P58*G42/1000000,0)</f>
        <v>45.975239608448696</v>
      </c>
      <c r="H97" s="1778">
        <f>IF(H42&gt;0,'R&amp;C-Painel de Controle'!$O58+'R&amp;C-Painel de Controle'!$P58*H42/1000000,0)</f>
        <v>45.975239608448696</v>
      </c>
      <c r="I97" s="1778">
        <f>IF(I42&gt;0,'R&amp;C-Painel de Controle'!$O58+'R&amp;C-Painel de Controle'!$P58*I42/1000000,0)</f>
        <v>45.975239608448696</v>
      </c>
      <c r="J97" s="1778">
        <f>IF(J42&gt;0,'R&amp;C-Painel de Controle'!$O58+'R&amp;C-Painel de Controle'!$P58*J42/1000000,0)</f>
        <v>45.975239608448696</v>
      </c>
      <c r="K97" s="1778">
        <f>IF(K42&gt;0,'R&amp;C-Painel de Controle'!$O58+'R&amp;C-Painel de Controle'!$P58*K42/1000000,0)</f>
        <v>45.975239608448696</v>
      </c>
      <c r="L97" s="1778">
        <f>IF(L42&gt;0,'R&amp;C-Painel de Controle'!$O58+'R&amp;C-Painel de Controle'!$P58*L42/1000000,0)</f>
        <v>45.975239608448696</v>
      </c>
      <c r="M97" s="1778">
        <f>IF(M42&gt;0,'R&amp;C-Painel de Controle'!$O58+'R&amp;C-Painel de Controle'!$P58*M42/1000000,0)</f>
        <v>45.975239608448696</v>
      </c>
      <c r="N97" s="1778">
        <f>IF(N42&gt;0,'R&amp;C-Painel de Controle'!$O58+'R&amp;C-Painel de Controle'!$P58*N42/1000000,0)</f>
        <v>45.975239608448696</v>
      </c>
      <c r="O97" s="1778">
        <f>IF(O42&gt;0,'R&amp;C-Painel de Controle'!$O58+'R&amp;C-Painel de Controle'!$P58*O42/1000000,0)</f>
        <v>45.975239608448696</v>
      </c>
      <c r="P97" s="1778">
        <f>IF(P42&gt;0,'R&amp;C-Painel de Controle'!$O58+'R&amp;C-Painel de Controle'!$P58*P42/1000000,0)</f>
        <v>45.975239608448696</v>
      </c>
      <c r="Q97" s="1778">
        <f>IF(Q42&gt;0,'R&amp;C-Painel de Controle'!$O58+'R&amp;C-Painel de Controle'!$P58*Q42/1000000,0)</f>
        <v>45.975239608448696</v>
      </c>
      <c r="R97" s="1790">
        <f t="shared" ref="R97:BC97" si="58">Q97</f>
        <v>45.975239608448696</v>
      </c>
      <c r="S97" s="1790">
        <f t="shared" si="58"/>
        <v>45.975239608448696</v>
      </c>
      <c r="T97" s="1790">
        <f t="shared" si="58"/>
        <v>45.975239608448696</v>
      </c>
      <c r="U97" s="1790">
        <f t="shared" si="58"/>
        <v>45.975239608448696</v>
      </c>
      <c r="V97" s="1790">
        <f t="shared" si="58"/>
        <v>45.975239608448696</v>
      </c>
      <c r="W97" s="1790">
        <f t="shared" si="58"/>
        <v>45.975239608448696</v>
      </c>
      <c r="X97" s="1790">
        <f t="shared" si="58"/>
        <v>45.975239608448696</v>
      </c>
      <c r="Y97" s="1790">
        <f t="shared" si="58"/>
        <v>45.975239608448696</v>
      </c>
      <c r="Z97" s="1790">
        <f t="shared" si="58"/>
        <v>45.975239608448696</v>
      </c>
      <c r="AA97" s="1790">
        <f t="shared" si="58"/>
        <v>45.975239608448696</v>
      </c>
      <c r="AB97" s="1790">
        <f t="shared" si="58"/>
        <v>45.975239608448696</v>
      </c>
      <c r="AC97" s="1790">
        <f t="shared" si="58"/>
        <v>45.975239608448696</v>
      </c>
      <c r="AD97" s="1790">
        <f t="shared" si="58"/>
        <v>45.975239608448696</v>
      </c>
      <c r="AE97" s="1790">
        <f t="shared" si="58"/>
        <v>45.975239608448696</v>
      </c>
      <c r="AF97" s="1790">
        <f t="shared" si="58"/>
        <v>45.975239608448696</v>
      </c>
      <c r="AG97" s="1790">
        <f t="shared" si="58"/>
        <v>45.975239608448696</v>
      </c>
      <c r="AH97" s="1790">
        <f t="shared" si="58"/>
        <v>45.975239608448696</v>
      </c>
      <c r="AI97" s="1790">
        <f t="shared" si="58"/>
        <v>45.975239608448696</v>
      </c>
      <c r="AJ97" s="1790">
        <f t="shared" si="58"/>
        <v>45.975239608448696</v>
      </c>
      <c r="AK97" s="1790">
        <f t="shared" si="58"/>
        <v>45.975239608448696</v>
      </c>
      <c r="AL97" s="1790">
        <f t="shared" si="58"/>
        <v>45.975239608448696</v>
      </c>
      <c r="AM97" s="1790">
        <f t="shared" si="58"/>
        <v>45.975239608448696</v>
      </c>
      <c r="AN97" s="1790">
        <f t="shared" si="58"/>
        <v>45.975239608448696</v>
      </c>
      <c r="AO97" s="1790">
        <f t="shared" si="58"/>
        <v>45.975239608448696</v>
      </c>
      <c r="AP97" s="1790">
        <f t="shared" si="58"/>
        <v>45.975239608448696</v>
      </c>
      <c r="AQ97" s="1790">
        <f t="shared" si="58"/>
        <v>45.975239608448696</v>
      </c>
      <c r="AR97" s="1790">
        <f t="shared" si="58"/>
        <v>45.975239608448696</v>
      </c>
      <c r="AS97" s="1790">
        <f t="shared" si="58"/>
        <v>45.975239608448696</v>
      </c>
      <c r="AT97" s="1790">
        <f t="shared" si="58"/>
        <v>45.975239608448696</v>
      </c>
      <c r="AU97" s="1790">
        <f t="shared" si="58"/>
        <v>45.975239608448696</v>
      </c>
      <c r="AV97" s="1790">
        <f t="shared" si="58"/>
        <v>45.975239608448696</v>
      </c>
      <c r="AW97" s="1790">
        <f t="shared" si="58"/>
        <v>45.975239608448696</v>
      </c>
      <c r="AX97" s="1790">
        <f t="shared" si="58"/>
        <v>45.975239608448696</v>
      </c>
      <c r="AY97" s="1790">
        <f t="shared" si="58"/>
        <v>45.975239608448696</v>
      </c>
      <c r="AZ97" s="1790">
        <f t="shared" si="58"/>
        <v>45.975239608448696</v>
      </c>
      <c r="BA97" s="1790">
        <f t="shared" si="58"/>
        <v>45.975239608448696</v>
      </c>
      <c r="BB97" s="1790">
        <f t="shared" si="58"/>
        <v>45.975239608448696</v>
      </c>
      <c r="BC97" s="1790">
        <f t="shared" si="58"/>
        <v>45.975239608448696</v>
      </c>
      <c r="BD97" s="297"/>
      <c r="BE97" s="297"/>
      <c r="BF97" s="297"/>
    </row>
    <row r="98" spans="2:58" s="203" customFormat="1" ht="18" hidden="1" customHeight="1" outlineLevel="1" x14ac:dyDescent="0.35">
      <c r="B98" s="859" t="str">
        <f>B71</f>
        <v>Produção de CDR TM — Trat. Mec.</v>
      </c>
      <c r="C98" s="1768" t="str">
        <f t="shared" ref="C98:D98" si="59">C43</f>
        <v>Sim</v>
      </c>
      <c r="D98" s="1768">
        <f t="shared" si="59"/>
        <v>60847.200000000004</v>
      </c>
      <c r="E98" s="1775"/>
      <c r="F98" s="1686"/>
      <c r="G98" s="1686"/>
      <c r="H98" s="1686"/>
      <c r="I98" s="1686"/>
      <c r="J98" s="1686"/>
      <c r="K98" s="1686"/>
      <c r="L98" s="1686"/>
      <c r="M98" s="1686"/>
      <c r="N98" s="1686"/>
      <c r="O98" s="1686"/>
      <c r="P98" s="1686"/>
      <c r="Q98" s="1791"/>
      <c r="R98" s="1765"/>
      <c r="S98" s="1765"/>
      <c r="T98" s="1765"/>
      <c r="U98" s="1765"/>
      <c r="V98" s="1765"/>
      <c r="W98" s="1765"/>
      <c r="X98" s="1765"/>
      <c r="Y98" s="1765"/>
      <c r="Z98" s="1765"/>
      <c r="AA98" s="1765"/>
      <c r="AB98" s="1765"/>
      <c r="AC98" s="1765"/>
      <c r="AD98" s="1765"/>
      <c r="AE98" s="1765"/>
      <c r="AF98" s="1765"/>
      <c r="AG98" s="1765"/>
      <c r="AH98" s="1765"/>
      <c r="AI98" s="1765"/>
      <c r="AJ98" s="1765"/>
      <c r="AK98" s="1765"/>
      <c r="AL98" s="1765"/>
      <c r="AM98" s="1765"/>
      <c r="AN98" s="1765"/>
      <c r="AO98" s="1765"/>
      <c r="AP98" s="1765"/>
      <c r="AQ98" s="1765"/>
      <c r="AR98" s="1765"/>
      <c r="AS98" s="1765"/>
      <c r="AT98" s="1765"/>
      <c r="AU98" s="1765"/>
      <c r="AV98" s="1765"/>
      <c r="AW98" s="1765"/>
      <c r="AX98" s="1765"/>
      <c r="AY98" s="1765"/>
      <c r="AZ98" s="1765"/>
      <c r="BA98" s="1765"/>
      <c r="BB98" s="1765"/>
      <c r="BC98" s="1765"/>
      <c r="BD98" s="292"/>
      <c r="BE98" s="292"/>
      <c r="BF98" s="292"/>
    </row>
    <row r="99" spans="2:58" s="203" customFormat="1" ht="18" hidden="1" customHeight="1" outlineLevel="1" x14ac:dyDescent="0.35">
      <c r="B99" s="284"/>
      <c r="C99" s="1776"/>
      <c r="D99" s="1776"/>
      <c r="E99" s="1776"/>
      <c r="F99" s="1776"/>
      <c r="G99" s="1776"/>
      <c r="H99" s="1776"/>
      <c r="I99" s="1776"/>
      <c r="J99" s="1776"/>
      <c r="K99" s="1776"/>
      <c r="L99" s="1776"/>
      <c r="M99" s="1776"/>
      <c r="N99" s="1776"/>
      <c r="O99" s="1776"/>
      <c r="P99" s="1776"/>
      <c r="Q99" s="1776"/>
      <c r="R99" s="1765"/>
      <c r="S99" s="1765"/>
      <c r="T99" s="1765"/>
      <c r="U99" s="1765"/>
      <c r="V99" s="1765"/>
      <c r="W99" s="1765"/>
      <c r="X99" s="1765"/>
      <c r="Y99" s="1765"/>
      <c r="Z99" s="1765"/>
      <c r="AA99" s="1765"/>
      <c r="AB99" s="1765"/>
      <c r="AC99" s="1765"/>
      <c r="AD99" s="1765"/>
      <c r="AE99" s="1765"/>
      <c r="AF99" s="1765"/>
      <c r="AG99" s="1765"/>
      <c r="AH99" s="1765"/>
      <c r="AI99" s="1765"/>
      <c r="AJ99" s="1765"/>
      <c r="AK99" s="1765"/>
      <c r="AL99" s="1765"/>
      <c r="AM99" s="1765"/>
      <c r="AN99" s="1765"/>
      <c r="AO99" s="1765"/>
      <c r="AP99" s="1765"/>
      <c r="AQ99" s="1765"/>
      <c r="AR99" s="1765"/>
      <c r="AS99" s="1765"/>
      <c r="AT99" s="1765"/>
      <c r="AU99" s="1765"/>
      <c r="AV99" s="1765"/>
      <c r="AW99" s="1765"/>
      <c r="AX99" s="1765"/>
      <c r="AY99" s="1765"/>
      <c r="AZ99" s="1765"/>
      <c r="BA99" s="1765"/>
      <c r="BB99" s="1765"/>
      <c r="BC99" s="1765"/>
      <c r="BD99" s="292"/>
      <c r="BE99" s="292"/>
      <c r="BF99" s="292"/>
    </row>
    <row r="100" spans="2:58" s="203" customFormat="1" ht="18" hidden="1" customHeight="1" outlineLevel="1" x14ac:dyDescent="0.35">
      <c r="B100" s="284" t="s">
        <v>410</v>
      </c>
      <c r="C100" s="1778">
        <f>IF(C45&gt;0,'R&amp;C-Painel de Controle'!$O61+'R&amp;C-Painel de Controle'!$P61*C45/1000000,0)</f>
        <v>0</v>
      </c>
      <c r="D100" s="1778">
        <f>IF(D45&gt;0,'R&amp;C-Painel de Controle'!$O61+'R&amp;C-Painel de Controle'!$P61*D45/1000000,0)</f>
        <v>0</v>
      </c>
      <c r="E100" s="1778">
        <f>IF(E45&gt;0,'R&amp;C-Painel de Controle'!$O61+'R&amp;C-Painel de Controle'!$P61*E45/1000000,0)</f>
        <v>2.0787403779689342</v>
      </c>
      <c r="F100" s="1778">
        <f>IF(F45&gt;0,'R&amp;C-Painel de Controle'!$O61+'R&amp;C-Painel de Controle'!$P61*F45/1000000,0)</f>
        <v>3.6341682559378681</v>
      </c>
      <c r="G100" s="1778">
        <f>IF(G45&gt;0,'R&amp;C-Painel de Controle'!$O61+'R&amp;C-Painel de Controle'!$P61*G45/1000000,0)</f>
        <v>3.6341682559378681</v>
      </c>
      <c r="H100" s="1778">
        <f>IF(H45&gt;0,'R&amp;C-Painel de Controle'!$O61+'R&amp;C-Painel de Controle'!$P61*H45/1000000,0)</f>
        <v>3.6341682559378681</v>
      </c>
      <c r="I100" s="1778">
        <f>IF(I45&gt;0,'R&amp;C-Painel de Controle'!$O61+'R&amp;C-Painel de Controle'!$P61*I45/1000000,0)</f>
        <v>3.6341682559378681</v>
      </c>
      <c r="J100" s="1778">
        <f>IF(J45&gt;0,'R&amp;C-Painel de Controle'!$O61+'R&amp;C-Painel de Controle'!$P61*J45/1000000,0)</f>
        <v>3.6341682559378681</v>
      </c>
      <c r="K100" s="1778">
        <f>IF(K45&gt;0,'R&amp;C-Painel de Controle'!$O61+'R&amp;C-Painel de Controle'!$P61*K45/1000000,0)</f>
        <v>3.6341682559378681</v>
      </c>
      <c r="L100" s="1778">
        <f>IF(L45&gt;0,'R&amp;C-Painel de Controle'!$O61+'R&amp;C-Painel de Controle'!$P61*L45/1000000,0)</f>
        <v>3.6341682559378681</v>
      </c>
      <c r="M100" s="1778">
        <f>IF(M45&gt;0,'R&amp;C-Painel de Controle'!$O61+'R&amp;C-Painel de Controle'!$P61*M45/1000000,0)</f>
        <v>3.6341682559378681</v>
      </c>
      <c r="N100" s="1778">
        <f>IF(N45&gt;0,'R&amp;C-Painel de Controle'!$O61+'R&amp;C-Painel de Controle'!$P61*N45/1000000,0)</f>
        <v>3.6341682559378681</v>
      </c>
      <c r="O100" s="1778">
        <f>IF(O45&gt;0,'R&amp;C-Painel de Controle'!$O61+'R&amp;C-Painel de Controle'!$P61*O45/1000000,0)</f>
        <v>3.6341682559378681</v>
      </c>
      <c r="P100" s="1778">
        <f>IF(P45&gt;0,'R&amp;C-Painel de Controle'!$O61+'R&amp;C-Painel de Controle'!$P61*P45/1000000,0)</f>
        <v>3.6341682559378681</v>
      </c>
      <c r="Q100" s="1778">
        <f>IF(Q45&gt;0,'R&amp;C-Painel de Controle'!$O61+'R&amp;C-Painel de Controle'!$P61*Q45/1000000,0)</f>
        <v>3.6341682559378681</v>
      </c>
      <c r="R100" s="1790">
        <f t="shared" ref="R100:BC100" si="60">Q100</f>
        <v>3.6341682559378681</v>
      </c>
      <c r="S100" s="1790">
        <f t="shared" si="60"/>
        <v>3.6341682559378681</v>
      </c>
      <c r="T100" s="1790">
        <f t="shared" si="60"/>
        <v>3.6341682559378681</v>
      </c>
      <c r="U100" s="1790">
        <f t="shared" si="60"/>
        <v>3.6341682559378681</v>
      </c>
      <c r="V100" s="1790">
        <f t="shared" si="60"/>
        <v>3.6341682559378681</v>
      </c>
      <c r="W100" s="1790">
        <f t="shared" si="60"/>
        <v>3.6341682559378681</v>
      </c>
      <c r="X100" s="1790">
        <f t="shared" si="60"/>
        <v>3.6341682559378681</v>
      </c>
      <c r="Y100" s="1790">
        <f t="shared" si="60"/>
        <v>3.6341682559378681</v>
      </c>
      <c r="Z100" s="1790">
        <f t="shared" si="60"/>
        <v>3.6341682559378681</v>
      </c>
      <c r="AA100" s="1790">
        <f t="shared" si="60"/>
        <v>3.6341682559378681</v>
      </c>
      <c r="AB100" s="1790">
        <f t="shared" si="60"/>
        <v>3.6341682559378681</v>
      </c>
      <c r="AC100" s="1790">
        <f t="shared" si="60"/>
        <v>3.6341682559378681</v>
      </c>
      <c r="AD100" s="1790">
        <f t="shared" si="60"/>
        <v>3.6341682559378681</v>
      </c>
      <c r="AE100" s="1790">
        <f t="shared" si="60"/>
        <v>3.6341682559378681</v>
      </c>
      <c r="AF100" s="1790">
        <f t="shared" si="60"/>
        <v>3.6341682559378681</v>
      </c>
      <c r="AG100" s="1790">
        <f t="shared" si="60"/>
        <v>3.6341682559378681</v>
      </c>
      <c r="AH100" s="1790">
        <f t="shared" si="60"/>
        <v>3.6341682559378681</v>
      </c>
      <c r="AI100" s="1790">
        <f t="shared" si="60"/>
        <v>3.6341682559378681</v>
      </c>
      <c r="AJ100" s="1790">
        <f t="shared" si="60"/>
        <v>3.6341682559378681</v>
      </c>
      <c r="AK100" s="1790">
        <f t="shared" si="60"/>
        <v>3.6341682559378681</v>
      </c>
      <c r="AL100" s="1790">
        <f t="shared" si="60"/>
        <v>3.6341682559378681</v>
      </c>
      <c r="AM100" s="1790">
        <f t="shared" si="60"/>
        <v>3.6341682559378681</v>
      </c>
      <c r="AN100" s="1790">
        <f t="shared" si="60"/>
        <v>3.6341682559378681</v>
      </c>
      <c r="AO100" s="1790">
        <f t="shared" si="60"/>
        <v>3.6341682559378681</v>
      </c>
      <c r="AP100" s="1790">
        <f t="shared" si="60"/>
        <v>3.6341682559378681</v>
      </c>
      <c r="AQ100" s="1790">
        <f t="shared" si="60"/>
        <v>3.6341682559378681</v>
      </c>
      <c r="AR100" s="1790">
        <f t="shared" si="60"/>
        <v>3.6341682559378681</v>
      </c>
      <c r="AS100" s="1790">
        <f t="shared" si="60"/>
        <v>3.6341682559378681</v>
      </c>
      <c r="AT100" s="1790">
        <f t="shared" si="60"/>
        <v>3.6341682559378681</v>
      </c>
      <c r="AU100" s="1790">
        <f t="shared" si="60"/>
        <v>3.6341682559378681</v>
      </c>
      <c r="AV100" s="1790">
        <f t="shared" si="60"/>
        <v>3.6341682559378681</v>
      </c>
      <c r="AW100" s="1790">
        <f t="shared" si="60"/>
        <v>3.6341682559378681</v>
      </c>
      <c r="AX100" s="1790">
        <f t="shared" si="60"/>
        <v>3.6341682559378681</v>
      </c>
      <c r="AY100" s="1790">
        <f t="shared" si="60"/>
        <v>3.6341682559378681</v>
      </c>
      <c r="AZ100" s="1790">
        <f t="shared" si="60"/>
        <v>3.6341682559378681</v>
      </c>
      <c r="BA100" s="1790">
        <f t="shared" si="60"/>
        <v>3.6341682559378681</v>
      </c>
      <c r="BB100" s="1790">
        <f t="shared" si="60"/>
        <v>3.6341682559378681</v>
      </c>
      <c r="BC100" s="1790">
        <f t="shared" si="60"/>
        <v>3.6341682559378681</v>
      </c>
      <c r="BD100" s="297"/>
      <c r="BE100" s="297"/>
      <c r="BF100" s="297"/>
    </row>
    <row r="101" spans="2:58" s="203" customFormat="1" ht="18" hidden="1" customHeight="1" outlineLevel="1" x14ac:dyDescent="0.35">
      <c r="B101" s="859" t="str">
        <f>B74</f>
        <v>Prod. CDR TMB — Trat. Mec./Biológ.</v>
      </c>
      <c r="C101" s="1768" t="str">
        <f t="shared" ref="C101:D101" si="61">C46</f>
        <v>Não</v>
      </c>
      <c r="D101" s="1768">
        <f t="shared" si="61"/>
        <v>0</v>
      </c>
      <c r="E101" s="1775"/>
      <c r="F101" s="1775"/>
      <c r="G101" s="1775"/>
      <c r="H101" s="1775"/>
      <c r="I101" s="1775"/>
      <c r="J101" s="1775"/>
      <c r="K101" s="1775"/>
      <c r="L101" s="1775"/>
      <c r="M101" s="1775"/>
      <c r="N101" s="1775"/>
      <c r="O101" s="1775"/>
      <c r="P101" s="1775"/>
      <c r="Q101" s="1791"/>
      <c r="R101" s="1765"/>
      <c r="S101" s="1765"/>
      <c r="T101" s="1765"/>
      <c r="U101" s="1765"/>
      <c r="V101" s="1765"/>
      <c r="W101" s="1765"/>
      <c r="X101" s="1765"/>
      <c r="Y101" s="1765"/>
      <c r="Z101" s="1765"/>
      <c r="AA101" s="1765"/>
      <c r="AB101" s="1765"/>
      <c r="AC101" s="1765"/>
      <c r="AD101" s="1765"/>
      <c r="AE101" s="1765"/>
      <c r="AF101" s="1765"/>
      <c r="AG101" s="1765"/>
      <c r="AH101" s="1765"/>
      <c r="AI101" s="1765"/>
      <c r="AJ101" s="1765"/>
      <c r="AK101" s="1765"/>
      <c r="AL101" s="1765"/>
      <c r="AM101" s="1765"/>
      <c r="AN101" s="1765"/>
      <c r="AO101" s="1765"/>
      <c r="AP101" s="1765"/>
      <c r="AQ101" s="1765"/>
      <c r="AR101" s="1765"/>
      <c r="AS101" s="1765"/>
      <c r="AT101" s="1765"/>
      <c r="AU101" s="1765"/>
      <c r="AV101" s="1765"/>
      <c r="AW101" s="1765"/>
      <c r="AX101" s="1765"/>
      <c r="AY101" s="1765"/>
      <c r="AZ101" s="1765"/>
      <c r="BA101" s="1765"/>
      <c r="BB101" s="1765"/>
      <c r="BC101" s="1765"/>
      <c r="BD101" s="292"/>
      <c r="BE101" s="292"/>
      <c r="BF101" s="292"/>
    </row>
    <row r="102" spans="2:58" s="203" customFormat="1" ht="18" hidden="1" customHeight="1" outlineLevel="1" x14ac:dyDescent="0.35">
      <c r="B102" s="284"/>
      <c r="C102" s="1776"/>
      <c r="D102" s="1776"/>
      <c r="E102" s="1776"/>
      <c r="F102" s="1776"/>
      <c r="G102" s="1776"/>
      <c r="H102" s="1776"/>
      <c r="I102" s="1776"/>
      <c r="J102" s="1776"/>
      <c r="K102" s="1776"/>
      <c r="L102" s="1776"/>
      <c r="M102" s="1776"/>
      <c r="N102" s="1776"/>
      <c r="O102" s="1776"/>
      <c r="P102" s="1776"/>
      <c r="Q102" s="1776"/>
      <c r="R102" s="1765"/>
      <c r="S102" s="1765"/>
      <c r="T102" s="1765"/>
      <c r="U102" s="1765"/>
      <c r="V102" s="1765"/>
      <c r="W102" s="1765"/>
      <c r="X102" s="1765"/>
      <c r="Y102" s="1765"/>
      <c r="Z102" s="1765"/>
      <c r="AA102" s="1765"/>
      <c r="AB102" s="1765"/>
      <c r="AC102" s="1765"/>
      <c r="AD102" s="1765"/>
      <c r="AE102" s="1765"/>
      <c r="AF102" s="1765"/>
      <c r="AG102" s="1765"/>
      <c r="AH102" s="1765"/>
      <c r="AI102" s="1765"/>
      <c r="AJ102" s="1765"/>
      <c r="AK102" s="1765"/>
      <c r="AL102" s="1765"/>
      <c r="AM102" s="1765"/>
      <c r="AN102" s="1765"/>
      <c r="AO102" s="1765"/>
      <c r="AP102" s="1765"/>
      <c r="AQ102" s="1765"/>
      <c r="AR102" s="1765"/>
      <c r="AS102" s="1765"/>
      <c r="AT102" s="1765"/>
      <c r="AU102" s="1765"/>
      <c r="AV102" s="1765"/>
      <c r="AW102" s="1765"/>
      <c r="AX102" s="1765"/>
      <c r="AY102" s="1765"/>
      <c r="AZ102" s="1765"/>
      <c r="BA102" s="1765"/>
      <c r="BB102" s="1765"/>
      <c r="BC102" s="1765"/>
      <c r="BD102" s="292"/>
      <c r="BE102" s="292"/>
      <c r="BF102" s="292"/>
    </row>
    <row r="103" spans="2:58" s="203" customFormat="1" ht="18" hidden="1" customHeight="1" outlineLevel="1" x14ac:dyDescent="0.35">
      <c r="B103" s="284" t="s">
        <v>410</v>
      </c>
      <c r="C103" s="1778">
        <f>IF(C48&gt;0,'R&amp;C-Painel de Controle'!$O64+'R&amp;C-Painel de Controle'!$P64*C48/1000000,0)</f>
        <v>0</v>
      </c>
      <c r="D103" s="1778">
        <f>IF(D48&gt;0,'R&amp;C-Painel de Controle'!$O64+'R&amp;C-Painel de Controle'!$P64*D48/1000000,0)</f>
        <v>0</v>
      </c>
      <c r="E103" s="1778">
        <f>IF(E48&gt;0,'R&amp;C-Painel de Controle'!$O64+'R&amp;C-Painel de Controle'!$P64*E48/1000000,0)</f>
        <v>0</v>
      </c>
      <c r="F103" s="1778">
        <f>IF(F48&gt;0,'R&amp;C-Painel de Controle'!$O64+'R&amp;C-Painel de Controle'!$P64*F48/1000000,0)</f>
        <v>0</v>
      </c>
      <c r="G103" s="1778">
        <f>IF(G48&gt;0,'R&amp;C-Painel de Controle'!$O64+'R&amp;C-Painel de Controle'!$P64*G48/1000000,0)</f>
        <v>0</v>
      </c>
      <c r="H103" s="1778">
        <f>IF(H48&gt;0,'R&amp;C-Painel de Controle'!$O64+'R&amp;C-Painel de Controle'!$P64*H48/1000000,0)</f>
        <v>0</v>
      </c>
      <c r="I103" s="1778">
        <f>IF(I48&gt;0,'R&amp;C-Painel de Controle'!$O64+'R&amp;C-Painel de Controle'!$P64*I48/1000000,0)</f>
        <v>0</v>
      </c>
      <c r="J103" s="1778">
        <f>IF(J48&gt;0,'R&amp;C-Painel de Controle'!$O64+'R&amp;C-Painel de Controle'!$P64*J48/1000000,0)</f>
        <v>0</v>
      </c>
      <c r="K103" s="1778">
        <f>IF(K48&gt;0,'R&amp;C-Painel de Controle'!$O64+'R&amp;C-Painel de Controle'!$P64*K48/1000000,0)</f>
        <v>0</v>
      </c>
      <c r="L103" s="1778">
        <f>IF(L48&gt;0,'R&amp;C-Painel de Controle'!$O64+'R&amp;C-Painel de Controle'!$P64*L48/1000000,0)</f>
        <v>0</v>
      </c>
      <c r="M103" s="1778">
        <f>IF(M48&gt;0,'R&amp;C-Painel de Controle'!$O64+'R&amp;C-Painel de Controle'!$P64*M48/1000000,0)</f>
        <v>0</v>
      </c>
      <c r="N103" s="1778">
        <f>IF(N48&gt;0,'R&amp;C-Painel de Controle'!$O64+'R&amp;C-Painel de Controle'!$P64*N48/1000000,0)</f>
        <v>0</v>
      </c>
      <c r="O103" s="1778">
        <f>IF(O48&gt;0,'R&amp;C-Painel de Controle'!$O64+'R&amp;C-Painel de Controle'!$P64*O48/1000000,0)</f>
        <v>0</v>
      </c>
      <c r="P103" s="1778">
        <f>IF(P48&gt;0,'R&amp;C-Painel de Controle'!$O64+'R&amp;C-Painel de Controle'!$P64*P48/1000000,0)</f>
        <v>0</v>
      </c>
      <c r="Q103" s="1778">
        <f>IF(Q48&gt;0,'R&amp;C-Painel de Controle'!$O64+'R&amp;C-Painel de Controle'!$P64*Q48/1000000,0)</f>
        <v>0</v>
      </c>
      <c r="R103" s="1790">
        <f t="shared" ref="R103:BC103" si="62">Q103</f>
        <v>0</v>
      </c>
      <c r="S103" s="1790">
        <f t="shared" si="62"/>
        <v>0</v>
      </c>
      <c r="T103" s="1790">
        <f t="shared" si="62"/>
        <v>0</v>
      </c>
      <c r="U103" s="1790">
        <f t="shared" si="62"/>
        <v>0</v>
      </c>
      <c r="V103" s="1790">
        <f t="shared" si="62"/>
        <v>0</v>
      </c>
      <c r="W103" s="1790">
        <f t="shared" si="62"/>
        <v>0</v>
      </c>
      <c r="X103" s="1790">
        <f t="shared" si="62"/>
        <v>0</v>
      </c>
      <c r="Y103" s="1790">
        <f t="shared" si="62"/>
        <v>0</v>
      </c>
      <c r="Z103" s="1790">
        <f t="shared" si="62"/>
        <v>0</v>
      </c>
      <c r="AA103" s="1790">
        <f t="shared" si="62"/>
        <v>0</v>
      </c>
      <c r="AB103" s="1790">
        <f t="shared" si="62"/>
        <v>0</v>
      </c>
      <c r="AC103" s="1790">
        <f t="shared" si="62"/>
        <v>0</v>
      </c>
      <c r="AD103" s="1790">
        <f t="shared" si="62"/>
        <v>0</v>
      </c>
      <c r="AE103" s="1790">
        <f t="shared" si="62"/>
        <v>0</v>
      </c>
      <c r="AF103" s="1790">
        <f t="shared" si="62"/>
        <v>0</v>
      </c>
      <c r="AG103" s="1790">
        <f t="shared" si="62"/>
        <v>0</v>
      </c>
      <c r="AH103" s="1790">
        <f t="shared" si="62"/>
        <v>0</v>
      </c>
      <c r="AI103" s="1790">
        <f t="shared" si="62"/>
        <v>0</v>
      </c>
      <c r="AJ103" s="1790">
        <f t="shared" si="62"/>
        <v>0</v>
      </c>
      <c r="AK103" s="1790">
        <f t="shared" si="62"/>
        <v>0</v>
      </c>
      <c r="AL103" s="1790">
        <f t="shared" si="62"/>
        <v>0</v>
      </c>
      <c r="AM103" s="1790">
        <f t="shared" si="62"/>
        <v>0</v>
      </c>
      <c r="AN103" s="1790">
        <f t="shared" si="62"/>
        <v>0</v>
      </c>
      <c r="AO103" s="1790">
        <f t="shared" si="62"/>
        <v>0</v>
      </c>
      <c r="AP103" s="1790">
        <f t="shared" si="62"/>
        <v>0</v>
      </c>
      <c r="AQ103" s="1790">
        <f t="shared" si="62"/>
        <v>0</v>
      </c>
      <c r="AR103" s="1790">
        <f t="shared" si="62"/>
        <v>0</v>
      </c>
      <c r="AS103" s="1790">
        <f t="shared" si="62"/>
        <v>0</v>
      </c>
      <c r="AT103" s="1790">
        <f t="shared" si="62"/>
        <v>0</v>
      </c>
      <c r="AU103" s="1790">
        <f t="shared" si="62"/>
        <v>0</v>
      </c>
      <c r="AV103" s="1790">
        <f t="shared" si="62"/>
        <v>0</v>
      </c>
      <c r="AW103" s="1790">
        <f t="shared" si="62"/>
        <v>0</v>
      </c>
      <c r="AX103" s="1790">
        <f t="shared" si="62"/>
        <v>0</v>
      </c>
      <c r="AY103" s="1790">
        <f t="shared" si="62"/>
        <v>0</v>
      </c>
      <c r="AZ103" s="1790">
        <f t="shared" si="62"/>
        <v>0</v>
      </c>
      <c r="BA103" s="1790">
        <f t="shared" si="62"/>
        <v>0</v>
      </c>
      <c r="BB103" s="1790">
        <f t="shared" si="62"/>
        <v>0</v>
      </c>
      <c r="BC103" s="1790">
        <f t="shared" si="62"/>
        <v>0</v>
      </c>
      <c r="BD103" s="297"/>
      <c r="BE103" s="297"/>
      <c r="BF103" s="297"/>
    </row>
    <row r="104" spans="2:58" s="203" customFormat="1" ht="18" hidden="1" customHeight="1" outlineLevel="1" x14ac:dyDescent="0.35">
      <c r="B104" s="859" t="str">
        <f>B77</f>
        <v>Biodigestão Anaeróbia</v>
      </c>
      <c r="C104" s="1768" t="str">
        <f t="shared" ref="C104:D104" si="63">C49</f>
        <v>Sim</v>
      </c>
      <c r="D104" s="1768">
        <f t="shared" si="63"/>
        <v>322985.95199999999</v>
      </c>
      <c r="E104" s="1775"/>
      <c r="F104" s="1686"/>
      <c r="G104" s="1686"/>
      <c r="H104" s="1686"/>
      <c r="I104" s="1686"/>
      <c r="J104" s="1686"/>
      <c r="K104" s="1686"/>
      <c r="L104" s="1686"/>
      <c r="M104" s="1686"/>
      <c r="N104" s="1686"/>
      <c r="O104" s="1686"/>
      <c r="P104" s="1686"/>
      <c r="Q104" s="1791"/>
      <c r="R104" s="1765"/>
      <c r="S104" s="1765"/>
      <c r="T104" s="1765"/>
      <c r="U104" s="1765"/>
      <c r="V104" s="1765"/>
      <c r="W104" s="1765"/>
      <c r="X104" s="1765"/>
      <c r="Y104" s="1765"/>
      <c r="Z104" s="1765"/>
      <c r="AA104" s="1765"/>
      <c r="AB104" s="1765"/>
      <c r="AC104" s="1765"/>
      <c r="AD104" s="1765"/>
      <c r="AE104" s="1765"/>
      <c r="AF104" s="1765"/>
      <c r="AG104" s="1765"/>
      <c r="AH104" s="1765"/>
      <c r="AI104" s="1765"/>
      <c r="AJ104" s="1765"/>
      <c r="AK104" s="1765"/>
      <c r="AL104" s="1765"/>
      <c r="AM104" s="1765"/>
      <c r="AN104" s="1765"/>
      <c r="AO104" s="1765"/>
      <c r="AP104" s="1765"/>
      <c r="AQ104" s="1765"/>
      <c r="AR104" s="1765"/>
      <c r="AS104" s="1765"/>
      <c r="AT104" s="1765"/>
      <c r="AU104" s="1765"/>
      <c r="AV104" s="1765"/>
      <c r="AW104" s="1765"/>
      <c r="AX104" s="1765"/>
      <c r="AY104" s="1765"/>
      <c r="AZ104" s="1765"/>
      <c r="BA104" s="1765"/>
      <c r="BB104" s="1765"/>
      <c r="BC104" s="1765"/>
      <c r="BD104" s="292"/>
      <c r="BE104" s="292"/>
      <c r="BF104" s="292"/>
    </row>
    <row r="105" spans="2:58" s="203" customFormat="1" ht="18" hidden="1" customHeight="1" outlineLevel="1" x14ac:dyDescent="0.35">
      <c r="B105" s="284"/>
      <c r="C105" s="1776"/>
      <c r="D105" s="1776"/>
      <c r="E105" s="1776"/>
      <c r="F105" s="1776"/>
      <c r="G105" s="1776"/>
      <c r="H105" s="1776"/>
      <c r="I105" s="1776"/>
      <c r="J105" s="1776"/>
      <c r="K105" s="1776"/>
      <c r="L105" s="1776"/>
      <c r="M105" s="1776"/>
      <c r="N105" s="1776"/>
      <c r="O105" s="1776"/>
      <c r="P105" s="1776"/>
      <c r="Q105" s="1776"/>
      <c r="R105" s="1765"/>
      <c r="S105" s="1765"/>
      <c r="T105" s="1765"/>
      <c r="U105" s="1765"/>
      <c r="V105" s="1765"/>
      <c r="W105" s="1765"/>
      <c r="X105" s="1765"/>
      <c r="Y105" s="1765"/>
      <c r="Z105" s="1765"/>
      <c r="AA105" s="1765"/>
      <c r="AB105" s="1765"/>
      <c r="AC105" s="1765"/>
      <c r="AD105" s="1765"/>
      <c r="AE105" s="1765"/>
      <c r="AF105" s="1765"/>
      <c r="AG105" s="1765"/>
      <c r="AH105" s="1765"/>
      <c r="AI105" s="1765"/>
      <c r="AJ105" s="1765"/>
      <c r="AK105" s="1765"/>
      <c r="AL105" s="1765"/>
      <c r="AM105" s="1765"/>
      <c r="AN105" s="1765"/>
      <c r="AO105" s="1765"/>
      <c r="AP105" s="1765"/>
      <c r="AQ105" s="1765"/>
      <c r="AR105" s="1765"/>
      <c r="AS105" s="1765"/>
      <c r="AT105" s="1765"/>
      <c r="AU105" s="1765"/>
      <c r="AV105" s="1765"/>
      <c r="AW105" s="1765"/>
      <c r="AX105" s="1765"/>
      <c r="AY105" s="1765"/>
      <c r="AZ105" s="1765"/>
      <c r="BA105" s="1765"/>
      <c r="BB105" s="1765"/>
      <c r="BC105" s="1765"/>
      <c r="BD105" s="292"/>
      <c r="BE105" s="292"/>
      <c r="BF105" s="292"/>
    </row>
    <row r="106" spans="2:58" s="203" customFormat="1" ht="18" hidden="1" customHeight="1" outlineLevel="1" x14ac:dyDescent="0.35">
      <c r="B106" s="284" t="s">
        <v>410</v>
      </c>
      <c r="C106" s="1778">
        <f>IF(C51&gt;0,'R&amp;C-Painel de Controle'!$O67+'R&amp;C-Painel de Controle'!$P67*C51/1000000,0)</f>
        <v>0</v>
      </c>
      <c r="D106" s="1778">
        <f>IF(D51&gt;0,'R&amp;C-Painel de Controle'!$O67+'R&amp;C-Painel de Controle'!$P67*D51/1000000,0)</f>
        <v>0</v>
      </c>
      <c r="E106" s="1778">
        <f>IF(E51&gt;0,'R&amp;C-Painel de Controle'!$O67+'R&amp;C-Painel de Controle'!$P67*E51/1000000,0)</f>
        <v>21.066199401356826</v>
      </c>
      <c r="F106" s="1778">
        <f>IF(F51&gt;0,'R&amp;C-Painel de Controle'!$O67+'R&amp;C-Painel de Controle'!$P67*F51/1000000,0)</f>
        <v>35.434298802713649</v>
      </c>
      <c r="G106" s="1778">
        <f>IF(G51&gt;0,'R&amp;C-Painel de Controle'!$O67+'R&amp;C-Painel de Controle'!$P67*G51/1000000,0)</f>
        <v>35.434298802713649</v>
      </c>
      <c r="H106" s="1778">
        <f>IF(H51&gt;0,'R&amp;C-Painel de Controle'!$O67+'R&amp;C-Painel de Controle'!$P67*H51/1000000,0)</f>
        <v>35.434298802713649</v>
      </c>
      <c r="I106" s="1778">
        <f>IF(I51&gt;0,'R&amp;C-Painel de Controle'!$O67+'R&amp;C-Painel de Controle'!$P67*I51/1000000,0)</f>
        <v>35.434298802713649</v>
      </c>
      <c r="J106" s="1778">
        <f>IF(J51&gt;0,'R&amp;C-Painel de Controle'!$O67+'R&amp;C-Painel de Controle'!$P67*J51/1000000,0)</f>
        <v>35.434298802713649</v>
      </c>
      <c r="K106" s="1778">
        <f>IF(K51&gt;0,'R&amp;C-Painel de Controle'!$O67+'R&amp;C-Painel de Controle'!$P67*K51/1000000,0)</f>
        <v>35.434298802713649</v>
      </c>
      <c r="L106" s="1778">
        <f>IF(L51&gt;0,'R&amp;C-Painel de Controle'!$O67+'R&amp;C-Painel de Controle'!$P67*L51/1000000,0)</f>
        <v>35.434298802713649</v>
      </c>
      <c r="M106" s="1778">
        <f>IF(M51&gt;0,'R&amp;C-Painel de Controle'!$O67+'R&amp;C-Painel de Controle'!$P67*M51/1000000,0)</f>
        <v>35.434298802713649</v>
      </c>
      <c r="N106" s="1778">
        <f>IF(N51&gt;0,'R&amp;C-Painel de Controle'!$O67+'R&amp;C-Painel de Controle'!$P67*N51/1000000,0)</f>
        <v>35.434298802713649</v>
      </c>
      <c r="O106" s="1778">
        <f>IF(O51&gt;0,'R&amp;C-Painel de Controle'!$O67+'R&amp;C-Painel de Controle'!$P67*O51/1000000,0)</f>
        <v>35.434298802713649</v>
      </c>
      <c r="P106" s="1778">
        <f>IF(P51&gt;0,'R&amp;C-Painel de Controle'!$O67+'R&amp;C-Painel de Controle'!$P67*P51/1000000,0)</f>
        <v>35.434298802713649</v>
      </c>
      <c r="Q106" s="1778">
        <f>IF(Q51&gt;0,'R&amp;C-Painel de Controle'!$O67+'R&amp;C-Painel de Controle'!$P67*Q51/1000000,0)</f>
        <v>35.434298802713649</v>
      </c>
      <c r="R106" s="1790">
        <f t="shared" ref="R106:BC106" si="64">Q106</f>
        <v>35.434298802713649</v>
      </c>
      <c r="S106" s="1790">
        <f t="shared" si="64"/>
        <v>35.434298802713649</v>
      </c>
      <c r="T106" s="1790">
        <f t="shared" si="64"/>
        <v>35.434298802713649</v>
      </c>
      <c r="U106" s="1790">
        <f t="shared" si="64"/>
        <v>35.434298802713649</v>
      </c>
      <c r="V106" s="1790">
        <f t="shared" si="64"/>
        <v>35.434298802713649</v>
      </c>
      <c r="W106" s="1790">
        <f t="shared" si="64"/>
        <v>35.434298802713649</v>
      </c>
      <c r="X106" s="1790">
        <f t="shared" si="64"/>
        <v>35.434298802713649</v>
      </c>
      <c r="Y106" s="1790">
        <f t="shared" si="64"/>
        <v>35.434298802713649</v>
      </c>
      <c r="Z106" s="1790">
        <f t="shared" si="64"/>
        <v>35.434298802713649</v>
      </c>
      <c r="AA106" s="1790">
        <f t="shared" si="64"/>
        <v>35.434298802713649</v>
      </c>
      <c r="AB106" s="1790">
        <f t="shared" si="64"/>
        <v>35.434298802713649</v>
      </c>
      <c r="AC106" s="1790">
        <f t="shared" si="64"/>
        <v>35.434298802713649</v>
      </c>
      <c r="AD106" s="1790">
        <f t="shared" si="64"/>
        <v>35.434298802713649</v>
      </c>
      <c r="AE106" s="1790">
        <f t="shared" si="64"/>
        <v>35.434298802713649</v>
      </c>
      <c r="AF106" s="1790">
        <f t="shared" si="64"/>
        <v>35.434298802713649</v>
      </c>
      <c r="AG106" s="1790">
        <f t="shared" si="64"/>
        <v>35.434298802713649</v>
      </c>
      <c r="AH106" s="1790">
        <f t="shared" si="64"/>
        <v>35.434298802713649</v>
      </c>
      <c r="AI106" s="1790">
        <f t="shared" si="64"/>
        <v>35.434298802713649</v>
      </c>
      <c r="AJ106" s="1790">
        <f t="shared" si="64"/>
        <v>35.434298802713649</v>
      </c>
      <c r="AK106" s="1790">
        <f t="shared" si="64"/>
        <v>35.434298802713649</v>
      </c>
      <c r="AL106" s="1790">
        <f t="shared" si="64"/>
        <v>35.434298802713649</v>
      </c>
      <c r="AM106" s="1790">
        <f t="shared" si="64"/>
        <v>35.434298802713649</v>
      </c>
      <c r="AN106" s="1790">
        <f t="shared" si="64"/>
        <v>35.434298802713649</v>
      </c>
      <c r="AO106" s="1790">
        <f t="shared" si="64"/>
        <v>35.434298802713649</v>
      </c>
      <c r="AP106" s="1790">
        <f t="shared" si="64"/>
        <v>35.434298802713649</v>
      </c>
      <c r="AQ106" s="1790">
        <f t="shared" si="64"/>
        <v>35.434298802713649</v>
      </c>
      <c r="AR106" s="1790">
        <f t="shared" si="64"/>
        <v>35.434298802713649</v>
      </c>
      <c r="AS106" s="1790">
        <f t="shared" si="64"/>
        <v>35.434298802713649</v>
      </c>
      <c r="AT106" s="1790">
        <f t="shared" si="64"/>
        <v>35.434298802713649</v>
      </c>
      <c r="AU106" s="1790">
        <f t="shared" si="64"/>
        <v>35.434298802713649</v>
      </c>
      <c r="AV106" s="1790">
        <f t="shared" si="64"/>
        <v>35.434298802713649</v>
      </c>
      <c r="AW106" s="1790">
        <f t="shared" si="64"/>
        <v>35.434298802713649</v>
      </c>
      <c r="AX106" s="1790">
        <f t="shared" si="64"/>
        <v>35.434298802713649</v>
      </c>
      <c r="AY106" s="1790">
        <f t="shared" si="64"/>
        <v>35.434298802713649</v>
      </c>
      <c r="AZ106" s="1790">
        <f t="shared" si="64"/>
        <v>35.434298802713649</v>
      </c>
      <c r="BA106" s="1790">
        <f t="shared" si="64"/>
        <v>35.434298802713649</v>
      </c>
      <c r="BB106" s="1790">
        <f t="shared" si="64"/>
        <v>35.434298802713649</v>
      </c>
      <c r="BC106" s="1790">
        <f t="shared" si="64"/>
        <v>35.434298802713649</v>
      </c>
      <c r="BD106" s="297"/>
      <c r="BE106" s="297"/>
      <c r="BF106" s="297"/>
    </row>
    <row r="107" spans="2:58" s="203" customFormat="1" ht="18" hidden="1" customHeight="1" outlineLevel="1" x14ac:dyDescent="0.35">
      <c r="B107" s="859" t="str">
        <f>B80</f>
        <v>Compostagem</v>
      </c>
      <c r="C107" s="1768" t="str">
        <f t="shared" ref="C107:D107" si="65">C52</f>
        <v>Sim</v>
      </c>
      <c r="D107" s="1768">
        <f t="shared" si="65"/>
        <v>228781.71599999996</v>
      </c>
      <c r="E107" s="1775"/>
      <c r="F107" s="1775"/>
      <c r="G107" s="1775"/>
      <c r="H107" s="1775"/>
      <c r="I107" s="1775"/>
      <c r="J107" s="1775"/>
      <c r="K107" s="1775"/>
      <c r="L107" s="1775"/>
      <c r="M107" s="1775"/>
      <c r="N107" s="1775"/>
      <c r="O107" s="1775"/>
      <c r="P107" s="1775"/>
      <c r="Q107" s="1791"/>
      <c r="R107" s="1765"/>
      <c r="S107" s="1765"/>
      <c r="T107" s="1765"/>
      <c r="U107" s="1765"/>
      <c r="V107" s="1765"/>
      <c r="W107" s="1765"/>
      <c r="X107" s="1765"/>
      <c r="Y107" s="1765"/>
      <c r="Z107" s="1765"/>
      <c r="AA107" s="1765"/>
      <c r="AB107" s="1765"/>
      <c r="AC107" s="1765"/>
      <c r="AD107" s="1765"/>
      <c r="AE107" s="1765"/>
      <c r="AF107" s="1765"/>
      <c r="AG107" s="1765"/>
      <c r="AH107" s="1765"/>
      <c r="AI107" s="1765"/>
      <c r="AJ107" s="1765"/>
      <c r="AK107" s="1765"/>
      <c r="AL107" s="1765"/>
      <c r="AM107" s="1765"/>
      <c r="AN107" s="1765"/>
      <c r="AO107" s="1765"/>
      <c r="AP107" s="1765"/>
      <c r="AQ107" s="1765"/>
      <c r="AR107" s="1765"/>
      <c r="AS107" s="1765"/>
      <c r="AT107" s="1765"/>
      <c r="AU107" s="1765"/>
      <c r="AV107" s="1765"/>
      <c r="AW107" s="1765"/>
      <c r="AX107" s="1765"/>
      <c r="AY107" s="1765"/>
      <c r="AZ107" s="1765"/>
      <c r="BA107" s="1765"/>
      <c r="BB107" s="1765"/>
      <c r="BC107" s="1765"/>
      <c r="BD107" s="292"/>
      <c r="BE107" s="292"/>
      <c r="BF107" s="292"/>
    </row>
    <row r="108" spans="2:58" s="203" customFormat="1" ht="18" hidden="1" customHeight="1" outlineLevel="1" x14ac:dyDescent="0.35">
      <c r="B108" s="284"/>
      <c r="C108" s="1776"/>
      <c r="D108" s="1776"/>
      <c r="E108" s="1776"/>
      <c r="F108" s="1776"/>
      <c r="G108" s="1776"/>
      <c r="H108" s="1776"/>
      <c r="I108" s="1776"/>
      <c r="J108" s="1776"/>
      <c r="K108" s="1776"/>
      <c r="L108" s="1776"/>
      <c r="M108" s="1776"/>
      <c r="N108" s="1776"/>
      <c r="O108" s="1776"/>
      <c r="P108" s="1776"/>
      <c r="Q108" s="1776"/>
      <c r="R108" s="1765"/>
      <c r="S108" s="1765"/>
      <c r="T108" s="1765"/>
      <c r="U108" s="1765"/>
      <c r="V108" s="1765"/>
      <c r="W108" s="1765"/>
      <c r="X108" s="1765"/>
      <c r="Y108" s="1765"/>
      <c r="Z108" s="1765"/>
      <c r="AA108" s="1765"/>
      <c r="AB108" s="1765"/>
      <c r="AC108" s="1765"/>
      <c r="AD108" s="1765"/>
      <c r="AE108" s="1765"/>
      <c r="AF108" s="1765"/>
      <c r="AG108" s="1765"/>
      <c r="AH108" s="1765"/>
      <c r="AI108" s="1765"/>
      <c r="AJ108" s="1765"/>
      <c r="AK108" s="1765"/>
      <c r="AL108" s="1765"/>
      <c r="AM108" s="1765"/>
      <c r="AN108" s="1765"/>
      <c r="AO108" s="1765"/>
      <c r="AP108" s="1765"/>
      <c r="AQ108" s="1765"/>
      <c r="AR108" s="1765"/>
      <c r="AS108" s="1765"/>
      <c r="AT108" s="1765"/>
      <c r="AU108" s="1765"/>
      <c r="AV108" s="1765"/>
      <c r="AW108" s="1765"/>
      <c r="AX108" s="1765"/>
      <c r="AY108" s="1765"/>
      <c r="AZ108" s="1765"/>
      <c r="BA108" s="1765"/>
      <c r="BB108" s="1765"/>
      <c r="BC108" s="1765"/>
      <c r="BD108" s="292"/>
      <c r="BE108" s="292"/>
      <c r="BF108" s="292"/>
    </row>
    <row r="109" spans="2:58" s="203" customFormat="1" ht="18" hidden="1" customHeight="1" outlineLevel="1" x14ac:dyDescent="0.35">
      <c r="B109" s="284" t="s">
        <v>410</v>
      </c>
      <c r="C109" s="1778">
        <f>IF(C54&gt;0,'R&amp;C-Painel de Controle'!$O70+'R&amp;C-Painel de Controle'!$P70*C54/1000000,0)</f>
        <v>0</v>
      </c>
      <c r="D109" s="1778">
        <f>IF(D54&gt;0,'R&amp;C-Painel de Controle'!$O70+'R&amp;C-Painel de Controle'!$P70*D54/1000000,0)</f>
        <v>0</v>
      </c>
      <c r="E109" s="1778">
        <f>IF(E54&gt;0,'R&amp;C-Painel de Controle'!$O70+'R&amp;C-Painel de Controle'!$P70*E54/1000000,0)</f>
        <v>3.8225108047281595</v>
      </c>
      <c r="F109" s="1778">
        <f>IF(F54&gt;0,'R&amp;C-Painel de Controle'!$O70+'R&amp;C-Painel de Controle'!$P70*F54/1000000,0)</f>
        <v>6.8406673048963196</v>
      </c>
      <c r="G109" s="1778">
        <f>IF(G54&gt;0,'R&amp;C-Painel de Controle'!$O70+'R&amp;C-Painel de Controle'!$P70*G54/1000000,0)</f>
        <v>6.8406673048963196</v>
      </c>
      <c r="H109" s="1778">
        <f>IF(H54&gt;0,'R&amp;C-Painel de Controle'!$O70+'R&amp;C-Painel de Controle'!$P70*H54/1000000,0)</f>
        <v>6.8406673048963196</v>
      </c>
      <c r="I109" s="1778">
        <f>IF(I54&gt;0,'R&amp;C-Painel de Controle'!$O70+'R&amp;C-Painel de Controle'!$P70*I54/1000000,0)</f>
        <v>6.8406673048963196</v>
      </c>
      <c r="J109" s="1778">
        <f>IF(J54&gt;0,'R&amp;C-Painel de Controle'!$O70+'R&amp;C-Painel de Controle'!$P70*J54/1000000,0)</f>
        <v>6.8406673048963196</v>
      </c>
      <c r="K109" s="1778">
        <f>IF(K54&gt;0,'R&amp;C-Painel de Controle'!$O70+'R&amp;C-Painel de Controle'!$P70*K54/1000000,0)</f>
        <v>6.8406673048963196</v>
      </c>
      <c r="L109" s="1778">
        <f>IF(L54&gt;0,'R&amp;C-Painel de Controle'!$O70+'R&amp;C-Painel de Controle'!$P70*L54/1000000,0)</f>
        <v>6.8406673048963196</v>
      </c>
      <c r="M109" s="1778">
        <f>IF(M54&gt;0,'R&amp;C-Painel de Controle'!$O70+'R&amp;C-Painel de Controle'!$P70*M54/1000000,0)</f>
        <v>6.8406673048963196</v>
      </c>
      <c r="N109" s="1778">
        <f>IF(N54&gt;0,'R&amp;C-Painel de Controle'!$O70+'R&amp;C-Painel de Controle'!$P70*N54/1000000,0)</f>
        <v>6.8406673048963196</v>
      </c>
      <c r="O109" s="1778">
        <f>IF(O54&gt;0,'R&amp;C-Painel de Controle'!$O70+'R&amp;C-Painel de Controle'!$P70*O54/1000000,0)</f>
        <v>6.8406673048963196</v>
      </c>
      <c r="P109" s="1778">
        <f>IF(P54&gt;0,'R&amp;C-Painel de Controle'!$O70+'R&amp;C-Painel de Controle'!$P70*P54/1000000,0)</f>
        <v>6.8406673048963196</v>
      </c>
      <c r="Q109" s="1778">
        <f>IF(Q54&gt;0,'R&amp;C-Painel de Controle'!$O70+'R&amp;C-Painel de Controle'!$P70*Q54/1000000,0)</f>
        <v>6.8406673048963196</v>
      </c>
      <c r="R109" s="1790">
        <f t="shared" ref="R109:BC109" si="66">Q109</f>
        <v>6.8406673048963196</v>
      </c>
      <c r="S109" s="1790">
        <f t="shared" si="66"/>
        <v>6.8406673048963196</v>
      </c>
      <c r="T109" s="1790">
        <f t="shared" si="66"/>
        <v>6.8406673048963196</v>
      </c>
      <c r="U109" s="1790">
        <f t="shared" si="66"/>
        <v>6.8406673048963196</v>
      </c>
      <c r="V109" s="1790">
        <f t="shared" si="66"/>
        <v>6.8406673048963196</v>
      </c>
      <c r="W109" s="1790">
        <f t="shared" si="66"/>
        <v>6.8406673048963196</v>
      </c>
      <c r="X109" s="1790">
        <f t="shared" si="66"/>
        <v>6.8406673048963196</v>
      </c>
      <c r="Y109" s="1790">
        <f t="shared" si="66"/>
        <v>6.8406673048963196</v>
      </c>
      <c r="Z109" s="1790">
        <f t="shared" si="66"/>
        <v>6.8406673048963196</v>
      </c>
      <c r="AA109" s="1790">
        <f t="shared" si="66"/>
        <v>6.8406673048963196</v>
      </c>
      <c r="AB109" s="1790">
        <f t="shared" si="66"/>
        <v>6.8406673048963196</v>
      </c>
      <c r="AC109" s="1790">
        <f t="shared" si="66"/>
        <v>6.8406673048963196</v>
      </c>
      <c r="AD109" s="1790">
        <f t="shared" si="66"/>
        <v>6.8406673048963196</v>
      </c>
      <c r="AE109" s="1790">
        <f t="shared" si="66"/>
        <v>6.8406673048963196</v>
      </c>
      <c r="AF109" s="1790">
        <f t="shared" si="66"/>
        <v>6.8406673048963196</v>
      </c>
      <c r="AG109" s="1790">
        <f t="shared" si="66"/>
        <v>6.8406673048963196</v>
      </c>
      <c r="AH109" s="1790">
        <f t="shared" si="66"/>
        <v>6.8406673048963196</v>
      </c>
      <c r="AI109" s="1790">
        <f t="shared" si="66"/>
        <v>6.8406673048963196</v>
      </c>
      <c r="AJ109" s="1790">
        <f t="shared" si="66"/>
        <v>6.8406673048963196</v>
      </c>
      <c r="AK109" s="1790">
        <f t="shared" si="66"/>
        <v>6.8406673048963196</v>
      </c>
      <c r="AL109" s="1790">
        <f t="shared" si="66"/>
        <v>6.8406673048963196</v>
      </c>
      <c r="AM109" s="1790">
        <f t="shared" si="66"/>
        <v>6.8406673048963196</v>
      </c>
      <c r="AN109" s="1790">
        <f t="shared" si="66"/>
        <v>6.8406673048963196</v>
      </c>
      <c r="AO109" s="1790">
        <f t="shared" si="66"/>
        <v>6.8406673048963196</v>
      </c>
      <c r="AP109" s="1790">
        <f t="shared" si="66"/>
        <v>6.8406673048963196</v>
      </c>
      <c r="AQ109" s="1790">
        <f t="shared" si="66"/>
        <v>6.8406673048963196</v>
      </c>
      <c r="AR109" s="1790">
        <f t="shared" si="66"/>
        <v>6.8406673048963196</v>
      </c>
      <c r="AS109" s="1790">
        <f t="shared" si="66"/>
        <v>6.8406673048963196</v>
      </c>
      <c r="AT109" s="1790">
        <f t="shared" si="66"/>
        <v>6.8406673048963196</v>
      </c>
      <c r="AU109" s="1790">
        <f t="shared" si="66"/>
        <v>6.8406673048963196</v>
      </c>
      <c r="AV109" s="1790">
        <f t="shared" si="66"/>
        <v>6.8406673048963196</v>
      </c>
      <c r="AW109" s="1790">
        <f t="shared" si="66"/>
        <v>6.8406673048963196</v>
      </c>
      <c r="AX109" s="1790">
        <f t="shared" si="66"/>
        <v>6.8406673048963196</v>
      </c>
      <c r="AY109" s="1790">
        <f t="shared" si="66"/>
        <v>6.8406673048963196</v>
      </c>
      <c r="AZ109" s="1790">
        <f t="shared" si="66"/>
        <v>6.8406673048963196</v>
      </c>
      <c r="BA109" s="1790">
        <f t="shared" si="66"/>
        <v>6.8406673048963196</v>
      </c>
      <c r="BB109" s="1790">
        <f t="shared" si="66"/>
        <v>6.8406673048963196</v>
      </c>
      <c r="BC109" s="1790">
        <f t="shared" si="66"/>
        <v>6.8406673048963196</v>
      </c>
      <c r="BD109" s="297"/>
      <c r="BE109" s="297"/>
      <c r="BF109" s="297"/>
    </row>
    <row r="110" spans="2:58" s="203" customFormat="1" ht="18" hidden="1" customHeight="1" outlineLevel="1" x14ac:dyDescent="0.35">
      <c r="B110" s="859" t="str">
        <f>B83</f>
        <v>Incineração</v>
      </c>
      <c r="C110" s="1768" t="str">
        <f t="shared" ref="C110:D110" si="67">C55</f>
        <v>Sim</v>
      </c>
      <c r="D110" s="1768">
        <f t="shared" si="67"/>
        <v>205663.53600000008</v>
      </c>
      <c r="E110" s="1775"/>
      <c r="F110" s="1686"/>
      <c r="G110" s="1686"/>
      <c r="H110" s="1686"/>
      <c r="I110" s="1686"/>
      <c r="J110" s="1686"/>
      <c r="K110" s="1686"/>
      <c r="L110" s="1686"/>
      <c r="M110" s="1686"/>
      <c r="N110" s="1686"/>
      <c r="O110" s="1686"/>
      <c r="P110" s="1686"/>
      <c r="Q110" s="1791"/>
      <c r="R110" s="1765"/>
      <c r="S110" s="1765"/>
      <c r="T110" s="1765"/>
      <c r="U110" s="1765"/>
      <c r="V110" s="1765"/>
      <c r="W110" s="1765"/>
      <c r="X110" s="1765"/>
      <c r="Y110" s="1765"/>
      <c r="Z110" s="1765"/>
      <c r="AA110" s="1765"/>
      <c r="AB110" s="1765"/>
      <c r="AC110" s="1765"/>
      <c r="AD110" s="1765"/>
      <c r="AE110" s="1765"/>
      <c r="AF110" s="1765"/>
      <c r="AG110" s="1765"/>
      <c r="AH110" s="1765"/>
      <c r="AI110" s="1765"/>
      <c r="AJ110" s="1765"/>
      <c r="AK110" s="1765"/>
      <c r="AL110" s="1765"/>
      <c r="AM110" s="1765"/>
      <c r="AN110" s="1765"/>
      <c r="AO110" s="1765"/>
      <c r="AP110" s="1765"/>
      <c r="AQ110" s="1765"/>
      <c r="AR110" s="1765"/>
      <c r="AS110" s="1765"/>
      <c r="AT110" s="1765"/>
      <c r="AU110" s="1765"/>
      <c r="AV110" s="1765"/>
      <c r="AW110" s="1765"/>
      <c r="AX110" s="1765"/>
      <c r="AY110" s="1765"/>
      <c r="AZ110" s="1765"/>
      <c r="BA110" s="1765"/>
      <c r="BB110" s="1765"/>
      <c r="BC110" s="1765"/>
      <c r="BD110" s="292"/>
      <c r="BE110" s="292"/>
      <c r="BF110" s="292"/>
    </row>
    <row r="111" spans="2:58" s="203" customFormat="1" ht="18" hidden="1" customHeight="1" outlineLevel="1" x14ac:dyDescent="0.35">
      <c r="B111" s="284"/>
      <c r="C111" s="1776"/>
      <c r="D111" s="1776"/>
      <c r="E111" s="1776"/>
      <c r="F111" s="1776"/>
      <c r="G111" s="1776"/>
      <c r="H111" s="1776"/>
      <c r="I111" s="1776"/>
      <c r="J111" s="1776"/>
      <c r="K111" s="1776"/>
      <c r="L111" s="1776"/>
      <c r="M111" s="1776"/>
      <c r="N111" s="1776"/>
      <c r="O111" s="1776"/>
      <c r="P111" s="1776"/>
      <c r="Q111" s="1776"/>
      <c r="R111" s="1765"/>
      <c r="S111" s="1765"/>
      <c r="T111" s="1765"/>
      <c r="U111" s="1765"/>
      <c r="V111" s="1765"/>
      <c r="W111" s="1765"/>
      <c r="X111" s="1765"/>
      <c r="Y111" s="1765"/>
      <c r="Z111" s="1765"/>
      <c r="AA111" s="1765"/>
      <c r="AB111" s="1765"/>
      <c r="AC111" s="1765"/>
      <c r="AD111" s="1765"/>
      <c r="AE111" s="1765"/>
      <c r="AF111" s="1765"/>
      <c r="AG111" s="1765"/>
      <c r="AH111" s="1765"/>
      <c r="AI111" s="1765"/>
      <c r="AJ111" s="1765"/>
      <c r="AK111" s="1765"/>
      <c r="AL111" s="1765"/>
      <c r="AM111" s="1765"/>
      <c r="AN111" s="1765"/>
      <c r="AO111" s="1765"/>
      <c r="AP111" s="1765"/>
      <c r="AQ111" s="1765"/>
      <c r="AR111" s="1765"/>
      <c r="AS111" s="1765"/>
      <c r="AT111" s="1765"/>
      <c r="AU111" s="1765"/>
      <c r="AV111" s="1765"/>
      <c r="AW111" s="1765"/>
      <c r="AX111" s="1765"/>
      <c r="AY111" s="1765"/>
      <c r="AZ111" s="1765"/>
      <c r="BA111" s="1765"/>
      <c r="BB111" s="1765"/>
      <c r="BC111" s="1765"/>
      <c r="BD111" s="292"/>
      <c r="BE111" s="292"/>
      <c r="BF111" s="292"/>
    </row>
    <row r="112" spans="2:58" s="203" customFormat="1" ht="18" hidden="1" customHeight="1" outlineLevel="1" x14ac:dyDescent="0.35">
      <c r="B112" s="284" t="s">
        <v>410</v>
      </c>
      <c r="C112" s="1778">
        <f>IF(C57&gt;0,'R&amp;C-Painel de Controle'!$O73+'R&amp;C-Painel de Controle'!$P73*C57/1000000,0)</f>
        <v>0</v>
      </c>
      <c r="D112" s="1778">
        <f>IF(D57&gt;0,'R&amp;C-Painel de Controle'!$O73+'R&amp;C-Painel de Controle'!$P73*D57/1000000,0)</f>
        <v>0</v>
      </c>
      <c r="E112" s="1778">
        <f>IF(E57&gt;0,'R&amp;C-Painel de Controle'!$O73+'R&amp;C-Painel de Controle'!$P73*E57/1000000,0)</f>
        <v>39.35301023393248</v>
      </c>
      <c r="F112" s="1778">
        <f>IF(F57&gt;0,'R&amp;C-Painel de Controle'!$O73+'R&amp;C-Painel de Controle'!$P73*F57/1000000,0)</f>
        <v>67.976981052728249</v>
      </c>
      <c r="G112" s="1778">
        <f>IF(G57&gt;0,'R&amp;C-Painel de Controle'!$O73+'R&amp;C-Painel de Controle'!$P73*G57/1000000,0)</f>
        <v>67.976981052728249</v>
      </c>
      <c r="H112" s="1778">
        <f>IF(H57&gt;0,'R&amp;C-Painel de Controle'!$O73+'R&amp;C-Painel de Controle'!$P73*H57/1000000,0)</f>
        <v>67.976981052728249</v>
      </c>
      <c r="I112" s="1778">
        <f>IF(I57&gt;0,'R&amp;C-Painel de Controle'!$O73+'R&amp;C-Painel de Controle'!$P73*I57/1000000,0)</f>
        <v>67.976981052728249</v>
      </c>
      <c r="J112" s="1778">
        <f>IF(J57&gt;0,'R&amp;C-Painel de Controle'!$O73+'R&amp;C-Painel de Controle'!$P73*J57/1000000,0)</f>
        <v>67.976981052728249</v>
      </c>
      <c r="K112" s="1778">
        <f>IF(K57&gt;0,'R&amp;C-Painel de Controle'!$O73+'R&amp;C-Painel de Controle'!$P73*K57/1000000,0)</f>
        <v>67.976981052728249</v>
      </c>
      <c r="L112" s="1778">
        <f>IF(L57&gt;0,'R&amp;C-Painel de Controle'!$O73+'R&amp;C-Painel de Controle'!$P73*L57/1000000,0)</f>
        <v>67.976981052728249</v>
      </c>
      <c r="M112" s="1778">
        <f>IF(M57&gt;0,'R&amp;C-Painel de Controle'!$O73+'R&amp;C-Painel de Controle'!$P73*M57/1000000,0)</f>
        <v>67.976981052728249</v>
      </c>
      <c r="N112" s="1778">
        <f>IF(N57&gt;0,'R&amp;C-Painel de Controle'!$O73+'R&amp;C-Painel de Controle'!$P73*N57/1000000,0)</f>
        <v>67.976981052728249</v>
      </c>
      <c r="O112" s="1778">
        <f>IF(O57&gt;0,'R&amp;C-Painel de Controle'!$O73+'R&amp;C-Painel de Controle'!$P73*O57/1000000,0)</f>
        <v>67.976981052728249</v>
      </c>
      <c r="P112" s="1778">
        <f>IF(P57&gt;0,'R&amp;C-Painel de Controle'!$O73+'R&amp;C-Painel de Controle'!$P73*P57/1000000,0)</f>
        <v>67.976981052728249</v>
      </c>
      <c r="Q112" s="1778">
        <f>IF(Q57&gt;0,'R&amp;C-Painel de Controle'!$O73+'R&amp;C-Painel de Controle'!$P73*Q57/1000000,0)</f>
        <v>67.976981052728249</v>
      </c>
      <c r="R112" s="1790">
        <f t="shared" ref="R112:BC112" si="68">Q112</f>
        <v>67.976981052728249</v>
      </c>
      <c r="S112" s="1790">
        <f t="shared" si="68"/>
        <v>67.976981052728249</v>
      </c>
      <c r="T112" s="1790">
        <f t="shared" si="68"/>
        <v>67.976981052728249</v>
      </c>
      <c r="U112" s="1790">
        <f t="shared" si="68"/>
        <v>67.976981052728249</v>
      </c>
      <c r="V112" s="1790">
        <f t="shared" si="68"/>
        <v>67.976981052728249</v>
      </c>
      <c r="W112" s="1790">
        <f t="shared" si="68"/>
        <v>67.976981052728249</v>
      </c>
      <c r="X112" s="1790">
        <f t="shared" si="68"/>
        <v>67.976981052728249</v>
      </c>
      <c r="Y112" s="1790">
        <f t="shared" si="68"/>
        <v>67.976981052728249</v>
      </c>
      <c r="Z112" s="1790">
        <f t="shared" si="68"/>
        <v>67.976981052728249</v>
      </c>
      <c r="AA112" s="1790">
        <f t="shared" si="68"/>
        <v>67.976981052728249</v>
      </c>
      <c r="AB112" s="1790">
        <f t="shared" si="68"/>
        <v>67.976981052728249</v>
      </c>
      <c r="AC112" s="1790">
        <f t="shared" si="68"/>
        <v>67.976981052728249</v>
      </c>
      <c r="AD112" s="1790">
        <f t="shared" si="68"/>
        <v>67.976981052728249</v>
      </c>
      <c r="AE112" s="1790">
        <f t="shared" si="68"/>
        <v>67.976981052728249</v>
      </c>
      <c r="AF112" s="1790">
        <f t="shared" si="68"/>
        <v>67.976981052728249</v>
      </c>
      <c r="AG112" s="1790">
        <f t="shared" si="68"/>
        <v>67.976981052728249</v>
      </c>
      <c r="AH112" s="1790">
        <f t="shared" si="68"/>
        <v>67.976981052728249</v>
      </c>
      <c r="AI112" s="1790">
        <f t="shared" si="68"/>
        <v>67.976981052728249</v>
      </c>
      <c r="AJ112" s="1790">
        <f t="shared" si="68"/>
        <v>67.976981052728249</v>
      </c>
      <c r="AK112" s="1790">
        <f t="shared" si="68"/>
        <v>67.976981052728249</v>
      </c>
      <c r="AL112" s="1790">
        <f t="shared" si="68"/>
        <v>67.976981052728249</v>
      </c>
      <c r="AM112" s="1790">
        <f t="shared" si="68"/>
        <v>67.976981052728249</v>
      </c>
      <c r="AN112" s="1790">
        <f t="shared" si="68"/>
        <v>67.976981052728249</v>
      </c>
      <c r="AO112" s="1790">
        <f t="shared" si="68"/>
        <v>67.976981052728249</v>
      </c>
      <c r="AP112" s="1790">
        <f t="shared" si="68"/>
        <v>67.976981052728249</v>
      </c>
      <c r="AQ112" s="1790">
        <f t="shared" si="68"/>
        <v>67.976981052728249</v>
      </c>
      <c r="AR112" s="1790">
        <f t="shared" si="68"/>
        <v>67.976981052728249</v>
      </c>
      <c r="AS112" s="1790">
        <f t="shared" si="68"/>
        <v>67.976981052728249</v>
      </c>
      <c r="AT112" s="1790">
        <f t="shared" si="68"/>
        <v>67.976981052728249</v>
      </c>
      <c r="AU112" s="1790">
        <f t="shared" si="68"/>
        <v>67.976981052728249</v>
      </c>
      <c r="AV112" s="1790">
        <f t="shared" si="68"/>
        <v>67.976981052728249</v>
      </c>
      <c r="AW112" s="1790">
        <f t="shared" si="68"/>
        <v>67.976981052728249</v>
      </c>
      <c r="AX112" s="1790">
        <f t="shared" si="68"/>
        <v>67.976981052728249</v>
      </c>
      <c r="AY112" s="1790">
        <f t="shared" si="68"/>
        <v>67.976981052728249</v>
      </c>
      <c r="AZ112" s="1790">
        <f t="shared" si="68"/>
        <v>67.976981052728249</v>
      </c>
      <c r="BA112" s="1790">
        <f t="shared" si="68"/>
        <v>67.976981052728249</v>
      </c>
      <c r="BB112" s="1790">
        <f t="shared" si="68"/>
        <v>67.976981052728249</v>
      </c>
      <c r="BC112" s="1790">
        <f t="shared" si="68"/>
        <v>67.976981052728249</v>
      </c>
      <c r="BD112" s="297"/>
      <c r="BE112" s="297"/>
      <c r="BF112" s="297"/>
    </row>
    <row r="113" spans="1:58" s="203" customFormat="1" ht="18" hidden="1" customHeight="1" outlineLevel="1" x14ac:dyDescent="0.35">
      <c r="B113" s="859" t="str">
        <f>B86</f>
        <v>Aterro Sanitário</v>
      </c>
      <c r="C113" s="1768" t="str">
        <f t="shared" ref="C113:D113" si="69">C58</f>
        <v>Sim</v>
      </c>
      <c r="D113" s="1768">
        <f t="shared" si="69"/>
        <v>358168.59179999999</v>
      </c>
      <c r="E113" s="1775"/>
      <c r="F113" s="1775"/>
      <c r="G113" s="1775"/>
      <c r="H113" s="1775"/>
      <c r="I113" s="1775"/>
      <c r="J113" s="1775"/>
      <c r="K113" s="1775"/>
      <c r="L113" s="1775"/>
      <c r="M113" s="1775"/>
      <c r="N113" s="1775"/>
      <c r="O113" s="1775"/>
      <c r="P113" s="1775"/>
      <c r="Q113" s="1791"/>
      <c r="R113" s="1765"/>
      <c r="S113" s="1765"/>
      <c r="T113" s="1765"/>
      <c r="U113" s="1765"/>
      <c r="V113" s="1765"/>
      <c r="W113" s="1765"/>
      <c r="X113" s="1765"/>
      <c r="Y113" s="1765"/>
      <c r="Z113" s="1765"/>
      <c r="AA113" s="1765"/>
      <c r="AB113" s="1765"/>
      <c r="AC113" s="1765"/>
      <c r="AD113" s="1765"/>
      <c r="AE113" s="1765"/>
      <c r="AF113" s="1765"/>
      <c r="AG113" s="1765"/>
      <c r="AH113" s="1765"/>
      <c r="AI113" s="1765"/>
      <c r="AJ113" s="1765"/>
      <c r="AK113" s="1765"/>
      <c r="AL113" s="1765"/>
      <c r="AM113" s="1765"/>
      <c r="AN113" s="1765"/>
      <c r="AO113" s="1765"/>
      <c r="AP113" s="1765"/>
      <c r="AQ113" s="1765"/>
      <c r="AR113" s="1765"/>
      <c r="AS113" s="1765"/>
      <c r="AT113" s="1765"/>
      <c r="AU113" s="1765"/>
      <c r="AV113" s="1765"/>
      <c r="AW113" s="1765"/>
      <c r="AX113" s="1765"/>
      <c r="AY113" s="1765"/>
      <c r="AZ113" s="1765"/>
      <c r="BA113" s="1765"/>
      <c r="BB113" s="1765"/>
      <c r="BC113" s="1765"/>
      <c r="BD113" s="292"/>
      <c r="BE113" s="292"/>
      <c r="BF113" s="292"/>
    </row>
    <row r="114" spans="1:58" s="203" customFormat="1" ht="18" hidden="1" customHeight="1" outlineLevel="1" x14ac:dyDescent="0.35">
      <c r="B114" s="284"/>
      <c r="C114" s="1776"/>
      <c r="D114" s="1776"/>
      <c r="E114" s="1776"/>
      <c r="F114" s="1776"/>
      <c r="G114" s="1776"/>
      <c r="H114" s="1776"/>
      <c r="I114" s="1776"/>
      <c r="J114" s="1776"/>
      <c r="K114" s="1776"/>
      <c r="L114" s="1776"/>
      <c r="M114" s="1776"/>
      <c r="N114" s="1776"/>
      <c r="O114" s="1776"/>
      <c r="P114" s="1776"/>
      <c r="Q114" s="1776"/>
      <c r="R114" s="1765"/>
      <c r="S114" s="1765"/>
      <c r="T114" s="1765"/>
      <c r="U114" s="1765"/>
      <c r="V114" s="1765"/>
      <c r="W114" s="1765"/>
      <c r="X114" s="1765"/>
      <c r="Y114" s="1765"/>
      <c r="Z114" s="1765"/>
      <c r="AA114" s="1765"/>
      <c r="AB114" s="1765"/>
      <c r="AC114" s="1765"/>
      <c r="AD114" s="1765"/>
      <c r="AE114" s="1765"/>
      <c r="AF114" s="1765"/>
      <c r="AG114" s="1765"/>
      <c r="AH114" s="1765"/>
      <c r="AI114" s="1765"/>
      <c r="AJ114" s="1765"/>
      <c r="AK114" s="1765"/>
      <c r="AL114" s="1765"/>
      <c r="AM114" s="1765"/>
      <c r="AN114" s="1765"/>
      <c r="AO114" s="1765"/>
      <c r="AP114" s="1765"/>
      <c r="AQ114" s="1765"/>
      <c r="AR114" s="1765"/>
      <c r="AS114" s="1765"/>
      <c r="AT114" s="1765"/>
      <c r="AU114" s="1765"/>
      <c r="AV114" s="1765"/>
      <c r="AW114" s="1765"/>
      <c r="AX114" s="1765"/>
      <c r="AY114" s="1765"/>
      <c r="AZ114" s="1765"/>
      <c r="BA114" s="1765"/>
      <c r="BB114" s="1765"/>
      <c r="BC114" s="1765"/>
      <c r="BD114" s="292"/>
      <c r="BE114" s="292"/>
      <c r="BF114" s="292"/>
    </row>
    <row r="115" spans="1:58" s="203" customFormat="1" ht="18" hidden="1" customHeight="1" outlineLevel="1" x14ac:dyDescent="0.35">
      <c r="B115" s="284" t="s">
        <v>410</v>
      </c>
      <c r="C115" s="1778">
        <f>IF(C60&gt;0,'R&amp;C-Painel de Controle'!$O76+'R&amp;C-Painel de Controle'!$P76*C60/1000000,0)</f>
        <v>0</v>
      </c>
      <c r="D115" s="1778">
        <f>IF(D60&gt;0,'R&amp;C-Painel de Controle'!$O76+'R&amp;C-Painel de Controle'!$P76*D60/1000000,0)</f>
        <v>0</v>
      </c>
      <c r="E115" s="1778">
        <f>IF(E60&gt;0,'R&amp;C-Painel de Controle'!$O76+'R&amp;C-Painel de Controle'!$P76*E60/1000000,0)</f>
        <v>11.033141456316535</v>
      </c>
      <c r="F115" s="1778">
        <f>IF(F60&gt;0,'R&amp;C-Painel de Controle'!$O76+'R&amp;C-Painel de Controle'!$P76*F60/1000000,0)</f>
        <v>17.185478882639135</v>
      </c>
      <c r="G115" s="1778">
        <f>IF(G60&gt;0,'R&amp;C-Painel de Controle'!$O76+'R&amp;C-Painel de Controle'!$P76*G60/1000000,0)</f>
        <v>17.185478882639135</v>
      </c>
      <c r="H115" s="1778">
        <f>IF(H60&gt;0,'R&amp;C-Painel de Controle'!$O76+'R&amp;C-Painel de Controle'!$P76*H60/1000000,0)</f>
        <v>17.185478882639135</v>
      </c>
      <c r="I115" s="1778">
        <f>IF(I60&gt;0,'R&amp;C-Painel de Controle'!$O76+'R&amp;C-Painel de Controle'!$P76*I60/1000000,0)</f>
        <v>17.185478882639135</v>
      </c>
      <c r="J115" s="1778">
        <f>IF(J60&gt;0,'R&amp;C-Painel de Controle'!$O76+'R&amp;C-Painel de Controle'!$P76*J60/1000000,0)</f>
        <v>17.185478882639135</v>
      </c>
      <c r="K115" s="1778">
        <f>IF(K60&gt;0,'R&amp;C-Painel de Controle'!$O76+'R&amp;C-Painel de Controle'!$P76*K60/1000000,0)</f>
        <v>17.185478882639135</v>
      </c>
      <c r="L115" s="1778">
        <f>IF(L60&gt;0,'R&amp;C-Painel de Controle'!$O76+'R&amp;C-Painel de Controle'!$P76*L60/1000000,0)</f>
        <v>17.185478882639135</v>
      </c>
      <c r="M115" s="1778">
        <f>IF(M60&gt;0,'R&amp;C-Painel de Controle'!$O76+'R&amp;C-Painel de Controle'!$P76*M60/1000000,0)</f>
        <v>17.185478882639135</v>
      </c>
      <c r="N115" s="1778">
        <f>IF(N60&gt;0,'R&amp;C-Painel de Controle'!$O76+'R&amp;C-Painel de Controle'!$P76*N60/1000000,0)</f>
        <v>17.185478882639135</v>
      </c>
      <c r="O115" s="1778">
        <f>IF(O60&gt;0,'R&amp;C-Painel de Controle'!$O76+'R&amp;C-Painel de Controle'!$P76*O60/1000000,0)</f>
        <v>17.185478882639135</v>
      </c>
      <c r="P115" s="1778">
        <f>IF(P60&gt;0,'R&amp;C-Painel de Controle'!$O76+'R&amp;C-Painel de Controle'!$P76*P60/1000000,0)</f>
        <v>17.185478882639135</v>
      </c>
      <c r="Q115" s="1778">
        <f>IF(Q60&gt;0,'R&amp;C-Painel de Controle'!$O76+'R&amp;C-Painel de Controle'!$P76*Q60/1000000,0)</f>
        <v>17.185478882639135</v>
      </c>
      <c r="R115" s="1790">
        <f t="shared" ref="R115:BC115" si="70">Q115</f>
        <v>17.185478882639135</v>
      </c>
      <c r="S115" s="1790">
        <f t="shared" si="70"/>
        <v>17.185478882639135</v>
      </c>
      <c r="T115" s="1790">
        <f t="shared" si="70"/>
        <v>17.185478882639135</v>
      </c>
      <c r="U115" s="1790">
        <f t="shared" si="70"/>
        <v>17.185478882639135</v>
      </c>
      <c r="V115" s="1790">
        <f t="shared" si="70"/>
        <v>17.185478882639135</v>
      </c>
      <c r="W115" s="1790">
        <f t="shared" si="70"/>
        <v>17.185478882639135</v>
      </c>
      <c r="X115" s="1790">
        <f t="shared" si="70"/>
        <v>17.185478882639135</v>
      </c>
      <c r="Y115" s="1790">
        <f t="shared" si="70"/>
        <v>17.185478882639135</v>
      </c>
      <c r="Z115" s="1790">
        <f t="shared" si="70"/>
        <v>17.185478882639135</v>
      </c>
      <c r="AA115" s="1790">
        <f t="shared" si="70"/>
        <v>17.185478882639135</v>
      </c>
      <c r="AB115" s="1790">
        <f t="shared" si="70"/>
        <v>17.185478882639135</v>
      </c>
      <c r="AC115" s="1790">
        <f t="shared" si="70"/>
        <v>17.185478882639135</v>
      </c>
      <c r="AD115" s="1790">
        <f t="shared" si="70"/>
        <v>17.185478882639135</v>
      </c>
      <c r="AE115" s="1790">
        <f t="shared" si="70"/>
        <v>17.185478882639135</v>
      </c>
      <c r="AF115" s="1790">
        <f t="shared" si="70"/>
        <v>17.185478882639135</v>
      </c>
      <c r="AG115" s="1790">
        <f t="shared" si="70"/>
        <v>17.185478882639135</v>
      </c>
      <c r="AH115" s="1790">
        <f t="shared" si="70"/>
        <v>17.185478882639135</v>
      </c>
      <c r="AI115" s="1790">
        <f t="shared" si="70"/>
        <v>17.185478882639135</v>
      </c>
      <c r="AJ115" s="1790">
        <f t="shared" si="70"/>
        <v>17.185478882639135</v>
      </c>
      <c r="AK115" s="1790">
        <f t="shared" si="70"/>
        <v>17.185478882639135</v>
      </c>
      <c r="AL115" s="1790">
        <f t="shared" si="70"/>
        <v>17.185478882639135</v>
      </c>
      <c r="AM115" s="1790">
        <f t="shared" si="70"/>
        <v>17.185478882639135</v>
      </c>
      <c r="AN115" s="1790">
        <f t="shared" si="70"/>
        <v>17.185478882639135</v>
      </c>
      <c r="AO115" s="1790">
        <f t="shared" si="70"/>
        <v>17.185478882639135</v>
      </c>
      <c r="AP115" s="1790">
        <f t="shared" si="70"/>
        <v>17.185478882639135</v>
      </c>
      <c r="AQ115" s="1790">
        <f t="shared" si="70"/>
        <v>17.185478882639135</v>
      </c>
      <c r="AR115" s="1790">
        <f t="shared" si="70"/>
        <v>17.185478882639135</v>
      </c>
      <c r="AS115" s="1790">
        <f t="shared" si="70"/>
        <v>17.185478882639135</v>
      </c>
      <c r="AT115" s="1790">
        <f t="shared" si="70"/>
        <v>17.185478882639135</v>
      </c>
      <c r="AU115" s="1790">
        <f t="shared" si="70"/>
        <v>17.185478882639135</v>
      </c>
      <c r="AV115" s="1790">
        <f t="shared" si="70"/>
        <v>17.185478882639135</v>
      </c>
      <c r="AW115" s="1790">
        <f t="shared" si="70"/>
        <v>17.185478882639135</v>
      </c>
      <c r="AX115" s="1790">
        <f t="shared" si="70"/>
        <v>17.185478882639135</v>
      </c>
      <c r="AY115" s="1790">
        <f t="shared" si="70"/>
        <v>17.185478882639135</v>
      </c>
      <c r="AZ115" s="1790">
        <f t="shared" si="70"/>
        <v>17.185478882639135</v>
      </c>
      <c r="BA115" s="1790">
        <f t="shared" si="70"/>
        <v>17.185478882639135</v>
      </c>
      <c r="BB115" s="1790">
        <f t="shared" si="70"/>
        <v>17.185478882639135</v>
      </c>
      <c r="BC115" s="1790">
        <f t="shared" si="70"/>
        <v>17.185478882639135</v>
      </c>
      <c r="BD115" s="297"/>
      <c r="BE115" s="297"/>
      <c r="BF115" s="297"/>
    </row>
    <row r="116" spans="1:58" s="203" customFormat="1" ht="18" customHeight="1" x14ac:dyDescent="0.35">
      <c r="B116" s="204"/>
      <c r="C116" s="1785"/>
      <c r="D116" s="1785"/>
      <c r="E116" s="1785"/>
      <c r="F116" s="1785"/>
      <c r="G116" s="1785"/>
      <c r="H116" s="1785"/>
      <c r="I116" s="1785"/>
      <c r="J116" s="1785"/>
      <c r="K116" s="1785"/>
      <c r="L116" s="1785"/>
      <c r="M116" s="1785"/>
      <c r="N116" s="1785"/>
      <c r="O116" s="1785"/>
      <c r="P116" s="1785"/>
      <c r="Q116" s="1785"/>
      <c r="R116" s="1765"/>
      <c r="S116" s="1686"/>
      <c r="T116" s="1686"/>
      <c r="U116" s="1686"/>
      <c r="V116" s="1686"/>
      <c r="W116" s="1686"/>
      <c r="X116" s="1686"/>
      <c r="Y116" s="1686"/>
      <c r="Z116" s="1686"/>
      <c r="AA116" s="1686"/>
      <c r="AB116" s="1686"/>
      <c r="AC116" s="1686"/>
      <c r="AD116" s="1686"/>
      <c r="AE116" s="1686"/>
      <c r="AF116" s="1686"/>
      <c r="AG116" s="1686"/>
      <c r="AH116" s="1686"/>
      <c r="AI116" s="1686"/>
      <c r="AJ116" s="1686"/>
      <c r="AK116" s="1686"/>
      <c r="AL116" s="1686"/>
      <c r="AM116" s="1686"/>
      <c r="AN116" s="1686"/>
      <c r="AO116" s="1686"/>
      <c r="AP116" s="1686"/>
      <c r="AQ116" s="1686"/>
      <c r="AR116" s="1686"/>
      <c r="AS116" s="1686"/>
      <c r="AT116" s="1686"/>
      <c r="AU116" s="1686"/>
      <c r="AV116" s="1686"/>
      <c r="AW116" s="1686"/>
      <c r="AX116" s="1686"/>
      <c r="AY116" s="1686"/>
      <c r="AZ116" s="1686"/>
      <c r="BA116" s="1686"/>
      <c r="BB116" s="1686"/>
      <c r="BC116" s="1686"/>
    </row>
    <row r="117" spans="1:58" s="203" customFormat="1" ht="26.15" customHeight="1" x14ac:dyDescent="0.35">
      <c r="B117" s="1682" t="s">
        <v>676</v>
      </c>
      <c r="C117" s="1785">
        <f>IF('R-Definição'!$E$121="Existente",C90+((('R&amp;C-Painel de Controle'!$D$88+'R&amp;C-Painel de Controle'!$D$89)*('R&amp;C-Painel de Controle'!$D$45+'R&amp;C-Painel de Controle'!$D$47))/1000000),C90+((('R&amp;C-Painel de Controle'!$D$88)*('R&amp;C-Painel de Controle'!$D$45+'R&amp;C-Painel de Controle'!$D$47))/1000000))</f>
        <v>32.932429589999998</v>
      </c>
      <c r="D117" s="1785">
        <f>IF('R-Definição'!$E$121="Existente",D90+((('R&amp;C-Painel de Controle'!$D$88+'R&amp;C-Painel de Controle'!$D$89)*('R&amp;C-Painel de Controle'!$D$45+'R&amp;C-Painel de Controle'!$D$47))/1000000),D90+((('R&amp;C-Painel de Controle'!$D$88)*('R&amp;C-Painel de Controle'!$D$45+'R&amp;C-Painel de Controle'!$D$47))/1000000))</f>
        <v>32.932429589999998</v>
      </c>
      <c r="E117" s="1785">
        <f>IF('R-Definição'!$E$121="Existente",E90+((('R&amp;C-Painel de Controle'!$D$88+'R&amp;C-Painel de Controle'!$D$89)*('R&amp;C-Painel de Controle'!$D$45+'R&amp;C-Painel de Controle'!$D$47))/1000000),E90+((('R&amp;C-Painel de Controle'!$D$88)*('R&amp;C-Painel de Controle'!$D$45+'R&amp;C-Painel de Controle'!$D$47))/1000000))</f>
        <v>146.01027544040227</v>
      </c>
      <c r="F117" s="1785">
        <f>IF('R-Definição'!$E$121="Existente",F90+((('R&amp;C-Painel de Controle'!$D$88+'R&amp;C-Painel de Controle'!$D$89)*('R&amp;C-Painel de Controle'!$D$45+'R&amp;C-Painel de Controle'!$D$47))/1000000),F90+((('R&amp;C-Painel de Controle'!$D$88)*('R&amp;C-Painel de Controle'!$D$45+'R&amp;C-Painel de Controle'!$D$47))/1000000))</f>
        <v>223.1216329161139</v>
      </c>
      <c r="G117" s="1785">
        <f>IF('R-Definição'!$E$121="Existente",G90+((('R&amp;C-Painel de Controle'!$D$88+'R&amp;C-Painel de Controle'!$D$89)*('R&amp;C-Painel de Controle'!$D$45+'R&amp;C-Painel de Controle'!$D$47))/1000000),G90+((('R&amp;C-Painel de Controle'!$D$88)*('R&amp;C-Painel de Controle'!$D$45+'R&amp;C-Painel de Controle'!$D$47))/1000000))</f>
        <v>223.1216329161139</v>
      </c>
      <c r="H117" s="1785">
        <f>IF('R-Definição'!$E$121="Existente",H90+((('R&amp;C-Painel de Controle'!$D$88+'R&amp;C-Painel de Controle'!$D$89)*('R&amp;C-Painel de Controle'!$D$45+'R&amp;C-Painel de Controle'!$D$47))/1000000),H90+((('R&amp;C-Painel de Controle'!$D$88)*('R&amp;C-Painel de Controle'!$D$45+'R&amp;C-Painel de Controle'!$D$47))/1000000))</f>
        <v>223.1216329161139</v>
      </c>
      <c r="I117" s="1785">
        <f>IF('R-Definição'!$E$121="Existente",I90+((('R&amp;C-Painel de Controle'!$D$88+'R&amp;C-Painel de Controle'!$D$89)*('R&amp;C-Painel de Controle'!$D$45+'R&amp;C-Painel de Controle'!$D$47))/1000000),I90+((('R&amp;C-Painel de Controle'!$D$88)*('R&amp;C-Painel de Controle'!$D$45+'R&amp;C-Painel de Controle'!$D$47))/1000000))</f>
        <v>223.1216329161139</v>
      </c>
      <c r="J117" s="1785">
        <f>IF('R-Definição'!$E$121="Existente",J90+((('R&amp;C-Painel de Controle'!$D$88+'R&amp;C-Painel de Controle'!$D$89)*('R&amp;C-Painel de Controle'!$D$45+'R&amp;C-Painel de Controle'!$D$47))/1000000),J90+((('R&amp;C-Painel de Controle'!$D$88)*('R&amp;C-Painel de Controle'!$D$45+'R&amp;C-Painel de Controle'!$D$47))/1000000))</f>
        <v>223.1216329161139</v>
      </c>
      <c r="K117" s="1785">
        <f>IF('R-Definição'!$E$121="Existente",K90+((('R&amp;C-Painel de Controle'!$D$88+'R&amp;C-Painel de Controle'!$D$89)*('R&amp;C-Painel de Controle'!$D$45+'R&amp;C-Painel de Controle'!$D$47))/1000000),K90+((('R&amp;C-Painel de Controle'!$D$88)*('R&amp;C-Painel de Controle'!$D$45+'R&amp;C-Painel de Controle'!$D$47))/1000000))</f>
        <v>223.1216329161139</v>
      </c>
      <c r="L117" s="1785">
        <f>IF('R-Definição'!$E$121="Existente",L90+((('R&amp;C-Painel de Controle'!$D$88+'R&amp;C-Painel de Controle'!$D$89)*('R&amp;C-Painel de Controle'!$D$45+'R&amp;C-Painel de Controle'!$D$47))/1000000),L90+((('R&amp;C-Painel de Controle'!$D$88)*('R&amp;C-Painel de Controle'!$D$45+'R&amp;C-Painel de Controle'!$D$47))/1000000))</f>
        <v>223.1216329161139</v>
      </c>
      <c r="M117" s="1785">
        <f>IF('R-Definição'!$E$121="Existente",M90+((('R&amp;C-Painel de Controle'!$D$88+'R&amp;C-Painel de Controle'!$D$89)*('R&amp;C-Painel de Controle'!$D$45+'R&amp;C-Painel de Controle'!$D$47))/1000000),M90+((('R&amp;C-Painel de Controle'!$D$88)*('R&amp;C-Painel de Controle'!$D$45+'R&amp;C-Painel de Controle'!$D$47))/1000000))</f>
        <v>223.1216329161139</v>
      </c>
      <c r="N117" s="1785">
        <f>IF('R-Definição'!$E$121="Existente",N90+((('R&amp;C-Painel de Controle'!$D$88+'R&amp;C-Painel de Controle'!$D$89)*('R&amp;C-Painel de Controle'!$D$45+'R&amp;C-Painel de Controle'!$D$47))/1000000),N90+((('R&amp;C-Painel de Controle'!$D$88)*('R&amp;C-Painel de Controle'!$D$45+'R&amp;C-Painel de Controle'!$D$47))/1000000))</f>
        <v>223.1216329161139</v>
      </c>
      <c r="O117" s="1785">
        <f>IF('R-Definição'!$E$121="Existente",O90+((('R&amp;C-Painel de Controle'!$D$88+'R&amp;C-Painel de Controle'!$D$89)*('R&amp;C-Painel de Controle'!$D$45+'R&amp;C-Painel de Controle'!$D$47))/1000000),O90+((('R&amp;C-Painel de Controle'!$D$88)*('R&amp;C-Painel de Controle'!$D$45+'R&amp;C-Painel de Controle'!$D$47))/1000000))</f>
        <v>223.1216329161139</v>
      </c>
      <c r="P117" s="1785">
        <f>IF('R-Definição'!$E$121="Existente",P90+((('R&amp;C-Painel de Controle'!$D$88+'R&amp;C-Painel de Controle'!$D$89)*('R&amp;C-Painel de Controle'!$D$45+'R&amp;C-Painel de Controle'!$D$47))/1000000),P90+((('R&amp;C-Painel de Controle'!$D$88)*('R&amp;C-Painel de Controle'!$D$45+'R&amp;C-Painel de Controle'!$D$47))/1000000))</f>
        <v>223.1216329161139</v>
      </c>
      <c r="Q117" s="1785">
        <f>IF('R-Definição'!$E$121="Existente",Q90+((('R&amp;C-Painel de Controle'!$D$88+'R&amp;C-Painel de Controle'!$D$89)*('R&amp;C-Painel de Controle'!$D$45+'R&amp;C-Painel de Controle'!$D$47))/1000000),Q90+((('R&amp;C-Painel de Controle'!$D$88)*('R&amp;C-Painel de Controle'!$D$45+'R&amp;C-Painel de Controle'!$D$47))/1000000))</f>
        <v>223.1216329161139</v>
      </c>
      <c r="R117" s="1785">
        <f>IF('R-Definição'!$E$121="Existente",R90+((('R&amp;C-Painel de Controle'!$D$88+'R&amp;C-Painel de Controle'!$D$89)*('R&amp;C-Painel de Controle'!$D$45+'R&amp;C-Painel de Controle'!$D$47))/1000000),R90+((('R&amp;C-Painel de Controle'!$D$88)*('R&amp;C-Painel de Controle'!$D$45+'R&amp;C-Painel de Controle'!$D$47))/1000000))</f>
        <v>223.1216329161139</v>
      </c>
      <c r="S117" s="1785">
        <f>IF('R-Definição'!$E$121="Existente",S90+((('R&amp;C-Painel de Controle'!$D$88+'R&amp;C-Painel de Controle'!$D$89)*('R&amp;C-Painel de Controle'!$D$45+'R&amp;C-Painel de Controle'!$D$47))/1000000),S90+((('R&amp;C-Painel de Controle'!$D$88)*('R&amp;C-Painel de Controle'!$D$45+'R&amp;C-Painel de Controle'!$D$47))/1000000))</f>
        <v>223.1216329161139</v>
      </c>
      <c r="T117" s="1785">
        <f>IF('R-Definição'!$E$121="Existente",T90+((('R&amp;C-Painel de Controle'!$D$88+'R&amp;C-Painel de Controle'!$D$89)*('R&amp;C-Painel de Controle'!$D$45+'R&amp;C-Painel de Controle'!$D$47))/1000000),T90+((('R&amp;C-Painel de Controle'!$D$88)*('R&amp;C-Painel de Controle'!$D$45+'R&amp;C-Painel de Controle'!$D$47))/1000000))</f>
        <v>223.1216329161139</v>
      </c>
      <c r="U117" s="1785">
        <f>IF('R-Definição'!$E$121="Existente",U90+((('R&amp;C-Painel de Controle'!$D$88+'R&amp;C-Painel de Controle'!$D$89)*('R&amp;C-Painel de Controle'!$D$45+'R&amp;C-Painel de Controle'!$D$47))/1000000),U90+((('R&amp;C-Painel de Controle'!$D$88)*('R&amp;C-Painel de Controle'!$D$45+'R&amp;C-Painel de Controle'!$D$47))/1000000))</f>
        <v>223.1216329161139</v>
      </c>
      <c r="V117" s="1785">
        <f>IF('R-Definição'!$E$121="Existente",V90+((('R&amp;C-Painel de Controle'!$D$88+'R&amp;C-Painel de Controle'!$D$89)*('R&amp;C-Painel de Controle'!$D$45+'R&amp;C-Painel de Controle'!$D$47))/1000000),V90+((('R&amp;C-Painel de Controle'!$D$88)*('R&amp;C-Painel de Controle'!$D$45+'R&amp;C-Painel de Controle'!$D$47))/1000000))</f>
        <v>223.1216329161139</v>
      </c>
      <c r="W117" s="1785">
        <f>IF('R-Definição'!$E$121="Existente",W90+((('R&amp;C-Painel de Controle'!$D$88+'R&amp;C-Painel de Controle'!$D$89)*('R&amp;C-Painel de Controle'!$D$45+'R&amp;C-Painel de Controle'!$D$47))/1000000),W90+((('R&amp;C-Painel de Controle'!$D$88)*('R&amp;C-Painel de Controle'!$D$45+'R&amp;C-Painel de Controle'!$D$47))/1000000))</f>
        <v>223.1216329161139</v>
      </c>
      <c r="X117" s="1785">
        <f>IF('R-Definição'!$E$121="Existente",X90+((('R&amp;C-Painel de Controle'!$D$88+'R&amp;C-Painel de Controle'!$D$89)*('R&amp;C-Painel de Controle'!$D$45+'R&amp;C-Painel de Controle'!$D$47))/1000000),X90+((('R&amp;C-Painel de Controle'!$D$88)*('R&amp;C-Painel de Controle'!$D$45+'R&amp;C-Painel de Controle'!$D$47))/1000000))</f>
        <v>223.1216329161139</v>
      </c>
      <c r="Y117" s="1785">
        <f>IF('R-Definição'!$E$121="Existente",Y90+((('R&amp;C-Painel de Controle'!$D$88+'R&amp;C-Painel de Controle'!$D$89)*('R&amp;C-Painel de Controle'!$D$45+'R&amp;C-Painel de Controle'!$D$47))/1000000),Y90+((('R&amp;C-Painel de Controle'!$D$88)*('R&amp;C-Painel de Controle'!$D$45+'R&amp;C-Painel de Controle'!$D$47))/1000000))</f>
        <v>223.1216329161139</v>
      </c>
      <c r="Z117" s="1785">
        <f>IF('R-Definição'!$E$121="Existente",Z90+((('R&amp;C-Painel de Controle'!$D$88+'R&amp;C-Painel de Controle'!$D$89)*('R&amp;C-Painel de Controle'!$D$45+'R&amp;C-Painel de Controle'!$D$47))/1000000),Z90+((('R&amp;C-Painel de Controle'!$D$88)*('R&amp;C-Painel de Controle'!$D$45+'R&amp;C-Painel de Controle'!$D$47))/1000000))</f>
        <v>223.1216329161139</v>
      </c>
      <c r="AA117" s="1785">
        <f>IF('R-Definição'!$E$121="Existente",AA90+((('R&amp;C-Painel de Controle'!$D$88+'R&amp;C-Painel de Controle'!$D$89)*('R&amp;C-Painel de Controle'!$D$45+'R&amp;C-Painel de Controle'!$D$47))/1000000),AA90+((('R&amp;C-Painel de Controle'!$D$88)*('R&amp;C-Painel de Controle'!$D$45+'R&amp;C-Painel de Controle'!$D$47))/1000000))</f>
        <v>223.1216329161139</v>
      </c>
      <c r="AB117" s="1785">
        <f>IF('R-Definição'!$E$121="Existente",AB90+((('R&amp;C-Painel de Controle'!$D$88+'R&amp;C-Painel de Controle'!$D$89)*('R&amp;C-Painel de Controle'!$D$45+'R&amp;C-Painel de Controle'!$D$47))/1000000),AB90+((('R&amp;C-Painel de Controle'!$D$88)*('R&amp;C-Painel de Controle'!$D$45+'R&amp;C-Painel de Controle'!$D$47))/1000000))</f>
        <v>223.1216329161139</v>
      </c>
      <c r="AC117" s="1785">
        <f>IF('R-Definição'!$E$121="Existente",AC90+((('R&amp;C-Painel de Controle'!$D$88+'R&amp;C-Painel de Controle'!$D$89)*('R&amp;C-Painel de Controle'!$D$45+'R&amp;C-Painel de Controle'!$D$47))/1000000),AC90+((('R&amp;C-Painel de Controle'!$D$88)*('R&amp;C-Painel de Controle'!$D$45+'R&amp;C-Painel de Controle'!$D$47))/1000000))</f>
        <v>223.1216329161139</v>
      </c>
      <c r="AD117" s="1785">
        <f>IF('R-Definição'!$E$121="Existente",AD90+((('R&amp;C-Painel de Controle'!$D$88+'R&amp;C-Painel de Controle'!$D$89)*('R&amp;C-Painel de Controle'!$D$45+'R&amp;C-Painel de Controle'!$D$47))/1000000),AD90+((('R&amp;C-Painel de Controle'!$D$88)*('R&amp;C-Painel de Controle'!$D$45+'R&amp;C-Painel de Controle'!$D$47))/1000000))</f>
        <v>223.1216329161139</v>
      </c>
      <c r="AE117" s="1785">
        <f>IF('R-Definição'!$E$121="Existente",AE90+((('R&amp;C-Painel de Controle'!$D$88+'R&amp;C-Painel de Controle'!$D$89)*('R&amp;C-Painel de Controle'!$D$45+'R&amp;C-Painel de Controle'!$D$47))/1000000),AE90+((('R&amp;C-Painel de Controle'!$D$88)*('R&amp;C-Painel de Controle'!$D$45+'R&amp;C-Painel de Controle'!$D$47))/1000000))</f>
        <v>223.1216329161139</v>
      </c>
      <c r="AF117" s="1785">
        <f>IF('R-Definição'!$E$121="Existente",AF90+((('R&amp;C-Painel de Controle'!$D$88+'R&amp;C-Painel de Controle'!$D$89)*('R&amp;C-Painel de Controle'!$D$45+'R&amp;C-Painel de Controle'!$D$47))/1000000),AF90+((('R&amp;C-Painel de Controle'!$D$88)*('R&amp;C-Painel de Controle'!$D$45+'R&amp;C-Painel de Controle'!$D$47))/1000000))</f>
        <v>223.1216329161139</v>
      </c>
      <c r="AG117" s="1785">
        <f>IF('R-Definição'!$E$121="Existente",AG90+((('R&amp;C-Painel de Controle'!$D$88+'R&amp;C-Painel de Controle'!$D$89)*('R&amp;C-Painel de Controle'!$D$45+'R&amp;C-Painel de Controle'!$D$47))/1000000),AG90+((('R&amp;C-Painel de Controle'!$D$88)*('R&amp;C-Painel de Controle'!$D$45+'R&amp;C-Painel de Controle'!$D$47))/1000000))</f>
        <v>223.1216329161139</v>
      </c>
      <c r="AH117" s="1785">
        <f>IF('R-Definição'!$E$121="Existente",AH90+((('R&amp;C-Painel de Controle'!$D$88+'R&amp;C-Painel de Controle'!$D$89)*('R&amp;C-Painel de Controle'!$D$45+'R&amp;C-Painel de Controle'!$D$47))/1000000),AH90+((('R&amp;C-Painel de Controle'!$D$88)*('R&amp;C-Painel de Controle'!$D$45+'R&amp;C-Painel de Controle'!$D$47))/1000000))</f>
        <v>223.1216329161139</v>
      </c>
      <c r="AI117" s="1785">
        <f>IF('R-Definição'!$E$121="Existente",AI90+((('R&amp;C-Painel de Controle'!$D$88+'R&amp;C-Painel de Controle'!$D$89)*('R&amp;C-Painel de Controle'!$D$45+'R&amp;C-Painel de Controle'!$D$47))/1000000),AI90+((('R&amp;C-Painel de Controle'!$D$88)*('R&amp;C-Painel de Controle'!$D$45+'R&amp;C-Painel de Controle'!$D$47))/1000000))</f>
        <v>223.1216329161139</v>
      </c>
      <c r="AJ117" s="1785">
        <f>IF('R-Definição'!$E$121="Existente",AJ90+((('R&amp;C-Painel de Controle'!$D$88+'R&amp;C-Painel de Controle'!$D$89)*('R&amp;C-Painel de Controle'!$D$45+'R&amp;C-Painel de Controle'!$D$47))/1000000),AJ90+((('R&amp;C-Painel de Controle'!$D$88)*('R&amp;C-Painel de Controle'!$D$45+'R&amp;C-Painel de Controle'!$D$47))/1000000))</f>
        <v>223.1216329161139</v>
      </c>
      <c r="AK117" s="1785">
        <f>IF('R-Definição'!$E$121="Existente",AK90+((('R&amp;C-Painel de Controle'!$D$88+'R&amp;C-Painel de Controle'!$D$89)*('R&amp;C-Painel de Controle'!$D$45+'R&amp;C-Painel de Controle'!$D$47))/1000000),AK90+((('R&amp;C-Painel de Controle'!$D$88)*('R&amp;C-Painel de Controle'!$D$45+'R&amp;C-Painel de Controle'!$D$47))/1000000))</f>
        <v>223.1216329161139</v>
      </c>
      <c r="AL117" s="1785">
        <f>IF('R-Definição'!$E$121="Existente",AL90+((('R&amp;C-Painel de Controle'!$D$88+'R&amp;C-Painel de Controle'!$D$89)*('R&amp;C-Painel de Controle'!$D$45+'R&amp;C-Painel de Controle'!$D$47))/1000000),AL90+((('R&amp;C-Painel de Controle'!$D$88)*('R&amp;C-Painel de Controle'!$D$45+'R&amp;C-Painel de Controle'!$D$47))/1000000))</f>
        <v>223.1216329161139</v>
      </c>
      <c r="AM117" s="1785">
        <f>IF('R-Definição'!$E$121="Existente",AM90+((('R&amp;C-Painel de Controle'!$D$88+'R&amp;C-Painel de Controle'!$D$89)*('R&amp;C-Painel de Controle'!$D$45+'R&amp;C-Painel de Controle'!$D$47))/1000000),AM90+((('R&amp;C-Painel de Controle'!$D$88)*('R&amp;C-Painel de Controle'!$D$45+'R&amp;C-Painel de Controle'!$D$47))/1000000))</f>
        <v>223.1216329161139</v>
      </c>
      <c r="AN117" s="1785">
        <f>IF('R-Definição'!$E$121="Existente",AN90+((('R&amp;C-Painel de Controle'!$D$88+'R&amp;C-Painel de Controle'!$D$89)*('R&amp;C-Painel de Controle'!$D$45+'R&amp;C-Painel de Controle'!$D$47))/1000000),AN90+((('R&amp;C-Painel de Controle'!$D$88)*('R&amp;C-Painel de Controle'!$D$45+'R&amp;C-Painel de Controle'!$D$47))/1000000))</f>
        <v>223.1216329161139</v>
      </c>
      <c r="AO117" s="1785">
        <f>IF('R-Definição'!$E$121="Existente",AO90+((('R&amp;C-Painel de Controle'!$D$88+'R&amp;C-Painel de Controle'!$D$89)*('R&amp;C-Painel de Controle'!$D$45+'R&amp;C-Painel de Controle'!$D$47))/1000000),AO90+((('R&amp;C-Painel de Controle'!$D$88)*('R&amp;C-Painel de Controle'!$D$45+'R&amp;C-Painel de Controle'!$D$47))/1000000))</f>
        <v>223.1216329161139</v>
      </c>
      <c r="AP117" s="1785">
        <f>IF('R-Definição'!$E$121="Existente",AP90+((('R&amp;C-Painel de Controle'!$D$88+'R&amp;C-Painel de Controle'!$D$89)*('R&amp;C-Painel de Controle'!$D$45+'R&amp;C-Painel de Controle'!$D$47))/1000000),AP90+((('R&amp;C-Painel de Controle'!$D$88)*('R&amp;C-Painel de Controle'!$D$45+'R&amp;C-Painel de Controle'!$D$47))/1000000))</f>
        <v>223.1216329161139</v>
      </c>
      <c r="AQ117" s="1785">
        <f>IF('R-Definição'!$E$121="Existente",AQ90+((('R&amp;C-Painel de Controle'!$D$88+'R&amp;C-Painel de Controle'!$D$89)*('R&amp;C-Painel de Controle'!$D$45+'R&amp;C-Painel de Controle'!$D$47))/1000000),AQ90+((('R&amp;C-Painel de Controle'!$D$88)*('R&amp;C-Painel de Controle'!$D$45+'R&amp;C-Painel de Controle'!$D$47))/1000000))</f>
        <v>223.1216329161139</v>
      </c>
      <c r="AR117" s="1785">
        <f>IF('R-Definição'!$E$121="Existente",AR90+((('R&amp;C-Painel de Controle'!$D$88+'R&amp;C-Painel de Controle'!$D$89)*('R&amp;C-Painel de Controle'!$D$45+'R&amp;C-Painel de Controle'!$D$47))/1000000),AR90+((('R&amp;C-Painel de Controle'!$D$88)*('R&amp;C-Painel de Controle'!$D$45+'R&amp;C-Painel de Controle'!$D$47))/1000000))</f>
        <v>223.1216329161139</v>
      </c>
      <c r="AS117" s="1785">
        <f>IF('R-Definição'!$E$121="Existente",AS90+((('R&amp;C-Painel de Controle'!$D$88+'R&amp;C-Painel de Controle'!$D$89)*('R&amp;C-Painel de Controle'!$D$45+'R&amp;C-Painel de Controle'!$D$47))/1000000),AS90+((('R&amp;C-Painel de Controle'!$D$88)*('R&amp;C-Painel de Controle'!$D$45+'R&amp;C-Painel de Controle'!$D$47))/1000000))</f>
        <v>223.1216329161139</v>
      </c>
      <c r="AT117" s="1785">
        <f>IF('R-Definição'!$E$121="Existente",AT90+((('R&amp;C-Painel de Controle'!$D$88+'R&amp;C-Painel de Controle'!$D$89)*('R&amp;C-Painel de Controle'!$D$45+'R&amp;C-Painel de Controle'!$D$47))/1000000),AT90+((('R&amp;C-Painel de Controle'!$D$88)*('R&amp;C-Painel de Controle'!$D$45+'R&amp;C-Painel de Controle'!$D$47))/1000000))</f>
        <v>223.1216329161139</v>
      </c>
      <c r="AU117" s="1785">
        <f>IF('R-Definição'!$E$121="Existente",AU90+((('R&amp;C-Painel de Controle'!$D$88+'R&amp;C-Painel de Controle'!$D$89)*('R&amp;C-Painel de Controle'!$D$45+'R&amp;C-Painel de Controle'!$D$47))/1000000),AU90+((('R&amp;C-Painel de Controle'!$D$88)*('R&amp;C-Painel de Controle'!$D$45+'R&amp;C-Painel de Controle'!$D$47))/1000000))</f>
        <v>223.1216329161139</v>
      </c>
      <c r="AV117" s="1785">
        <f>IF('R-Definição'!$E$121="Existente",AV90+((('R&amp;C-Painel de Controle'!$D$88+'R&amp;C-Painel de Controle'!$D$89)*('R&amp;C-Painel de Controle'!$D$45+'R&amp;C-Painel de Controle'!$D$47))/1000000),AV90+((('R&amp;C-Painel de Controle'!$D$88)*('R&amp;C-Painel de Controle'!$D$45+'R&amp;C-Painel de Controle'!$D$47))/1000000))</f>
        <v>223.1216329161139</v>
      </c>
      <c r="AW117" s="1785">
        <f>IF('R-Definição'!$E$121="Existente",AW90+((('R&amp;C-Painel de Controle'!$D$88+'R&amp;C-Painel de Controle'!$D$89)*('R&amp;C-Painel de Controle'!$D$45+'R&amp;C-Painel de Controle'!$D$47))/1000000),AW90+((('R&amp;C-Painel de Controle'!$D$88)*('R&amp;C-Painel de Controle'!$D$45+'R&amp;C-Painel de Controle'!$D$47))/1000000))</f>
        <v>223.1216329161139</v>
      </c>
      <c r="AX117" s="1785">
        <f>IF('R-Definição'!$E$121="Existente",AX90+((('R&amp;C-Painel de Controle'!$D$88+'R&amp;C-Painel de Controle'!$D$89)*('R&amp;C-Painel de Controle'!$D$45+'R&amp;C-Painel de Controle'!$D$47))/1000000),AX90+((('R&amp;C-Painel de Controle'!$D$88)*('R&amp;C-Painel de Controle'!$D$45+'R&amp;C-Painel de Controle'!$D$47))/1000000))</f>
        <v>223.1216329161139</v>
      </c>
      <c r="AY117" s="1785">
        <f>IF('R-Definição'!$E$121="Existente",AY90+((('R&amp;C-Painel de Controle'!$D$88+'R&amp;C-Painel de Controle'!$D$89)*('R&amp;C-Painel de Controle'!$D$45+'R&amp;C-Painel de Controle'!$D$47))/1000000),AY90+((('R&amp;C-Painel de Controle'!$D$88)*('R&amp;C-Painel de Controle'!$D$45+'R&amp;C-Painel de Controle'!$D$47))/1000000))</f>
        <v>223.1216329161139</v>
      </c>
      <c r="AZ117" s="1785">
        <f>IF('R-Definição'!$E$121="Existente",AZ90+((('R&amp;C-Painel de Controle'!$D$88+'R&amp;C-Painel de Controle'!$D$89)*('R&amp;C-Painel de Controle'!$D$45+'R&amp;C-Painel de Controle'!$D$47))/1000000),AZ90+((('R&amp;C-Painel de Controle'!$D$88)*('R&amp;C-Painel de Controle'!$D$45+'R&amp;C-Painel de Controle'!$D$47))/1000000))</f>
        <v>223.1216329161139</v>
      </c>
      <c r="BA117" s="1785">
        <f>IF('R-Definição'!$E$121="Existente",BA90+((('R&amp;C-Painel de Controle'!$D$88+'R&amp;C-Painel de Controle'!$D$89)*('R&amp;C-Painel de Controle'!$D$45+'R&amp;C-Painel de Controle'!$D$47))/1000000),BA90+((('R&amp;C-Painel de Controle'!$D$88)*('R&amp;C-Painel de Controle'!$D$45+'R&amp;C-Painel de Controle'!$D$47))/1000000))</f>
        <v>223.1216329161139</v>
      </c>
      <c r="BB117" s="1785">
        <f>IF('R-Definição'!$E$121="Existente",BB90+((('R&amp;C-Painel de Controle'!$D$88+'R&amp;C-Painel de Controle'!$D$89)*('R&amp;C-Painel de Controle'!$D$45+'R&amp;C-Painel de Controle'!$D$47))/1000000),BB90+((('R&amp;C-Painel de Controle'!$D$88)*('R&amp;C-Painel de Controle'!$D$45+'R&amp;C-Painel de Controle'!$D$47))/1000000))</f>
        <v>223.1216329161139</v>
      </c>
      <c r="BC117" s="1785">
        <f>IF('R-Definição'!$E$121="Existente",BC90+((('R&amp;C-Painel de Controle'!$D$88+'R&amp;C-Painel de Controle'!$D$89)*('R&amp;C-Painel de Controle'!$D$45+'R&amp;C-Painel de Controle'!$D$47))/1000000),BC90+((('R&amp;C-Painel de Controle'!$D$88)*('R&amp;C-Painel de Controle'!$D$45+'R&amp;C-Painel de Controle'!$D$47))/1000000))</f>
        <v>223.1216329161139</v>
      </c>
    </row>
    <row r="118" spans="1:58" s="203" customFormat="1" ht="18" customHeight="1" x14ac:dyDescent="0.35">
      <c r="B118" s="304"/>
      <c r="C118" s="1785"/>
      <c r="D118" s="1785"/>
      <c r="E118" s="1785"/>
      <c r="F118" s="1785"/>
      <c r="G118" s="1785"/>
      <c r="H118" s="1785"/>
      <c r="I118" s="1785"/>
      <c r="J118" s="1785"/>
      <c r="K118" s="1785"/>
      <c r="L118" s="1785"/>
      <c r="M118" s="1785"/>
      <c r="N118" s="1785"/>
      <c r="O118" s="1785"/>
      <c r="P118" s="1785"/>
      <c r="Q118" s="1785"/>
      <c r="R118" s="1785"/>
      <c r="S118" s="1785"/>
      <c r="T118" s="1785"/>
      <c r="U118" s="1785"/>
      <c r="V118" s="1785"/>
      <c r="W118" s="1785"/>
      <c r="X118" s="1785"/>
      <c r="Y118" s="1785"/>
      <c r="Z118" s="1785"/>
      <c r="AA118" s="1785"/>
      <c r="AB118" s="1785"/>
      <c r="AC118" s="1785"/>
      <c r="AD118" s="1785"/>
      <c r="AE118" s="1785"/>
      <c r="AF118" s="1785"/>
      <c r="AG118" s="1785"/>
      <c r="AH118" s="1785"/>
      <c r="AI118" s="1785"/>
      <c r="AJ118" s="1785"/>
      <c r="AK118" s="1785"/>
      <c r="AL118" s="1785"/>
      <c r="AM118" s="1785"/>
      <c r="AN118" s="1785"/>
      <c r="AO118" s="1785"/>
      <c r="AP118" s="1785"/>
      <c r="AQ118" s="1785"/>
      <c r="AR118" s="1785"/>
      <c r="AS118" s="1785"/>
      <c r="AT118" s="1785"/>
      <c r="AU118" s="1785"/>
      <c r="AV118" s="1785"/>
      <c r="AW118" s="1785"/>
      <c r="AX118" s="1785"/>
      <c r="AY118" s="1785"/>
      <c r="AZ118" s="1785"/>
      <c r="BA118" s="1785"/>
      <c r="BB118" s="1785"/>
      <c r="BC118" s="1785"/>
    </row>
    <row r="119" spans="1:58" s="203" customFormat="1" ht="26.15" customHeight="1" x14ac:dyDescent="0.35">
      <c r="B119" s="1682" t="s">
        <v>677</v>
      </c>
      <c r="C119" s="1785">
        <f>C117+'R&amp;C-Painel de Controle'!$D$29</f>
        <v>34.432429589999998</v>
      </c>
      <c r="D119" s="1785">
        <f>D117+'R&amp;C-Painel de Controle'!$D$29</f>
        <v>34.432429589999998</v>
      </c>
      <c r="E119" s="1785">
        <f>E117+'R&amp;C-Painel de Controle'!$D$29</f>
        <v>147.51027544040227</v>
      </c>
      <c r="F119" s="1785">
        <f>F117+'R&amp;C-Painel de Controle'!$D$29</f>
        <v>224.6216329161139</v>
      </c>
      <c r="G119" s="1785">
        <f>G117+'R&amp;C-Painel de Controle'!$D$29</f>
        <v>224.6216329161139</v>
      </c>
      <c r="H119" s="1785">
        <f>H117+'R&amp;C-Painel de Controle'!$D$29</f>
        <v>224.6216329161139</v>
      </c>
      <c r="I119" s="1785">
        <f>I117+'R&amp;C-Painel de Controle'!$D$29</f>
        <v>224.6216329161139</v>
      </c>
      <c r="J119" s="1785">
        <f>J117+'R&amp;C-Painel de Controle'!$D$29</f>
        <v>224.6216329161139</v>
      </c>
      <c r="K119" s="1785">
        <f>K117+'R&amp;C-Painel de Controle'!$D$29</f>
        <v>224.6216329161139</v>
      </c>
      <c r="L119" s="1785">
        <f>L117+'R&amp;C-Painel de Controle'!$D$29</f>
        <v>224.6216329161139</v>
      </c>
      <c r="M119" s="1785">
        <f>M117+'R&amp;C-Painel de Controle'!$D$29</f>
        <v>224.6216329161139</v>
      </c>
      <c r="N119" s="1785">
        <f>N117+'R&amp;C-Painel de Controle'!$D$29</f>
        <v>224.6216329161139</v>
      </c>
      <c r="O119" s="1785">
        <f>O117+'R&amp;C-Painel de Controle'!$D$29</f>
        <v>224.6216329161139</v>
      </c>
      <c r="P119" s="1785">
        <f>P117+'R&amp;C-Painel de Controle'!$D$29</f>
        <v>224.6216329161139</v>
      </c>
      <c r="Q119" s="1785">
        <f>Q117+'R&amp;C-Painel de Controle'!$D$29</f>
        <v>224.6216329161139</v>
      </c>
      <c r="R119" s="1785">
        <f>R117+'R&amp;C-Painel de Controle'!$D$29</f>
        <v>224.6216329161139</v>
      </c>
      <c r="S119" s="1785">
        <f>S117+'R&amp;C-Painel de Controle'!$D$29</f>
        <v>224.6216329161139</v>
      </c>
      <c r="T119" s="1785">
        <f>T117+'R&amp;C-Painel de Controle'!$D$29</f>
        <v>224.6216329161139</v>
      </c>
      <c r="U119" s="1785">
        <f>U117+'R&amp;C-Painel de Controle'!$D$29</f>
        <v>224.6216329161139</v>
      </c>
      <c r="V119" s="1785">
        <f>V117+'R&amp;C-Painel de Controle'!$D$29</f>
        <v>224.6216329161139</v>
      </c>
      <c r="W119" s="1785">
        <f>W117+'R&amp;C-Painel de Controle'!$D$29</f>
        <v>224.6216329161139</v>
      </c>
      <c r="X119" s="1785">
        <f>X117+'R&amp;C-Painel de Controle'!$D$29</f>
        <v>224.6216329161139</v>
      </c>
      <c r="Y119" s="1785">
        <f>Y117+'R&amp;C-Painel de Controle'!$D$29</f>
        <v>224.6216329161139</v>
      </c>
      <c r="Z119" s="1785">
        <f>Z117+'R&amp;C-Painel de Controle'!$D$29</f>
        <v>224.6216329161139</v>
      </c>
      <c r="AA119" s="1785">
        <f>AA117+'R&amp;C-Painel de Controle'!$D$29</f>
        <v>224.6216329161139</v>
      </c>
      <c r="AB119" s="1785">
        <f>AB117+'R&amp;C-Painel de Controle'!$D$29</f>
        <v>224.6216329161139</v>
      </c>
      <c r="AC119" s="1785">
        <f>AC117+'R&amp;C-Painel de Controle'!$D$29</f>
        <v>224.6216329161139</v>
      </c>
      <c r="AD119" s="1785">
        <f>AD117+'R&amp;C-Painel de Controle'!$D$29</f>
        <v>224.6216329161139</v>
      </c>
      <c r="AE119" s="1785">
        <f>AE117+'R&amp;C-Painel de Controle'!$D$29</f>
        <v>224.6216329161139</v>
      </c>
      <c r="AF119" s="1785">
        <f>AF117+'R&amp;C-Painel de Controle'!$D$29</f>
        <v>224.6216329161139</v>
      </c>
      <c r="AG119" s="1785">
        <f>AG117+'R&amp;C-Painel de Controle'!$D$29</f>
        <v>224.6216329161139</v>
      </c>
      <c r="AH119" s="1785">
        <f>AH117+'R&amp;C-Painel de Controle'!$D$29</f>
        <v>224.6216329161139</v>
      </c>
      <c r="AI119" s="1785">
        <f>AI117+'R&amp;C-Painel de Controle'!$D$29</f>
        <v>224.6216329161139</v>
      </c>
      <c r="AJ119" s="1785">
        <f>AJ117+'R&amp;C-Painel de Controle'!$D$29</f>
        <v>224.6216329161139</v>
      </c>
      <c r="AK119" s="1785">
        <f>AK117+'R&amp;C-Painel de Controle'!$D$29</f>
        <v>224.6216329161139</v>
      </c>
      <c r="AL119" s="1785">
        <f>AL117+'R&amp;C-Painel de Controle'!$D$29</f>
        <v>224.6216329161139</v>
      </c>
      <c r="AM119" s="1785">
        <f>AM117+'R&amp;C-Painel de Controle'!$D$29</f>
        <v>224.6216329161139</v>
      </c>
      <c r="AN119" s="1785">
        <f>AN117+'R&amp;C-Painel de Controle'!$D$29</f>
        <v>224.6216329161139</v>
      </c>
      <c r="AO119" s="1785">
        <f>AO117+'R&amp;C-Painel de Controle'!$D$29</f>
        <v>224.6216329161139</v>
      </c>
      <c r="AP119" s="1785">
        <f>AP117+'R&amp;C-Painel de Controle'!$D$29</f>
        <v>224.6216329161139</v>
      </c>
      <c r="AQ119" s="1785">
        <f>AQ117+'R&amp;C-Painel de Controle'!$D$29</f>
        <v>224.6216329161139</v>
      </c>
      <c r="AR119" s="1785">
        <f>AR117+'R&amp;C-Painel de Controle'!$D$29</f>
        <v>224.6216329161139</v>
      </c>
      <c r="AS119" s="1785">
        <f>AS117+'R&amp;C-Painel de Controle'!$D$29</f>
        <v>224.6216329161139</v>
      </c>
      <c r="AT119" s="1785">
        <f>AT117+'R&amp;C-Painel de Controle'!$D$29</f>
        <v>224.6216329161139</v>
      </c>
      <c r="AU119" s="1785">
        <f>AU117+'R&amp;C-Painel de Controle'!$D$29</f>
        <v>224.6216329161139</v>
      </c>
      <c r="AV119" s="1785">
        <f>AV117+'R&amp;C-Painel de Controle'!$D$29</f>
        <v>224.6216329161139</v>
      </c>
      <c r="AW119" s="1785">
        <f>AW117+'R&amp;C-Painel de Controle'!$D$29</f>
        <v>224.6216329161139</v>
      </c>
      <c r="AX119" s="1785">
        <f>AX117+'R&amp;C-Painel de Controle'!$D$29</f>
        <v>224.6216329161139</v>
      </c>
      <c r="AY119" s="1785">
        <f>AY117+'R&amp;C-Painel de Controle'!$D$29</f>
        <v>224.6216329161139</v>
      </c>
      <c r="AZ119" s="1785">
        <f>AZ117+'R&amp;C-Painel de Controle'!$D$29</f>
        <v>224.6216329161139</v>
      </c>
      <c r="BA119" s="1785">
        <f>BA117+'R&amp;C-Painel de Controle'!$D$29</f>
        <v>224.6216329161139</v>
      </c>
      <c r="BB119" s="1785">
        <f>BB117+'R&amp;C-Painel de Controle'!$D$29</f>
        <v>224.6216329161139</v>
      </c>
      <c r="BC119" s="1785">
        <f>BC117+'R&amp;C-Painel de Controle'!$D$29</f>
        <v>224.6216329161139</v>
      </c>
    </row>
    <row r="120" spans="1:58" s="203" customFormat="1" ht="18" customHeight="1" x14ac:dyDescent="0.35">
      <c r="B120" s="304"/>
      <c r="C120" s="1686"/>
      <c r="D120" s="1686"/>
      <c r="E120" s="1686"/>
      <c r="F120" s="1686"/>
      <c r="G120" s="1686"/>
      <c r="H120" s="1686"/>
      <c r="I120" s="1686"/>
      <c r="J120" s="1686"/>
      <c r="K120" s="1686"/>
      <c r="L120" s="1686"/>
      <c r="M120" s="1686"/>
      <c r="N120" s="1686"/>
      <c r="O120" s="1686"/>
      <c r="P120" s="1686"/>
      <c r="Q120" s="1686"/>
      <c r="R120" s="1765"/>
      <c r="S120" s="1686"/>
      <c r="T120" s="1686"/>
      <c r="U120" s="1686"/>
      <c r="V120" s="1686"/>
      <c r="W120" s="1686"/>
      <c r="X120" s="1686"/>
      <c r="Y120" s="1686"/>
      <c r="Z120" s="1686"/>
      <c r="AA120" s="1686"/>
      <c r="AB120" s="1686"/>
      <c r="AC120" s="1686"/>
      <c r="AD120" s="1686"/>
      <c r="AE120" s="1686"/>
      <c r="AF120" s="1686"/>
      <c r="AG120" s="1686"/>
      <c r="AH120" s="1686"/>
      <c r="AI120" s="1686"/>
      <c r="AJ120" s="1686"/>
      <c r="AK120" s="1686"/>
      <c r="AL120" s="1686"/>
      <c r="AM120" s="1686"/>
      <c r="AN120" s="1686"/>
      <c r="AO120" s="1686"/>
      <c r="AP120" s="1686"/>
      <c r="AQ120" s="1686"/>
      <c r="AR120" s="1686"/>
      <c r="AS120" s="1686"/>
      <c r="AT120" s="1686"/>
      <c r="AU120" s="1686"/>
      <c r="AV120" s="1686"/>
      <c r="AW120" s="1686"/>
      <c r="AX120" s="1686"/>
      <c r="AY120" s="1686"/>
      <c r="AZ120" s="1686"/>
      <c r="BA120" s="1686"/>
      <c r="BB120" s="1686"/>
      <c r="BC120" s="1686"/>
    </row>
    <row r="121" spans="1:58" s="203" customFormat="1" ht="26.15" customHeight="1" collapsed="1" x14ac:dyDescent="0.35">
      <c r="B121" s="1682" t="s">
        <v>411</v>
      </c>
      <c r="C121" s="1785">
        <f>IF('R&amp;C-Painel de Controle'!$D$25="Sim",(C125+C128+C131+C134+C137+C140+C143+C146)*('R&amp;C-Painel de Controle'!$D$26),0)</f>
        <v>0</v>
      </c>
      <c r="D121" s="1785">
        <f>IF('R&amp;C-Painel de Controle'!$D$25="Sim",(D125+D128+D131+D134+D137+D140+D143+D146)*('R&amp;C-Painel de Controle'!$D$26),0)</f>
        <v>0</v>
      </c>
      <c r="E121" s="1785">
        <f>IF('R&amp;C-Painel de Controle'!$D$25="Sim",(E125+E128+E131+E134+E137+E140+E143+E146)*('R&amp;C-Painel de Controle'!$D$26),0)</f>
        <v>0</v>
      </c>
      <c r="F121" s="1785">
        <f>IF('R&amp;C-Painel de Controle'!$D$25="Sim",(F125+F128+F131+F134+F137+F140+F143+F146)*('R&amp;C-Painel de Controle'!$D$26),0)</f>
        <v>0</v>
      </c>
      <c r="G121" s="1785">
        <f>IF('R&amp;C-Painel de Controle'!$D$25="Sim",(G125+G128+G131+G134+G137+G140+G143+G146)*('R&amp;C-Painel de Controle'!$D$26),0)</f>
        <v>0</v>
      </c>
      <c r="H121" s="1785">
        <f>IF('R&amp;C-Painel de Controle'!$D$25="Sim",(H125+H128+H131+H134+H137+H140+H143+H146)*('R&amp;C-Painel de Controle'!$D$26),0)</f>
        <v>0</v>
      </c>
      <c r="I121" s="1785">
        <f>IF('R&amp;C-Painel de Controle'!$D$25="Sim",(I125+I128+I131+I134+I137+I140+I143+I146)*('R&amp;C-Painel de Controle'!$D$26),0)</f>
        <v>0</v>
      </c>
      <c r="J121" s="1785">
        <f>IF('R&amp;C-Painel de Controle'!$D$25="Sim",(J125+J128+J131+J134+J137+J140+J143+J146)*('R&amp;C-Painel de Controle'!$D$26),0)</f>
        <v>0</v>
      </c>
      <c r="K121" s="1785">
        <f>IF('R&amp;C-Painel de Controle'!$D$25="Sim",(K125+K128+K131+K134+K137+K140+K143+K146)*('R&amp;C-Painel de Controle'!$D$26),0)</f>
        <v>0</v>
      </c>
      <c r="L121" s="1785">
        <f>IF('R&amp;C-Painel de Controle'!$D$25="Sim",(L125+L128+L131+L134+L137+L140+L143+L146)*('R&amp;C-Painel de Controle'!$D$26),0)</f>
        <v>0</v>
      </c>
      <c r="M121" s="1785">
        <f>IF('R&amp;C-Painel de Controle'!$D$25="Sim",(M125+M128+M131+M134+M137+M140+M143+M146)*('R&amp;C-Painel de Controle'!$D$26),0)</f>
        <v>0</v>
      </c>
      <c r="N121" s="1785">
        <f>IF('R&amp;C-Painel de Controle'!$D$25="Sim",(N125+N128+N131+N134+N137+N140+N143+N146)*('R&amp;C-Painel de Controle'!$D$26),0)</f>
        <v>0</v>
      </c>
      <c r="O121" s="1785">
        <f>IF('R&amp;C-Painel de Controle'!$D$25="Sim",(O125+O128+O131+O134+O137+O140+O143+O146)*('R&amp;C-Painel de Controle'!$D$26),0)</f>
        <v>0</v>
      </c>
      <c r="P121" s="1785">
        <f>IF('R&amp;C-Painel de Controle'!$D$25="Sim",(P125+P128+P131+P134+P137+P140+P143+P146)*('R&amp;C-Painel de Controle'!$D$26),0)</f>
        <v>0</v>
      </c>
      <c r="Q121" s="1785">
        <f>IF('R&amp;C-Painel de Controle'!$D$25="Sim",(Q125+Q128+Q131+Q134+Q137+Q140+Q143+Q146)*('R&amp;C-Painel de Controle'!$D$26),0)</f>
        <v>0</v>
      </c>
      <c r="R121" s="1785">
        <f>IF('R&amp;C-Painel de Controle'!$D$25="Sim",(R125+R128+R131+R134+R137+R140+R143+R146)*('R&amp;C-Painel de Controle'!$D$26),0)</f>
        <v>0</v>
      </c>
      <c r="S121" s="1785">
        <f>IF('R&amp;C-Painel de Controle'!$D$25="Sim",(S125+S128+S131+S134+S137+S140+S143+S146)*('R&amp;C-Painel de Controle'!$D$26),0)</f>
        <v>0</v>
      </c>
      <c r="T121" s="1785">
        <f>IF('R&amp;C-Painel de Controle'!$D$25="Sim",(T125+T128+T131+T134+T137+T140+T143+T146)*('R&amp;C-Painel de Controle'!$D$26),0)</f>
        <v>0</v>
      </c>
      <c r="U121" s="1785">
        <f>IF('R&amp;C-Painel de Controle'!$D$25="Sim",(U125+U128+U131+U134+U137+U140+U143+U146)*('R&amp;C-Painel de Controle'!$D$26),0)</f>
        <v>0</v>
      </c>
      <c r="V121" s="1785">
        <f>IF('R&amp;C-Painel de Controle'!$D$25="Sim",(V125+V128+V131+V134+V137+V140+V143+V146)*('R&amp;C-Painel de Controle'!$D$26),0)</f>
        <v>0</v>
      </c>
      <c r="W121" s="1785">
        <f>IF('R&amp;C-Painel de Controle'!$D$25="Sim",(W125+W128+W131+W134+W137+W140+W143+W146)*('R&amp;C-Painel de Controle'!$D$26),0)</f>
        <v>0</v>
      </c>
      <c r="X121" s="1785">
        <f>IF('R&amp;C-Painel de Controle'!$D$25="Sim",(X125+X128+X131+X134+X137+X140+X143+X146)*('R&amp;C-Painel de Controle'!$D$26),0)</f>
        <v>0</v>
      </c>
      <c r="Y121" s="1785">
        <f>IF('R&amp;C-Painel de Controle'!$D$25="Sim",(Y125+Y128+Y131+Y134+Y137+Y140+Y143+Y146)*('R&amp;C-Painel de Controle'!$D$26),0)</f>
        <v>0</v>
      </c>
      <c r="Z121" s="1785">
        <f>IF('R&amp;C-Painel de Controle'!$D$25="Sim",(Z125+Z128+Z131+Z134+Z137+Z140+Z143+Z146)*('R&amp;C-Painel de Controle'!$D$26),0)</f>
        <v>0</v>
      </c>
      <c r="AA121" s="1785">
        <f>IF('R&amp;C-Painel de Controle'!$D$25="Sim",(AA125+AA128+AA131+AA134+AA137+AA140+AA143+AA146)*('R&amp;C-Painel de Controle'!$D$26),0)</f>
        <v>0</v>
      </c>
      <c r="AB121" s="1785">
        <f>IF('R&amp;C-Painel de Controle'!$D$25="Sim",(AB125+AB128+AB131+AB134+AB137+AB140+AB143+AB146)*('R&amp;C-Painel de Controle'!$D$26),0)</f>
        <v>0</v>
      </c>
      <c r="AC121" s="1785">
        <f>IF('R&amp;C-Painel de Controle'!$D$25="Sim",(AC125+AC128+AC131+AC134+AC137+AC140+AC143+AC146)*('R&amp;C-Painel de Controle'!$D$26),0)</f>
        <v>0</v>
      </c>
      <c r="AD121" s="1785">
        <f>IF('R&amp;C-Painel de Controle'!$D$25="Sim",(AD125+AD128+AD131+AD134+AD137+AD140+AD143+AD146)*('R&amp;C-Painel de Controle'!$D$26),0)</f>
        <v>0</v>
      </c>
      <c r="AE121" s="1785">
        <f>IF('R&amp;C-Painel de Controle'!$D$25="Sim",(AE125+AE128+AE131+AE134+AE137+AE140+AE143+AE146)*('R&amp;C-Painel de Controle'!$D$26),0)</f>
        <v>0</v>
      </c>
      <c r="AF121" s="1785">
        <f>IF('R&amp;C-Painel de Controle'!$D$25="Sim",(AF125+AF128+AF131+AF134+AF137+AF140+AF143+AF146)*('R&amp;C-Painel de Controle'!$D$26),0)</f>
        <v>0</v>
      </c>
      <c r="AG121" s="1785">
        <f>IF('R&amp;C-Painel de Controle'!$D$25="Sim",(AG125+AG128+AG131+AG134+AG137+AG140+AG143+AG146)*('R&amp;C-Painel de Controle'!$D$26),0)</f>
        <v>0</v>
      </c>
      <c r="AH121" s="1785">
        <f>IF('R&amp;C-Painel de Controle'!$D$25="Sim",(AH125+AH128+AH131+AH134+AH137+AH140+AH143+AH146)*('R&amp;C-Painel de Controle'!$D$26),0)</f>
        <v>0</v>
      </c>
      <c r="AI121" s="1785">
        <f>IF('R&amp;C-Painel de Controle'!$D$25="Sim",(AI125+AI128+AI131+AI134+AI137+AI140+AI143+AI146)*('R&amp;C-Painel de Controle'!$D$26),0)</f>
        <v>0</v>
      </c>
      <c r="AJ121" s="1785">
        <f>IF('R&amp;C-Painel de Controle'!$D$25="Sim",(AJ125+AJ128+AJ131+AJ134+AJ137+AJ140+AJ143+AJ146)*('R&amp;C-Painel de Controle'!$D$26),0)</f>
        <v>0</v>
      </c>
      <c r="AK121" s="1785">
        <f>IF('R&amp;C-Painel de Controle'!$D$25="Sim",(AK125+AK128+AK131+AK134+AK137+AK140+AK143+AK146)*('R&amp;C-Painel de Controle'!$D$26),0)</f>
        <v>0</v>
      </c>
      <c r="AL121" s="1785">
        <f>IF('R&amp;C-Painel de Controle'!$D$25="Sim",(AL125+AL128+AL131+AL134+AL137+AL140+AL143+AL146)*('R&amp;C-Painel de Controle'!$D$26),0)</f>
        <v>0</v>
      </c>
      <c r="AM121" s="1785">
        <f>IF('R&amp;C-Painel de Controle'!$D$25="Sim",(AM125+AM128+AM131+AM134+AM137+AM140+AM143+AM146)*('R&amp;C-Painel de Controle'!$D$26),0)</f>
        <v>0</v>
      </c>
      <c r="AN121" s="1785">
        <f>IF('R&amp;C-Painel de Controle'!$D$25="Sim",(AN125+AN128+AN131+AN134+AN137+AN140+AN143+AN146)*('R&amp;C-Painel de Controle'!$D$26),0)</f>
        <v>0</v>
      </c>
      <c r="AO121" s="1785">
        <f>IF('R&amp;C-Painel de Controle'!$D$25="Sim",(AO125+AO128+AO131+AO134+AO137+AO140+AO143+AO146)*('R&amp;C-Painel de Controle'!$D$26),0)</f>
        <v>0</v>
      </c>
      <c r="AP121" s="1785">
        <f>IF('R&amp;C-Painel de Controle'!$D$25="Sim",(AP125+AP128+AP131+AP134+AP137+AP140+AP143+AP146)*('R&amp;C-Painel de Controle'!$D$26),0)</f>
        <v>0</v>
      </c>
      <c r="AQ121" s="1785">
        <f>IF('R&amp;C-Painel de Controle'!$D$25="Sim",(AQ125+AQ128+AQ131+AQ134+AQ137+AQ140+AQ143+AQ146)*('R&amp;C-Painel de Controle'!$D$26),0)</f>
        <v>0</v>
      </c>
      <c r="AR121" s="1785">
        <f>IF('R&amp;C-Painel de Controle'!$D$25="Sim",(AR125+AR128+AR131+AR134+AR137+AR140+AR143+AR146)*('R&amp;C-Painel de Controle'!$D$26),0)</f>
        <v>0</v>
      </c>
      <c r="AS121" s="1785">
        <f>IF('R&amp;C-Painel de Controle'!$D$25="Sim",(AS125+AS128+AS131+AS134+AS137+AS140+AS143+AS146)*('R&amp;C-Painel de Controle'!$D$26),0)</f>
        <v>0</v>
      </c>
      <c r="AT121" s="1785">
        <f>IF('R&amp;C-Painel de Controle'!$D$25="Sim",(AT125+AT128+AT131+AT134+AT137+AT140+AT143+AT146)*('R&amp;C-Painel de Controle'!$D$26),0)</f>
        <v>0</v>
      </c>
      <c r="AU121" s="1785">
        <f>IF('R&amp;C-Painel de Controle'!$D$25="Sim",(AU125+AU128+AU131+AU134+AU137+AU140+AU143+AU146)*('R&amp;C-Painel de Controle'!$D$26),0)</f>
        <v>0</v>
      </c>
      <c r="AV121" s="1785">
        <f>IF('R&amp;C-Painel de Controle'!$D$25="Sim",(AV125+AV128+AV131+AV134+AV137+AV140+AV143+AV146)*('R&amp;C-Painel de Controle'!$D$26),0)</f>
        <v>0</v>
      </c>
      <c r="AW121" s="1785">
        <f>IF('R&amp;C-Painel de Controle'!$D$25="Sim",(AW125+AW128+AW131+AW134+AW137+AW140+AW143+AW146)*('R&amp;C-Painel de Controle'!$D$26),0)</f>
        <v>0</v>
      </c>
      <c r="AX121" s="1785">
        <f>IF('R&amp;C-Painel de Controle'!$D$25="Sim",(AX125+AX128+AX131+AX134+AX137+AX140+AX143+AX146)*('R&amp;C-Painel de Controle'!$D$26),0)</f>
        <v>0</v>
      </c>
      <c r="AY121" s="1785">
        <f>IF('R&amp;C-Painel de Controle'!$D$25="Sim",(AY125+AY128+AY131+AY134+AY137+AY140+AY143+AY146)*('R&amp;C-Painel de Controle'!$D$26),0)</f>
        <v>0</v>
      </c>
      <c r="AZ121" s="1785">
        <f>IF('R&amp;C-Painel de Controle'!$D$25="Sim",(AZ125+AZ128+AZ131+AZ134+AZ137+AZ140+AZ143+AZ146)*('R&amp;C-Painel de Controle'!$D$26),0)</f>
        <v>0</v>
      </c>
      <c r="BA121" s="1785">
        <f>IF('R&amp;C-Painel de Controle'!$D$25="Sim",(BA125+BA128+BA131+BA134+BA137+BA140+BA143+BA146)*('R&amp;C-Painel de Controle'!$D$26),0)</f>
        <v>0</v>
      </c>
      <c r="BB121" s="1785">
        <f>IF('R&amp;C-Painel de Controle'!$D$25="Sim",(BB125+BB128+BB131+BB134+BB137+BB140+BB143+BB146)*('R&amp;C-Painel de Controle'!$D$26),0)</f>
        <v>0</v>
      </c>
      <c r="BC121" s="1785">
        <f>IF('R&amp;C-Painel de Controle'!$D$25="Sim",(BC125+BC128+BC131+BC134+BC137+BC140+BC143+BC146)*('R&amp;C-Painel de Controle'!$D$26),0)</f>
        <v>0</v>
      </c>
    </row>
    <row r="122" spans="1:58" s="203" customFormat="1" ht="18" hidden="1" customHeight="1" outlineLevel="1" x14ac:dyDescent="0.35">
      <c r="A122" s="295"/>
      <c r="B122" s="281" t="s">
        <v>406</v>
      </c>
      <c r="C122" s="1770" t="s">
        <v>407</v>
      </c>
      <c r="D122" s="1770" t="s">
        <v>291</v>
      </c>
      <c r="E122" s="1770"/>
      <c r="F122" s="1770"/>
      <c r="G122" s="1770"/>
      <c r="H122" s="1770"/>
      <c r="I122" s="1770"/>
      <c r="J122" s="1770"/>
      <c r="K122" s="1770"/>
      <c r="L122" s="1770"/>
      <c r="M122" s="1770"/>
      <c r="N122" s="1770"/>
      <c r="O122" s="1770"/>
      <c r="P122" s="1770"/>
      <c r="Q122" s="1770"/>
      <c r="R122" s="1770"/>
      <c r="S122" s="1770"/>
      <c r="T122" s="1770"/>
      <c r="U122" s="1770"/>
      <c r="V122" s="1770"/>
      <c r="W122" s="1770"/>
      <c r="X122" s="1770"/>
      <c r="Y122" s="1770"/>
      <c r="Z122" s="1770"/>
      <c r="AA122" s="1770"/>
      <c r="AB122" s="1770"/>
      <c r="AC122" s="1770"/>
      <c r="AD122" s="1770"/>
      <c r="AE122" s="1770"/>
      <c r="AF122" s="1770"/>
      <c r="AG122" s="1770"/>
      <c r="AH122" s="1770"/>
      <c r="AI122" s="1770"/>
      <c r="AJ122" s="1770"/>
      <c r="AK122" s="1770"/>
      <c r="AL122" s="1770"/>
      <c r="AM122" s="1770"/>
      <c r="AN122" s="1770"/>
      <c r="AO122" s="1770"/>
      <c r="AP122" s="1770"/>
      <c r="AQ122" s="1770"/>
      <c r="AR122" s="1770"/>
      <c r="AS122" s="1770"/>
      <c r="AT122" s="1770"/>
      <c r="AU122" s="1770"/>
      <c r="AV122" s="1770"/>
      <c r="AW122" s="1770"/>
      <c r="AX122" s="1770"/>
      <c r="AY122" s="1770"/>
      <c r="AZ122" s="1770"/>
      <c r="BA122" s="1770"/>
      <c r="BB122" s="1770"/>
      <c r="BC122" s="1770"/>
      <c r="BD122" s="295"/>
      <c r="BE122" s="295"/>
      <c r="BF122" s="295"/>
    </row>
    <row r="123" spans="1:58" s="203" customFormat="1" ht="18" hidden="1" customHeight="1" outlineLevel="1" x14ac:dyDescent="0.35">
      <c r="B123" s="859" t="str">
        <f t="shared" ref="B123:D123" si="71">B92</f>
        <v>Triagem Manual — Seletivos</v>
      </c>
      <c r="C123" s="1768" t="str">
        <f t="shared" si="71"/>
        <v>Sim</v>
      </c>
      <c r="D123" s="1768">
        <f t="shared" si="71"/>
        <v>15493.499999999998</v>
      </c>
      <c r="E123" s="1686"/>
      <c r="F123" s="1686"/>
      <c r="G123" s="1686"/>
      <c r="H123" s="1686"/>
      <c r="I123" s="1686"/>
      <c r="J123" s="1686"/>
      <c r="K123" s="1686"/>
      <c r="L123" s="1686"/>
      <c r="M123" s="1686"/>
      <c r="N123" s="1686"/>
      <c r="O123" s="1686"/>
      <c r="P123" s="1686"/>
      <c r="Q123" s="1686"/>
      <c r="R123" s="1765"/>
      <c r="S123" s="1686"/>
      <c r="T123" s="1686"/>
      <c r="U123" s="1686"/>
      <c r="V123" s="1686"/>
      <c r="W123" s="1686"/>
      <c r="X123" s="1686"/>
      <c r="Y123" s="1686"/>
      <c r="Z123" s="1686"/>
      <c r="AA123" s="1686"/>
      <c r="AB123" s="1686"/>
      <c r="AC123" s="1686"/>
      <c r="AD123" s="1686"/>
      <c r="AE123" s="1686"/>
      <c r="AF123" s="1686"/>
      <c r="AG123" s="1686"/>
      <c r="AH123" s="1686"/>
      <c r="AI123" s="1686"/>
      <c r="AJ123" s="1686"/>
      <c r="AK123" s="1686"/>
      <c r="AL123" s="1686"/>
      <c r="AM123" s="1686"/>
      <c r="AN123" s="1686"/>
      <c r="AO123" s="1686"/>
      <c r="AP123" s="1686"/>
      <c r="AQ123" s="1686"/>
      <c r="AR123" s="1686"/>
      <c r="AS123" s="1686"/>
      <c r="AT123" s="1686"/>
      <c r="AU123" s="1686"/>
      <c r="AV123" s="1686"/>
      <c r="AW123" s="1686"/>
      <c r="AX123" s="1686"/>
      <c r="AY123" s="1686"/>
      <c r="AZ123" s="1686"/>
      <c r="BA123" s="1686"/>
      <c r="BB123" s="1686"/>
      <c r="BC123" s="1686"/>
    </row>
    <row r="124" spans="1:58" s="203" customFormat="1" ht="18" hidden="1" customHeight="1" outlineLevel="1" x14ac:dyDescent="0.35">
      <c r="B124" s="284"/>
      <c r="C124" s="1776"/>
      <c r="D124" s="1777"/>
      <c r="E124" s="1776"/>
      <c r="F124" s="1776"/>
      <c r="G124" s="1776"/>
      <c r="H124" s="1776"/>
      <c r="I124" s="1776"/>
      <c r="J124" s="1776"/>
      <c r="K124" s="1776"/>
      <c r="L124" s="1776"/>
      <c r="M124" s="1776"/>
      <c r="N124" s="1776"/>
      <c r="O124" s="1776"/>
      <c r="P124" s="1776"/>
      <c r="Q124" s="1776"/>
      <c r="R124" s="1776"/>
      <c r="S124" s="1776"/>
      <c r="T124" s="1776"/>
      <c r="U124" s="1776"/>
      <c r="V124" s="1776"/>
      <c r="W124" s="1776"/>
      <c r="X124" s="1776"/>
      <c r="Y124" s="1776"/>
      <c r="Z124" s="1776"/>
      <c r="AA124" s="1776"/>
      <c r="AB124" s="1776"/>
      <c r="AC124" s="1776"/>
      <c r="AD124" s="1776"/>
      <c r="AE124" s="1776"/>
      <c r="AF124" s="1776"/>
      <c r="AG124" s="1776"/>
      <c r="AH124" s="1776"/>
      <c r="AI124" s="1776"/>
      <c r="AJ124" s="1776"/>
      <c r="AK124" s="1776"/>
      <c r="AL124" s="1776"/>
      <c r="AM124" s="1776"/>
      <c r="AN124" s="1776"/>
      <c r="AO124" s="1776"/>
      <c r="AP124" s="1776"/>
      <c r="AQ124" s="1776"/>
      <c r="AR124" s="1776"/>
      <c r="AS124" s="1776"/>
      <c r="AT124" s="1776"/>
      <c r="AU124" s="1776"/>
      <c r="AV124" s="1776"/>
      <c r="AW124" s="1776"/>
      <c r="AX124" s="1776"/>
      <c r="AY124" s="1776"/>
      <c r="AZ124" s="1776"/>
      <c r="BA124" s="1776"/>
      <c r="BB124" s="1776"/>
      <c r="BC124" s="1776"/>
      <c r="BD124" s="292"/>
      <c r="BE124" s="292"/>
      <c r="BF124" s="292"/>
    </row>
    <row r="125" spans="1:58" s="203" customFormat="1" ht="18" hidden="1" customHeight="1" outlineLevel="1" x14ac:dyDescent="0.35">
      <c r="B125" s="284" t="s">
        <v>412</v>
      </c>
      <c r="C125" s="1780">
        <v>0</v>
      </c>
      <c r="D125" s="1787">
        <v>0</v>
      </c>
      <c r="E125" s="1780">
        <v>0</v>
      </c>
      <c r="F125" s="1780">
        <v>0</v>
      </c>
      <c r="G125" s="1780">
        <v>0</v>
      </c>
      <c r="H125" s="1780">
        <v>0</v>
      </c>
      <c r="I125" s="1780">
        <v>0</v>
      </c>
      <c r="J125" s="1780">
        <v>0</v>
      </c>
      <c r="K125" s="1780">
        <v>0</v>
      </c>
      <c r="L125" s="1780">
        <v>0</v>
      </c>
      <c r="M125" s="1780">
        <v>0</v>
      </c>
      <c r="N125" s="1780">
        <v>0</v>
      </c>
      <c r="O125" s="1780">
        <v>0</v>
      </c>
      <c r="P125" s="1780">
        <v>0</v>
      </c>
      <c r="Q125" s="1780">
        <v>0</v>
      </c>
      <c r="R125" s="1780">
        <v>0</v>
      </c>
      <c r="S125" s="1780">
        <v>0</v>
      </c>
      <c r="T125" s="1780">
        <v>0</v>
      </c>
      <c r="U125" s="1780">
        <v>0</v>
      </c>
      <c r="V125" s="1780">
        <v>0</v>
      </c>
      <c r="W125" s="1780">
        <v>0</v>
      </c>
      <c r="X125" s="1780">
        <v>0</v>
      </c>
      <c r="Y125" s="1780">
        <v>0</v>
      </c>
      <c r="Z125" s="1780">
        <v>0</v>
      </c>
      <c r="AA125" s="1780">
        <v>0</v>
      </c>
      <c r="AB125" s="1780">
        <v>0</v>
      </c>
      <c r="AC125" s="1780">
        <v>0</v>
      </c>
      <c r="AD125" s="1780">
        <v>0</v>
      </c>
      <c r="AE125" s="1780">
        <v>0</v>
      </c>
      <c r="AF125" s="1780">
        <v>0</v>
      </c>
      <c r="AG125" s="1780">
        <v>0</v>
      </c>
      <c r="AH125" s="1780">
        <v>0</v>
      </c>
      <c r="AI125" s="1780">
        <v>0</v>
      </c>
      <c r="AJ125" s="1780">
        <v>0</v>
      </c>
      <c r="AK125" s="1780">
        <v>0</v>
      </c>
      <c r="AL125" s="1780">
        <v>0</v>
      </c>
      <c r="AM125" s="1780">
        <v>0</v>
      </c>
      <c r="AN125" s="1780">
        <v>0</v>
      </c>
      <c r="AO125" s="1780">
        <v>0</v>
      </c>
      <c r="AP125" s="1780">
        <v>0</v>
      </c>
      <c r="AQ125" s="1780">
        <v>0</v>
      </c>
      <c r="AR125" s="1780">
        <v>0</v>
      </c>
      <c r="AS125" s="1780">
        <v>0</v>
      </c>
      <c r="AT125" s="1780">
        <v>0</v>
      </c>
      <c r="AU125" s="1780">
        <v>0</v>
      </c>
      <c r="AV125" s="1780">
        <v>0</v>
      </c>
      <c r="AW125" s="1780">
        <v>0</v>
      </c>
      <c r="AX125" s="1780">
        <v>0</v>
      </c>
      <c r="AY125" s="1780">
        <v>0</v>
      </c>
      <c r="AZ125" s="1780">
        <v>0</v>
      </c>
      <c r="BA125" s="1780">
        <v>0</v>
      </c>
      <c r="BB125" s="1780">
        <v>0</v>
      </c>
      <c r="BC125" s="1780">
        <v>0</v>
      </c>
      <c r="BD125" s="297"/>
      <c r="BE125" s="297"/>
      <c r="BF125" s="297"/>
    </row>
    <row r="126" spans="1:58" s="203" customFormat="1" ht="18" hidden="1" customHeight="1" outlineLevel="1" x14ac:dyDescent="0.35">
      <c r="B126" s="859" t="str">
        <f t="shared" ref="B126:D126" si="72">B95</f>
        <v>Triagem Mecanizada</v>
      </c>
      <c r="C126" s="1768" t="str">
        <f t="shared" si="72"/>
        <v>Sim</v>
      </c>
      <c r="D126" s="1768">
        <f t="shared" si="72"/>
        <v>692982</v>
      </c>
      <c r="E126" s="1775"/>
      <c r="F126" s="1775"/>
      <c r="G126" s="1775"/>
      <c r="H126" s="1775"/>
      <c r="I126" s="1775"/>
      <c r="J126" s="1775"/>
      <c r="K126" s="1775"/>
      <c r="L126" s="1775"/>
      <c r="M126" s="1775"/>
      <c r="N126" s="1775"/>
      <c r="O126" s="1775"/>
      <c r="P126" s="1775"/>
      <c r="Q126" s="1775"/>
      <c r="R126" s="1775"/>
      <c r="S126" s="1775"/>
      <c r="T126" s="1775"/>
      <c r="U126" s="1775"/>
      <c r="V126" s="1775"/>
      <c r="W126" s="1775"/>
      <c r="X126" s="1775"/>
      <c r="Y126" s="1775"/>
      <c r="Z126" s="1775"/>
      <c r="AA126" s="1775"/>
      <c r="AB126" s="1775"/>
      <c r="AC126" s="1775"/>
      <c r="AD126" s="1775"/>
      <c r="AE126" s="1775"/>
      <c r="AF126" s="1775"/>
      <c r="AG126" s="1775"/>
      <c r="AH126" s="1775"/>
      <c r="AI126" s="1775"/>
      <c r="AJ126" s="1775"/>
      <c r="AK126" s="1775"/>
      <c r="AL126" s="1775"/>
      <c r="AM126" s="1775"/>
      <c r="AN126" s="1775"/>
      <c r="AO126" s="1775"/>
      <c r="AP126" s="1775"/>
      <c r="AQ126" s="1775"/>
      <c r="AR126" s="1775"/>
      <c r="AS126" s="1775"/>
      <c r="AT126" s="1775"/>
      <c r="AU126" s="1775"/>
      <c r="AV126" s="1775"/>
      <c r="AW126" s="1775"/>
      <c r="AX126" s="1775"/>
      <c r="AY126" s="1775"/>
      <c r="AZ126" s="1775"/>
      <c r="BA126" s="1775"/>
      <c r="BB126" s="1775"/>
      <c r="BC126" s="1791"/>
      <c r="BD126" s="292"/>
      <c r="BE126" s="292"/>
      <c r="BF126" s="292"/>
    </row>
    <row r="127" spans="1:58" s="203" customFormat="1" ht="18" hidden="1" customHeight="1" outlineLevel="1" x14ac:dyDescent="0.35">
      <c r="B127" s="284"/>
      <c r="C127" s="1776"/>
      <c r="D127" s="1777"/>
      <c r="E127" s="1776"/>
      <c r="F127" s="1776"/>
      <c r="G127" s="1776"/>
      <c r="H127" s="1776"/>
      <c r="I127" s="1776"/>
      <c r="J127" s="1776"/>
      <c r="K127" s="1776"/>
      <c r="L127" s="1776"/>
      <c r="M127" s="1776"/>
      <c r="N127" s="1776"/>
      <c r="O127" s="1776"/>
      <c r="P127" s="1776"/>
      <c r="Q127" s="1776"/>
      <c r="R127" s="1776"/>
      <c r="S127" s="1776"/>
      <c r="T127" s="1776"/>
      <c r="U127" s="1776"/>
      <c r="V127" s="1776"/>
      <c r="W127" s="1776"/>
      <c r="X127" s="1776"/>
      <c r="Y127" s="1776"/>
      <c r="Z127" s="1776"/>
      <c r="AA127" s="1776"/>
      <c r="AB127" s="1776"/>
      <c r="AC127" s="1776"/>
      <c r="AD127" s="1776"/>
      <c r="AE127" s="1776"/>
      <c r="AF127" s="1776"/>
      <c r="AG127" s="1776"/>
      <c r="AH127" s="1776"/>
      <c r="AI127" s="1776"/>
      <c r="AJ127" s="1776"/>
      <c r="AK127" s="1776"/>
      <c r="AL127" s="1776"/>
      <c r="AM127" s="1776"/>
      <c r="AN127" s="1776"/>
      <c r="AO127" s="1776"/>
      <c r="AP127" s="1776"/>
      <c r="AQ127" s="1776"/>
      <c r="AR127" s="1776"/>
      <c r="AS127" s="1776"/>
      <c r="AT127" s="1776"/>
      <c r="AU127" s="1776"/>
      <c r="AV127" s="1776"/>
      <c r="AW127" s="1776"/>
      <c r="AX127" s="1776"/>
      <c r="AY127" s="1776"/>
      <c r="AZ127" s="1776"/>
      <c r="BA127" s="1776"/>
      <c r="BB127" s="1776"/>
      <c r="BC127" s="1776"/>
      <c r="BD127" s="292"/>
      <c r="BE127" s="292"/>
      <c r="BF127" s="292"/>
    </row>
    <row r="128" spans="1:58" s="203" customFormat="1" ht="18" hidden="1" customHeight="1" outlineLevel="1" x14ac:dyDescent="0.35">
      <c r="B128" s="284" t="s">
        <v>412</v>
      </c>
      <c r="C128" s="1780">
        <v>0</v>
      </c>
      <c r="D128" s="1787">
        <f>IF(D42&gt;0,'R&amp;C-Painel de Controle'!$O$57*D35/1000000,0)</f>
        <v>0</v>
      </c>
      <c r="E128" s="1780">
        <f>IF(E42&gt;0,'R&amp;C-Painel de Controle'!$O$57*E35/1000000,0)</f>
        <v>57.851084719749203</v>
      </c>
      <c r="F128" s="1780">
        <f>IF(F42&gt;0,'R&amp;C-Painel de Controle'!$O$57*F35/1000000,0)</f>
        <v>57.851084719749203</v>
      </c>
      <c r="G128" s="1780">
        <f>IF(G42&gt;0,'R&amp;C-Painel de Controle'!$O$57*G35/1000000,0)</f>
        <v>57.851084719749203</v>
      </c>
      <c r="H128" s="1780">
        <f>IF(H42&gt;0,'R&amp;C-Painel de Controle'!$O$57*H35/1000000,0)</f>
        <v>57.851084719749203</v>
      </c>
      <c r="I128" s="1780">
        <f>IF(I42&gt;0,'R&amp;C-Painel de Controle'!$O$57*I35/1000000,0)</f>
        <v>57.851084719749203</v>
      </c>
      <c r="J128" s="1780">
        <f>IF(J42&gt;0,'R&amp;C-Painel de Controle'!$O$57*J35/1000000,0)</f>
        <v>57.851084719749203</v>
      </c>
      <c r="K128" s="1780">
        <f>IF(K42&gt;0,'R&amp;C-Painel de Controle'!$O$57*K35/1000000,0)</f>
        <v>57.851084719749203</v>
      </c>
      <c r="L128" s="1780">
        <f>IF(L42&gt;0,'R&amp;C-Painel de Controle'!$O$57*L35/1000000,0)</f>
        <v>57.851084719749203</v>
      </c>
      <c r="M128" s="1780">
        <f>IF(M42&gt;0,'R&amp;C-Painel de Controle'!$O$57*M35/1000000,0)</f>
        <v>57.851084719749203</v>
      </c>
      <c r="N128" s="1780">
        <f>IF(N42&gt;0,'R&amp;C-Painel de Controle'!$O$57*N35/1000000,0)</f>
        <v>57.851084719749203</v>
      </c>
      <c r="O128" s="1780">
        <f>IF(O42&gt;0,'R&amp;C-Painel de Controle'!$O$57*O35/1000000,0)</f>
        <v>57.851084719749203</v>
      </c>
      <c r="P128" s="1780">
        <f>IF(P42&gt;0,'R&amp;C-Painel de Controle'!$O$57*P35/1000000,0)</f>
        <v>57.851084719749203</v>
      </c>
      <c r="Q128" s="1780">
        <f>IF(Q42&gt;0,'R&amp;C-Painel de Controle'!$O$57*Q35/1000000,0)</f>
        <v>57.851084719749203</v>
      </c>
      <c r="R128" s="1780">
        <f>IF(R42&gt;0,'R&amp;C-Painel de Controle'!$O$57*R35/1000000,0)</f>
        <v>57.851084719749203</v>
      </c>
      <c r="S128" s="1780">
        <f>IF(S42&gt;0,'R&amp;C-Painel de Controle'!$O$57*S35/1000000,0)</f>
        <v>57.851084719749203</v>
      </c>
      <c r="T128" s="1780">
        <f>IF(T42&gt;0,'R&amp;C-Painel de Controle'!$O$57*T35/1000000,0)</f>
        <v>57.851084719749203</v>
      </c>
      <c r="U128" s="1780">
        <f>IF(U42&gt;0,'R&amp;C-Painel de Controle'!$O$57*U35/1000000,0)</f>
        <v>57.851084719749203</v>
      </c>
      <c r="V128" s="1780">
        <f>IF(V42&gt;0,'R&amp;C-Painel de Controle'!$O$57*V35/1000000,0)</f>
        <v>57.851084719749203</v>
      </c>
      <c r="W128" s="1780">
        <f>IF(W42&gt;0,'R&amp;C-Painel de Controle'!$O$57*W35/1000000,0)</f>
        <v>57.851084719749203</v>
      </c>
      <c r="X128" s="1780">
        <f>IF(X42&gt;0,'R&amp;C-Painel de Controle'!$O$57*X35/1000000,0)</f>
        <v>57.851084719749203</v>
      </c>
      <c r="Y128" s="1780">
        <f>IF(Y42&gt;0,'R&amp;C-Painel de Controle'!$O$57*Y35/1000000,0)</f>
        <v>57.851084719749203</v>
      </c>
      <c r="Z128" s="1780">
        <f>IF(Z42&gt;0,'R&amp;C-Painel de Controle'!$O$57*Z35/1000000,0)</f>
        <v>57.851084719749203</v>
      </c>
      <c r="AA128" s="1780">
        <f>IF(AA42&gt;0,'R&amp;C-Painel de Controle'!$O$57*AA35/1000000,0)</f>
        <v>57.851084719749203</v>
      </c>
      <c r="AB128" s="1780">
        <f>IF(AB42&gt;0,'R&amp;C-Painel de Controle'!$O$57*AB35/1000000,0)</f>
        <v>57.851084719749203</v>
      </c>
      <c r="AC128" s="1780">
        <f>IF(AC42&gt;0,'R&amp;C-Painel de Controle'!$O$57*AC35/1000000,0)</f>
        <v>57.851084719749203</v>
      </c>
      <c r="AD128" s="1780">
        <f>IF(AD42&gt;0,'R&amp;C-Painel de Controle'!$O$57*AD35/1000000,0)</f>
        <v>57.851084719749203</v>
      </c>
      <c r="AE128" s="1780">
        <f>IF(AE42&gt;0,'R&amp;C-Painel de Controle'!$O$57*AE35/1000000,0)</f>
        <v>57.851084719749203</v>
      </c>
      <c r="AF128" s="1780">
        <f>IF(AF42&gt;0,'R&amp;C-Painel de Controle'!$O$57*AF35/1000000,0)</f>
        <v>57.851084719749203</v>
      </c>
      <c r="AG128" s="1780">
        <f>IF(AG42&gt;0,'R&amp;C-Painel de Controle'!$O$57*AG35/1000000,0)</f>
        <v>57.851084719749203</v>
      </c>
      <c r="AH128" s="1780">
        <f>IF(AH42&gt;0,'R&amp;C-Painel de Controle'!$O$57*AH35/1000000,0)</f>
        <v>57.851084719749203</v>
      </c>
      <c r="AI128" s="1780">
        <f>IF(AI42&gt;0,'R&amp;C-Painel de Controle'!$O$57*AI35/1000000,0)</f>
        <v>57.851084719749203</v>
      </c>
      <c r="AJ128" s="1780">
        <f>IF(AJ42&gt;0,'R&amp;C-Painel de Controle'!$O$57*AJ35/1000000,0)</f>
        <v>57.851084719749203</v>
      </c>
      <c r="AK128" s="1780">
        <f>IF(AK42&gt;0,'R&amp;C-Painel de Controle'!$O$57*AK35/1000000,0)</f>
        <v>57.851084719749203</v>
      </c>
      <c r="AL128" s="1780">
        <f>IF(AL42&gt;0,'R&amp;C-Painel de Controle'!$O$57*AL35/1000000,0)</f>
        <v>57.851084719749203</v>
      </c>
      <c r="AM128" s="1780">
        <f>IF(AM42&gt;0,'R&amp;C-Painel de Controle'!$O$57*AM35/1000000,0)</f>
        <v>57.851084719749203</v>
      </c>
      <c r="AN128" s="1780">
        <f>IF(AN42&gt;0,'R&amp;C-Painel de Controle'!$O$57*AN35/1000000,0)</f>
        <v>57.851084719749203</v>
      </c>
      <c r="AO128" s="1780">
        <f>IF(AO42&gt;0,'R&amp;C-Painel de Controle'!$O$57*AO35/1000000,0)</f>
        <v>57.851084719749203</v>
      </c>
      <c r="AP128" s="1780">
        <f>IF(AP42&gt;0,'R&amp;C-Painel de Controle'!$O$57*AP35/1000000,0)</f>
        <v>57.851084719749203</v>
      </c>
      <c r="AQ128" s="1780">
        <f>IF(AQ42&gt;0,'R&amp;C-Painel de Controle'!$O$57*AQ35/1000000,0)</f>
        <v>57.851084719749203</v>
      </c>
      <c r="AR128" s="1780">
        <f>IF(AR42&gt;0,'R&amp;C-Painel de Controle'!$O$57*AR35/1000000,0)</f>
        <v>57.851084719749203</v>
      </c>
      <c r="AS128" s="1780">
        <f>IF(AS42&gt;0,'R&amp;C-Painel de Controle'!$O$57*AS35/1000000,0)</f>
        <v>57.851084719749203</v>
      </c>
      <c r="AT128" s="1780">
        <f>IF(AT42&gt;0,'R&amp;C-Painel de Controle'!$O$57*AT35/1000000,0)</f>
        <v>57.851084719749203</v>
      </c>
      <c r="AU128" s="1780">
        <f>IF(AU42&gt;0,'R&amp;C-Painel de Controle'!$O$57*AU35/1000000,0)</f>
        <v>57.851084719749203</v>
      </c>
      <c r="AV128" s="1780">
        <f>IF(AV42&gt;0,'R&amp;C-Painel de Controle'!$O$57*AV35/1000000,0)</f>
        <v>57.851084719749203</v>
      </c>
      <c r="AW128" s="1780">
        <f>IF(AW42&gt;0,'R&amp;C-Painel de Controle'!$O$57*AW35/1000000,0)</f>
        <v>57.851084719749203</v>
      </c>
      <c r="AX128" s="1780">
        <f>IF(AX42&gt;0,'R&amp;C-Painel de Controle'!$O$57*AX35/1000000,0)</f>
        <v>57.851084719749203</v>
      </c>
      <c r="AY128" s="1780">
        <f>IF(AY42&gt;0,'R&amp;C-Painel de Controle'!$O$57*AY35/1000000,0)</f>
        <v>57.851084719749203</v>
      </c>
      <c r="AZ128" s="1780">
        <f>IF(AZ42&gt;0,'R&amp;C-Painel de Controle'!$O$57*AZ35/1000000,0)</f>
        <v>57.851084719749203</v>
      </c>
      <c r="BA128" s="1780">
        <f>IF(BA42&gt;0,'R&amp;C-Painel de Controle'!$O$57*BA35/1000000,0)</f>
        <v>57.851084719749203</v>
      </c>
      <c r="BB128" s="1780">
        <f>IF(BB42&gt;0,'R&amp;C-Painel de Controle'!$O$57*BB35/1000000,0)</f>
        <v>57.851084719749203</v>
      </c>
      <c r="BC128" s="1780">
        <f>IF(BC42&gt;0,'R&amp;C-Painel de Controle'!$O$57*BC35/1000000,0)</f>
        <v>57.851084719749203</v>
      </c>
      <c r="BD128" s="297"/>
      <c r="BE128" s="297"/>
      <c r="BF128" s="297"/>
    </row>
    <row r="129" spans="2:58" s="203" customFormat="1" ht="18" hidden="1" customHeight="1" outlineLevel="1" x14ac:dyDescent="0.35">
      <c r="B129" s="859" t="str">
        <f t="shared" ref="B129:D129" si="73">B98</f>
        <v>Produção de CDR TM — Trat. Mec.</v>
      </c>
      <c r="C129" s="1768" t="str">
        <f t="shared" si="73"/>
        <v>Sim</v>
      </c>
      <c r="D129" s="1768">
        <f t="shared" si="73"/>
        <v>60847.200000000004</v>
      </c>
      <c r="E129" s="1686"/>
      <c r="F129" s="1686"/>
      <c r="G129" s="1686"/>
      <c r="H129" s="1686"/>
      <c r="I129" s="1686"/>
      <c r="J129" s="1686"/>
      <c r="K129" s="1686"/>
      <c r="L129" s="1686"/>
      <c r="M129" s="1686"/>
      <c r="N129" s="1686"/>
      <c r="O129" s="1686"/>
      <c r="P129" s="1686"/>
      <c r="Q129" s="1686"/>
      <c r="R129" s="1686"/>
      <c r="S129" s="1686"/>
      <c r="T129" s="1686"/>
      <c r="U129" s="1686"/>
      <c r="V129" s="1686"/>
      <c r="W129" s="1686"/>
      <c r="X129" s="1686"/>
      <c r="Y129" s="1686"/>
      <c r="Z129" s="1686"/>
      <c r="AA129" s="1686"/>
      <c r="AB129" s="1686"/>
      <c r="AC129" s="1686"/>
      <c r="AD129" s="1686"/>
      <c r="AE129" s="1686"/>
      <c r="AF129" s="1686"/>
      <c r="AG129" s="1686"/>
      <c r="AH129" s="1686"/>
      <c r="AI129" s="1686"/>
      <c r="AJ129" s="1686"/>
      <c r="AK129" s="1686"/>
      <c r="AL129" s="1686"/>
      <c r="AM129" s="1686"/>
      <c r="AN129" s="1686"/>
      <c r="AO129" s="1686"/>
      <c r="AP129" s="1686"/>
      <c r="AQ129" s="1686"/>
      <c r="AR129" s="1686"/>
      <c r="AS129" s="1686"/>
      <c r="AT129" s="1686"/>
      <c r="AU129" s="1686"/>
      <c r="AV129" s="1686"/>
      <c r="AW129" s="1686"/>
      <c r="AX129" s="1686"/>
      <c r="AY129" s="1686"/>
      <c r="AZ129" s="1686"/>
      <c r="BA129" s="1686"/>
      <c r="BB129" s="1686"/>
      <c r="BC129" s="1791"/>
      <c r="BD129" s="292"/>
      <c r="BE129" s="292"/>
      <c r="BF129" s="292"/>
    </row>
    <row r="130" spans="2:58" s="203" customFormat="1" ht="18" hidden="1" customHeight="1" outlineLevel="1" x14ac:dyDescent="0.35">
      <c r="B130" s="284"/>
      <c r="C130" s="1776"/>
      <c r="D130" s="1777"/>
      <c r="E130" s="1776"/>
      <c r="F130" s="1776"/>
      <c r="G130" s="1776"/>
      <c r="H130" s="1776"/>
      <c r="I130" s="1776"/>
      <c r="J130" s="1776"/>
      <c r="K130" s="1776"/>
      <c r="L130" s="1776"/>
      <c r="M130" s="1776"/>
      <c r="N130" s="1776"/>
      <c r="O130" s="1776"/>
      <c r="P130" s="1776"/>
      <c r="Q130" s="1776"/>
      <c r="R130" s="1776"/>
      <c r="S130" s="1776"/>
      <c r="T130" s="1776"/>
      <c r="U130" s="1776"/>
      <c r="V130" s="1776"/>
      <c r="W130" s="1776"/>
      <c r="X130" s="1776"/>
      <c r="Y130" s="1776"/>
      <c r="Z130" s="1776"/>
      <c r="AA130" s="1776"/>
      <c r="AB130" s="1776"/>
      <c r="AC130" s="1776"/>
      <c r="AD130" s="1776"/>
      <c r="AE130" s="1776"/>
      <c r="AF130" s="1776"/>
      <c r="AG130" s="1776"/>
      <c r="AH130" s="1776"/>
      <c r="AI130" s="1776"/>
      <c r="AJ130" s="1776"/>
      <c r="AK130" s="1776"/>
      <c r="AL130" s="1776"/>
      <c r="AM130" s="1776"/>
      <c r="AN130" s="1776"/>
      <c r="AO130" s="1776"/>
      <c r="AP130" s="1776"/>
      <c r="AQ130" s="1776"/>
      <c r="AR130" s="1776"/>
      <c r="AS130" s="1776"/>
      <c r="AT130" s="1776"/>
      <c r="AU130" s="1776"/>
      <c r="AV130" s="1776"/>
      <c r="AW130" s="1776"/>
      <c r="AX130" s="1776"/>
      <c r="AY130" s="1776"/>
      <c r="AZ130" s="1776"/>
      <c r="BA130" s="1776"/>
      <c r="BB130" s="1776"/>
      <c r="BC130" s="1776"/>
      <c r="BD130" s="292"/>
      <c r="BE130" s="292"/>
      <c r="BF130" s="292"/>
    </row>
    <row r="131" spans="2:58" s="203" customFormat="1" ht="18" hidden="1" customHeight="1" outlineLevel="1" x14ac:dyDescent="0.35">
      <c r="B131" s="284" t="s">
        <v>412</v>
      </c>
      <c r="C131" s="1780">
        <v>0</v>
      </c>
      <c r="D131" s="1787">
        <f>IF(D45&gt;0,'R&amp;C-Painel de Controle'!$O$60*D35/1000000,0)</f>
        <v>0</v>
      </c>
      <c r="E131" s="1780">
        <f>IF(E45&gt;0,'R&amp;C-Painel de Controle'!$O$60*E35/1000000,0)</f>
        <v>3.8790089999999999</v>
      </c>
      <c r="F131" s="1780">
        <f>IF(F45&gt;0,'R&amp;C-Painel de Controle'!$O$60*F35/1000000,0)</f>
        <v>3.8790089999999999</v>
      </c>
      <c r="G131" s="1780">
        <f>IF(G45&gt;0,'R&amp;C-Painel de Controle'!$O$60*G35/1000000,0)</f>
        <v>3.8790089999999999</v>
      </c>
      <c r="H131" s="1780">
        <f>IF(H45&gt;0,'R&amp;C-Painel de Controle'!$O$60*H35/1000000,0)</f>
        <v>3.8790089999999999</v>
      </c>
      <c r="I131" s="1780">
        <f>IF(I45&gt;0,'R&amp;C-Painel de Controle'!$O$60*I35/1000000,0)</f>
        <v>3.8790089999999999</v>
      </c>
      <c r="J131" s="1780">
        <f>IF(J45&gt;0,'R&amp;C-Painel de Controle'!$O$60*J35/1000000,0)</f>
        <v>3.8790089999999999</v>
      </c>
      <c r="K131" s="1780">
        <f>IF(K45&gt;0,'R&amp;C-Painel de Controle'!$O$60*K35/1000000,0)</f>
        <v>3.8790089999999999</v>
      </c>
      <c r="L131" s="1780">
        <f>IF(L45&gt;0,'R&amp;C-Painel de Controle'!$O$60*L35/1000000,0)</f>
        <v>3.8790089999999999</v>
      </c>
      <c r="M131" s="1780">
        <f>IF(M45&gt;0,'R&amp;C-Painel de Controle'!$O$60*M35/1000000,0)</f>
        <v>3.8790089999999999</v>
      </c>
      <c r="N131" s="1780">
        <f>IF(N45&gt;0,'R&amp;C-Painel de Controle'!$O$60*N35/1000000,0)</f>
        <v>3.8790089999999999</v>
      </c>
      <c r="O131" s="1780">
        <f>IF(O45&gt;0,'R&amp;C-Painel de Controle'!$O$60*O35/1000000,0)</f>
        <v>3.8790089999999999</v>
      </c>
      <c r="P131" s="1780">
        <f>IF(P45&gt;0,'R&amp;C-Painel de Controle'!$O$60*P35/1000000,0)</f>
        <v>3.8790089999999999</v>
      </c>
      <c r="Q131" s="1780">
        <f>IF(Q45&gt;0,'R&amp;C-Painel de Controle'!$O$60*Q35/1000000,0)</f>
        <v>3.8790089999999999</v>
      </c>
      <c r="R131" s="1780">
        <f>IF(R45&gt;0,'R&amp;C-Painel de Controle'!$O$60*R35/1000000,0)</f>
        <v>3.8790089999999999</v>
      </c>
      <c r="S131" s="1780">
        <f>IF(S45&gt;0,'R&amp;C-Painel de Controle'!$O$60*S35/1000000,0)</f>
        <v>3.8790089999999999</v>
      </c>
      <c r="T131" s="1780">
        <f>IF(T45&gt;0,'R&amp;C-Painel de Controle'!$O$60*T35/1000000,0)</f>
        <v>3.8790089999999999</v>
      </c>
      <c r="U131" s="1780">
        <f>IF(U45&gt;0,'R&amp;C-Painel de Controle'!$O$60*U35/1000000,0)</f>
        <v>3.8790089999999999</v>
      </c>
      <c r="V131" s="1780">
        <f>IF(V45&gt;0,'R&amp;C-Painel de Controle'!$O$60*V35/1000000,0)</f>
        <v>3.8790089999999999</v>
      </c>
      <c r="W131" s="1780">
        <f>IF(W45&gt;0,'R&amp;C-Painel de Controle'!$O$60*W35/1000000,0)</f>
        <v>3.8790089999999999</v>
      </c>
      <c r="X131" s="1780">
        <f>IF(X45&gt;0,'R&amp;C-Painel de Controle'!$O$60*X35/1000000,0)</f>
        <v>3.8790089999999999</v>
      </c>
      <c r="Y131" s="1780">
        <f>IF(Y45&gt;0,'R&amp;C-Painel de Controle'!$O$60*Y35/1000000,0)</f>
        <v>3.8790089999999999</v>
      </c>
      <c r="Z131" s="1780">
        <f>IF(Z45&gt;0,'R&amp;C-Painel de Controle'!$O$60*Z35/1000000,0)</f>
        <v>3.8790089999999999</v>
      </c>
      <c r="AA131" s="1780">
        <f>IF(AA45&gt;0,'R&amp;C-Painel de Controle'!$O$60*AA35/1000000,0)</f>
        <v>3.8790089999999999</v>
      </c>
      <c r="AB131" s="1780">
        <f>IF(AB45&gt;0,'R&amp;C-Painel de Controle'!$O$60*AB35/1000000,0)</f>
        <v>3.8790089999999999</v>
      </c>
      <c r="AC131" s="1780">
        <f>IF(AC45&gt;0,'R&amp;C-Painel de Controle'!$O$60*AC35/1000000,0)</f>
        <v>3.8790089999999999</v>
      </c>
      <c r="AD131" s="1780">
        <f>IF(AD45&gt;0,'R&amp;C-Painel de Controle'!$O$60*AD35/1000000,0)</f>
        <v>3.8790089999999999</v>
      </c>
      <c r="AE131" s="1780">
        <f>IF(AE45&gt;0,'R&amp;C-Painel de Controle'!$O$60*AE35/1000000,0)</f>
        <v>3.8790089999999999</v>
      </c>
      <c r="AF131" s="1780">
        <f>IF(AF45&gt;0,'R&amp;C-Painel de Controle'!$O$60*AF35/1000000,0)</f>
        <v>3.8790089999999999</v>
      </c>
      <c r="AG131" s="1780">
        <f>IF(AG45&gt;0,'R&amp;C-Painel de Controle'!$O$60*AG35/1000000,0)</f>
        <v>3.8790089999999999</v>
      </c>
      <c r="AH131" s="1780">
        <f>IF(AH45&gt;0,'R&amp;C-Painel de Controle'!$O$60*AH35/1000000,0)</f>
        <v>3.8790089999999999</v>
      </c>
      <c r="AI131" s="1780">
        <f>IF(AI45&gt;0,'R&amp;C-Painel de Controle'!$O$60*AI35/1000000,0)</f>
        <v>3.8790089999999999</v>
      </c>
      <c r="AJ131" s="1780">
        <f>IF(AJ45&gt;0,'R&amp;C-Painel de Controle'!$O$60*AJ35/1000000,0)</f>
        <v>3.8790089999999999</v>
      </c>
      <c r="AK131" s="1780">
        <f>IF(AK45&gt;0,'R&amp;C-Painel de Controle'!$O$60*AK35/1000000,0)</f>
        <v>3.8790089999999999</v>
      </c>
      <c r="AL131" s="1780">
        <f>IF(AL45&gt;0,'R&amp;C-Painel de Controle'!$O$60*AL35/1000000,0)</f>
        <v>3.8790089999999999</v>
      </c>
      <c r="AM131" s="1780">
        <f>IF(AM45&gt;0,'R&amp;C-Painel de Controle'!$O$60*AM35/1000000,0)</f>
        <v>3.8790089999999999</v>
      </c>
      <c r="AN131" s="1780">
        <f>IF(AN45&gt;0,'R&amp;C-Painel de Controle'!$O$60*AN35/1000000,0)</f>
        <v>3.8790089999999999</v>
      </c>
      <c r="AO131" s="1780">
        <f>IF(AO45&gt;0,'R&amp;C-Painel de Controle'!$O$60*AO35/1000000,0)</f>
        <v>3.8790089999999999</v>
      </c>
      <c r="AP131" s="1780">
        <f>IF(AP45&gt;0,'R&amp;C-Painel de Controle'!$O$60*AP35/1000000,0)</f>
        <v>3.8790089999999999</v>
      </c>
      <c r="AQ131" s="1780">
        <f>IF(AQ45&gt;0,'R&amp;C-Painel de Controle'!$O$60*AQ35/1000000,0)</f>
        <v>3.8790089999999999</v>
      </c>
      <c r="AR131" s="1780">
        <f>IF(AR45&gt;0,'R&amp;C-Painel de Controle'!$O$60*AR35/1000000,0)</f>
        <v>3.8790089999999999</v>
      </c>
      <c r="AS131" s="1780">
        <f>IF(AS45&gt;0,'R&amp;C-Painel de Controle'!$O$60*AS35/1000000,0)</f>
        <v>3.8790089999999999</v>
      </c>
      <c r="AT131" s="1780">
        <f>IF(AT45&gt;0,'R&amp;C-Painel de Controle'!$O$60*AT35/1000000,0)</f>
        <v>3.8790089999999999</v>
      </c>
      <c r="AU131" s="1780">
        <f>IF(AU45&gt;0,'R&amp;C-Painel de Controle'!$O$60*AU35/1000000,0)</f>
        <v>3.8790089999999999</v>
      </c>
      <c r="AV131" s="1780">
        <f>IF(AV45&gt;0,'R&amp;C-Painel de Controle'!$O$60*AV35/1000000,0)</f>
        <v>3.8790089999999999</v>
      </c>
      <c r="AW131" s="1780">
        <f>IF(AW45&gt;0,'R&amp;C-Painel de Controle'!$O$60*AW35/1000000,0)</f>
        <v>3.8790089999999999</v>
      </c>
      <c r="AX131" s="1780">
        <f>IF(AX45&gt;0,'R&amp;C-Painel de Controle'!$O$60*AX35/1000000,0)</f>
        <v>3.8790089999999999</v>
      </c>
      <c r="AY131" s="1780">
        <f>IF(AY45&gt;0,'R&amp;C-Painel de Controle'!$O$60*AY35/1000000,0)</f>
        <v>3.8790089999999999</v>
      </c>
      <c r="AZ131" s="1780">
        <f>IF(AZ45&gt;0,'R&amp;C-Painel de Controle'!$O$60*AZ35/1000000,0)</f>
        <v>3.8790089999999999</v>
      </c>
      <c r="BA131" s="1780">
        <f>IF(BA45&gt;0,'R&amp;C-Painel de Controle'!$O$60*BA35/1000000,0)</f>
        <v>3.8790089999999999</v>
      </c>
      <c r="BB131" s="1780">
        <f>IF(BB45&gt;0,'R&amp;C-Painel de Controle'!$O$60*BB35/1000000,0)</f>
        <v>3.8790089999999999</v>
      </c>
      <c r="BC131" s="1780">
        <f>IF(BC45&gt;0,'R&amp;C-Painel de Controle'!$O$60*BC35/1000000,0)</f>
        <v>3.8790089999999999</v>
      </c>
      <c r="BD131" s="297"/>
      <c r="BE131" s="297"/>
      <c r="BF131" s="297"/>
    </row>
    <row r="132" spans="2:58" s="203" customFormat="1" ht="18" hidden="1" customHeight="1" outlineLevel="1" x14ac:dyDescent="0.35">
      <c r="B132" s="859" t="str">
        <f t="shared" ref="B132:D132" si="74">B101</f>
        <v>Prod. CDR TMB — Trat. Mec./Biológ.</v>
      </c>
      <c r="C132" s="1768" t="str">
        <f t="shared" si="74"/>
        <v>Não</v>
      </c>
      <c r="D132" s="1768">
        <f t="shared" si="74"/>
        <v>0</v>
      </c>
      <c r="E132" s="1775"/>
      <c r="F132" s="1775"/>
      <c r="G132" s="1775"/>
      <c r="H132" s="1775"/>
      <c r="I132" s="1775"/>
      <c r="J132" s="1775"/>
      <c r="K132" s="1775"/>
      <c r="L132" s="1775"/>
      <c r="M132" s="1775"/>
      <c r="N132" s="1775"/>
      <c r="O132" s="1775"/>
      <c r="P132" s="1775"/>
      <c r="Q132" s="1775"/>
      <c r="R132" s="1775"/>
      <c r="S132" s="1775"/>
      <c r="T132" s="1775"/>
      <c r="U132" s="1775"/>
      <c r="V132" s="1775"/>
      <c r="W132" s="1775"/>
      <c r="X132" s="1775"/>
      <c r="Y132" s="1775"/>
      <c r="Z132" s="1775"/>
      <c r="AA132" s="1775"/>
      <c r="AB132" s="1775"/>
      <c r="AC132" s="1775"/>
      <c r="AD132" s="1775"/>
      <c r="AE132" s="1775"/>
      <c r="AF132" s="1775"/>
      <c r="AG132" s="1775"/>
      <c r="AH132" s="1775"/>
      <c r="AI132" s="1775"/>
      <c r="AJ132" s="1775"/>
      <c r="AK132" s="1775"/>
      <c r="AL132" s="1775"/>
      <c r="AM132" s="1775"/>
      <c r="AN132" s="1775"/>
      <c r="AO132" s="1775"/>
      <c r="AP132" s="1775"/>
      <c r="AQ132" s="1775"/>
      <c r="AR132" s="1775"/>
      <c r="AS132" s="1775"/>
      <c r="AT132" s="1775"/>
      <c r="AU132" s="1775"/>
      <c r="AV132" s="1775"/>
      <c r="AW132" s="1775"/>
      <c r="AX132" s="1775"/>
      <c r="AY132" s="1775"/>
      <c r="AZ132" s="1775"/>
      <c r="BA132" s="1775"/>
      <c r="BB132" s="1775"/>
      <c r="BC132" s="1791"/>
      <c r="BD132" s="292"/>
      <c r="BE132" s="292"/>
      <c r="BF132" s="292"/>
    </row>
    <row r="133" spans="2:58" s="203" customFormat="1" ht="18" hidden="1" customHeight="1" outlineLevel="1" x14ac:dyDescent="0.35">
      <c r="B133" s="284"/>
      <c r="C133" s="1776"/>
      <c r="D133" s="1768"/>
      <c r="E133" s="1776"/>
      <c r="F133" s="1776"/>
      <c r="G133" s="1776"/>
      <c r="H133" s="1776"/>
      <c r="I133" s="1776"/>
      <c r="J133" s="1776"/>
      <c r="K133" s="1776"/>
      <c r="L133" s="1776"/>
      <c r="M133" s="1776"/>
      <c r="N133" s="1776"/>
      <c r="O133" s="1776"/>
      <c r="P133" s="1776"/>
      <c r="Q133" s="1776"/>
      <c r="R133" s="1776"/>
      <c r="S133" s="1776"/>
      <c r="T133" s="1776"/>
      <c r="U133" s="1776"/>
      <c r="V133" s="1776"/>
      <c r="W133" s="1776"/>
      <c r="X133" s="1776"/>
      <c r="Y133" s="1776"/>
      <c r="Z133" s="1776"/>
      <c r="AA133" s="1776"/>
      <c r="AB133" s="1776"/>
      <c r="AC133" s="1776"/>
      <c r="AD133" s="1776"/>
      <c r="AE133" s="1776"/>
      <c r="AF133" s="1776"/>
      <c r="AG133" s="1776"/>
      <c r="AH133" s="1776"/>
      <c r="AI133" s="1776"/>
      <c r="AJ133" s="1776"/>
      <c r="AK133" s="1776"/>
      <c r="AL133" s="1776"/>
      <c r="AM133" s="1776"/>
      <c r="AN133" s="1776"/>
      <c r="AO133" s="1776"/>
      <c r="AP133" s="1776"/>
      <c r="AQ133" s="1776"/>
      <c r="AR133" s="1776"/>
      <c r="AS133" s="1776"/>
      <c r="AT133" s="1776"/>
      <c r="AU133" s="1776"/>
      <c r="AV133" s="1776"/>
      <c r="AW133" s="1776"/>
      <c r="AX133" s="1776"/>
      <c r="AY133" s="1776"/>
      <c r="AZ133" s="1776"/>
      <c r="BA133" s="1776"/>
      <c r="BB133" s="1776"/>
      <c r="BC133" s="1776"/>
      <c r="BD133" s="292"/>
      <c r="BE133" s="292"/>
      <c r="BF133" s="292"/>
    </row>
    <row r="134" spans="2:58" s="203" customFormat="1" ht="18" hidden="1" customHeight="1" outlineLevel="1" x14ac:dyDescent="0.35">
      <c r="B134" s="284" t="s">
        <v>412</v>
      </c>
      <c r="C134" s="1780">
        <v>0</v>
      </c>
      <c r="D134" s="1787">
        <f>IF(D48&gt;0,'R&amp;C-Painel de Controle'!$O$63*D35/1000000,0)</f>
        <v>0</v>
      </c>
      <c r="E134" s="1780">
        <f>IF(E48&gt;0,'R&amp;C-Painel de Controle'!$O$63*E35/1000000,0)</f>
        <v>0</v>
      </c>
      <c r="F134" s="1780">
        <f>IF(F48&gt;0,'R&amp;C-Painel de Controle'!$O$63*F35/1000000,0)</f>
        <v>0</v>
      </c>
      <c r="G134" s="1780">
        <f>IF(G48&gt;0,'R&amp;C-Painel de Controle'!$O$63*G35/1000000,0)</f>
        <v>0</v>
      </c>
      <c r="H134" s="1780">
        <f>IF(H48&gt;0,'R&amp;C-Painel de Controle'!$O$63*H35/1000000,0)</f>
        <v>0</v>
      </c>
      <c r="I134" s="1780">
        <f>IF(I48&gt;0,'R&amp;C-Painel de Controle'!$O$63*I35/1000000,0)</f>
        <v>0</v>
      </c>
      <c r="J134" s="1780">
        <f>IF(J48&gt;0,'R&amp;C-Painel de Controle'!$O$63*J35/1000000,0)</f>
        <v>0</v>
      </c>
      <c r="K134" s="1780">
        <f>IF(K48&gt;0,'R&amp;C-Painel de Controle'!$O$63*K35/1000000,0)</f>
        <v>0</v>
      </c>
      <c r="L134" s="1780">
        <f>IF(L48&gt;0,'R&amp;C-Painel de Controle'!$O$63*L35/1000000,0)</f>
        <v>0</v>
      </c>
      <c r="M134" s="1780">
        <f>IF(M48&gt;0,'R&amp;C-Painel de Controle'!$O$63*M35/1000000,0)</f>
        <v>0</v>
      </c>
      <c r="N134" s="1780">
        <f>IF(N48&gt;0,'R&amp;C-Painel de Controle'!$O$63*N35/1000000,0)</f>
        <v>0</v>
      </c>
      <c r="O134" s="1780">
        <f>IF(O48&gt;0,'R&amp;C-Painel de Controle'!$O$63*O35/1000000,0)</f>
        <v>0</v>
      </c>
      <c r="P134" s="1780">
        <f>IF(P48&gt;0,'R&amp;C-Painel de Controle'!$O$63*P35/1000000,0)</f>
        <v>0</v>
      </c>
      <c r="Q134" s="1780">
        <f>IF(Q48&gt;0,'R&amp;C-Painel de Controle'!$O$63*Q35/1000000,0)</f>
        <v>0</v>
      </c>
      <c r="R134" s="1780">
        <f>IF(R48&gt;0,'R&amp;C-Painel de Controle'!$O$63*R35/1000000,0)</f>
        <v>0</v>
      </c>
      <c r="S134" s="1780">
        <f>IF(S48&gt;0,'R&amp;C-Painel de Controle'!$O$63*S35/1000000,0)</f>
        <v>0</v>
      </c>
      <c r="T134" s="1780">
        <f>IF(T48&gt;0,'R&amp;C-Painel de Controle'!$O$63*T35/1000000,0)</f>
        <v>0</v>
      </c>
      <c r="U134" s="1780">
        <f>IF(U48&gt;0,'R&amp;C-Painel de Controle'!$O$63*U35/1000000,0)</f>
        <v>0</v>
      </c>
      <c r="V134" s="1780">
        <f>IF(V48&gt;0,'R&amp;C-Painel de Controle'!$O$63*V35/1000000,0)</f>
        <v>0</v>
      </c>
      <c r="W134" s="1780">
        <f>IF(W48&gt;0,'R&amp;C-Painel de Controle'!$O$63*W35/1000000,0)</f>
        <v>0</v>
      </c>
      <c r="X134" s="1780">
        <f>IF(X48&gt;0,'R&amp;C-Painel de Controle'!$O$63*X35/1000000,0)</f>
        <v>0</v>
      </c>
      <c r="Y134" s="1780">
        <f>IF(Y48&gt;0,'R&amp;C-Painel de Controle'!$O$63*Y35/1000000,0)</f>
        <v>0</v>
      </c>
      <c r="Z134" s="1780">
        <f>IF(Z48&gt;0,'R&amp;C-Painel de Controle'!$O$63*Z35/1000000,0)</f>
        <v>0</v>
      </c>
      <c r="AA134" s="1780">
        <f>IF(AA48&gt;0,'R&amp;C-Painel de Controle'!$O$63*AA35/1000000,0)</f>
        <v>0</v>
      </c>
      <c r="AB134" s="1780">
        <f>IF(AB48&gt;0,'R&amp;C-Painel de Controle'!$O$63*AB35/1000000,0)</f>
        <v>0</v>
      </c>
      <c r="AC134" s="1780">
        <f>IF(AC48&gt;0,'R&amp;C-Painel de Controle'!$O$63*AC35/1000000,0)</f>
        <v>0</v>
      </c>
      <c r="AD134" s="1780">
        <f>IF(AD48&gt;0,'R&amp;C-Painel de Controle'!$O$63*AD35/1000000,0)</f>
        <v>0</v>
      </c>
      <c r="AE134" s="1780">
        <f>IF(AE48&gt;0,'R&amp;C-Painel de Controle'!$O$63*AE35/1000000,0)</f>
        <v>0</v>
      </c>
      <c r="AF134" s="1780">
        <f>IF(AF48&gt;0,'R&amp;C-Painel de Controle'!$O$63*AF35/1000000,0)</f>
        <v>0</v>
      </c>
      <c r="AG134" s="1780">
        <f>IF(AG48&gt;0,'R&amp;C-Painel de Controle'!$O$63*AG35/1000000,0)</f>
        <v>0</v>
      </c>
      <c r="AH134" s="1780">
        <f>IF(AH48&gt;0,'R&amp;C-Painel de Controle'!$O$63*AH35/1000000,0)</f>
        <v>0</v>
      </c>
      <c r="AI134" s="1780">
        <f>IF(AI48&gt;0,'R&amp;C-Painel de Controle'!$O$63*AI35/1000000,0)</f>
        <v>0</v>
      </c>
      <c r="AJ134" s="1780">
        <f>IF(AJ48&gt;0,'R&amp;C-Painel de Controle'!$O$63*AJ35/1000000,0)</f>
        <v>0</v>
      </c>
      <c r="AK134" s="1780">
        <f>IF(AK48&gt;0,'R&amp;C-Painel de Controle'!$O$63*AK35/1000000,0)</f>
        <v>0</v>
      </c>
      <c r="AL134" s="1780">
        <f>IF(AL48&gt;0,'R&amp;C-Painel de Controle'!$O$63*AL35/1000000,0)</f>
        <v>0</v>
      </c>
      <c r="AM134" s="1780">
        <f>IF(AM48&gt;0,'R&amp;C-Painel de Controle'!$O$63*AM35/1000000,0)</f>
        <v>0</v>
      </c>
      <c r="AN134" s="1780">
        <f>IF(AN48&gt;0,'R&amp;C-Painel de Controle'!$O$63*AN35/1000000,0)</f>
        <v>0</v>
      </c>
      <c r="AO134" s="1780">
        <f>IF(AO48&gt;0,'R&amp;C-Painel de Controle'!$O$63*AO35/1000000,0)</f>
        <v>0</v>
      </c>
      <c r="AP134" s="1780">
        <f>IF(AP48&gt;0,'R&amp;C-Painel de Controle'!$O$63*AP35/1000000,0)</f>
        <v>0</v>
      </c>
      <c r="AQ134" s="1780">
        <f>IF(AQ48&gt;0,'R&amp;C-Painel de Controle'!$O$63*AQ35/1000000,0)</f>
        <v>0</v>
      </c>
      <c r="AR134" s="1780">
        <f>IF(AR48&gt;0,'R&amp;C-Painel de Controle'!$O$63*AR35/1000000,0)</f>
        <v>0</v>
      </c>
      <c r="AS134" s="1780">
        <f>IF(AS48&gt;0,'R&amp;C-Painel de Controle'!$O$63*AS35/1000000,0)</f>
        <v>0</v>
      </c>
      <c r="AT134" s="1780">
        <f>IF(AT48&gt;0,'R&amp;C-Painel de Controle'!$O$63*AT35/1000000,0)</f>
        <v>0</v>
      </c>
      <c r="AU134" s="1780">
        <f>IF(AU48&gt;0,'R&amp;C-Painel de Controle'!$O$63*AU35/1000000,0)</f>
        <v>0</v>
      </c>
      <c r="AV134" s="1780">
        <f>IF(AV48&gt;0,'R&amp;C-Painel de Controle'!$O$63*AV35/1000000,0)</f>
        <v>0</v>
      </c>
      <c r="AW134" s="1780">
        <f>IF(AW48&gt;0,'R&amp;C-Painel de Controle'!$O$63*AW35/1000000,0)</f>
        <v>0</v>
      </c>
      <c r="AX134" s="1780">
        <f>IF(AX48&gt;0,'R&amp;C-Painel de Controle'!$O$63*AX35/1000000,0)</f>
        <v>0</v>
      </c>
      <c r="AY134" s="1780">
        <f>IF(AY48&gt;0,'R&amp;C-Painel de Controle'!$O$63*AY35/1000000,0)</f>
        <v>0</v>
      </c>
      <c r="AZ134" s="1780">
        <f>IF(AZ48&gt;0,'R&amp;C-Painel de Controle'!$O$63*AZ35/1000000,0)</f>
        <v>0</v>
      </c>
      <c r="BA134" s="1780">
        <f>IF(BA48&gt;0,'R&amp;C-Painel de Controle'!$O$63*BA35/1000000,0)</f>
        <v>0</v>
      </c>
      <c r="BB134" s="1780">
        <f>IF(BB48&gt;0,'R&amp;C-Painel de Controle'!$O$63*BB35/1000000,0)</f>
        <v>0</v>
      </c>
      <c r="BC134" s="1780">
        <f>IF(BC48&gt;0,'R&amp;C-Painel de Controle'!$O$63*BC35/1000000,0)</f>
        <v>0</v>
      </c>
      <c r="BD134" s="297"/>
      <c r="BE134" s="297"/>
      <c r="BF134" s="297"/>
    </row>
    <row r="135" spans="2:58" s="203" customFormat="1" ht="18" hidden="1" customHeight="1" outlineLevel="1" x14ac:dyDescent="0.35">
      <c r="B135" s="859" t="str">
        <f t="shared" ref="B135:D135" si="75">B104</f>
        <v>Biodigestão Anaeróbia</v>
      </c>
      <c r="C135" s="1768" t="str">
        <f t="shared" si="75"/>
        <v>Sim</v>
      </c>
      <c r="D135" s="1768">
        <f t="shared" si="75"/>
        <v>322985.95199999999</v>
      </c>
      <c r="E135" s="1686"/>
      <c r="F135" s="1686"/>
      <c r="G135" s="1686"/>
      <c r="H135" s="1686"/>
      <c r="I135" s="1686"/>
      <c r="J135" s="1686"/>
      <c r="K135" s="1686"/>
      <c r="L135" s="1686"/>
      <c r="M135" s="1686"/>
      <c r="N135" s="1686"/>
      <c r="O135" s="1686"/>
      <c r="P135" s="1686"/>
      <c r="Q135" s="1686"/>
      <c r="R135" s="1686"/>
      <c r="S135" s="1686"/>
      <c r="T135" s="1686"/>
      <c r="U135" s="1686"/>
      <c r="V135" s="1686"/>
      <c r="W135" s="1686"/>
      <c r="X135" s="1686"/>
      <c r="Y135" s="1686"/>
      <c r="Z135" s="1686"/>
      <c r="AA135" s="1686"/>
      <c r="AB135" s="1686"/>
      <c r="AC135" s="1686"/>
      <c r="AD135" s="1686"/>
      <c r="AE135" s="1686"/>
      <c r="AF135" s="1686"/>
      <c r="AG135" s="1686"/>
      <c r="AH135" s="1686"/>
      <c r="AI135" s="1686"/>
      <c r="AJ135" s="1686"/>
      <c r="AK135" s="1686"/>
      <c r="AL135" s="1686"/>
      <c r="AM135" s="1686"/>
      <c r="AN135" s="1686"/>
      <c r="AO135" s="1686"/>
      <c r="AP135" s="1686"/>
      <c r="AQ135" s="1686"/>
      <c r="AR135" s="1686"/>
      <c r="AS135" s="1686"/>
      <c r="AT135" s="1686"/>
      <c r="AU135" s="1686"/>
      <c r="AV135" s="1686"/>
      <c r="AW135" s="1686"/>
      <c r="AX135" s="1686"/>
      <c r="AY135" s="1686"/>
      <c r="AZ135" s="1686"/>
      <c r="BA135" s="1686"/>
      <c r="BB135" s="1686"/>
      <c r="BC135" s="1791"/>
      <c r="BD135" s="292"/>
      <c r="BE135" s="292"/>
      <c r="BF135" s="292"/>
    </row>
    <row r="136" spans="2:58" s="203" customFormat="1" ht="18" hidden="1" customHeight="1" outlineLevel="1" x14ac:dyDescent="0.35">
      <c r="B136" s="284"/>
      <c r="C136" s="1776"/>
      <c r="D136" s="1777"/>
      <c r="E136" s="1776"/>
      <c r="F136" s="1776"/>
      <c r="G136" s="1776"/>
      <c r="H136" s="1776"/>
      <c r="I136" s="1776"/>
      <c r="J136" s="1776"/>
      <c r="K136" s="1776"/>
      <c r="L136" s="1776"/>
      <c r="M136" s="1776"/>
      <c r="N136" s="1776"/>
      <c r="O136" s="1776"/>
      <c r="P136" s="1776"/>
      <c r="Q136" s="1776"/>
      <c r="R136" s="1776"/>
      <c r="S136" s="1776"/>
      <c r="T136" s="1776"/>
      <c r="U136" s="1776"/>
      <c r="V136" s="1776"/>
      <c r="W136" s="1776"/>
      <c r="X136" s="1776"/>
      <c r="Y136" s="1776"/>
      <c r="Z136" s="1776"/>
      <c r="AA136" s="1776"/>
      <c r="AB136" s="1776"/>
      <c r="AC136" s="1776"/>
      <c r="AD136" s="1776"/>
      <c r="AE136" s="1776"/>
      <c r="AF136" s="1776"/>
      <c r="AG136" s="1776"/>
      <c r="AH136" s="1776"/>
      <c r="AI136" s="1776"/>
      <c r="AJ136" s="1776"/>
      <c r="AK136" s="1776"/>
      <c r="AL136" s="1776"/>
      <c r="AM136" s="1776"/>
      <c r="AN136" s="1776"/>
      <c r="AO136" s="1776"/>
      <c r="AP136" s="1776"/>
      <c r="AQ136" s="1776"/>
      <c r="AR136" s="1776"/>
      <c r="AS136" s="1776"/>
      <c r="AT136" s="1776"/>
      <c r="AU136" s="1776"/>
      <c r="AV136" s="1776"/>
      <c r="AW136" s="1776"/>
      <c r="AX136" s="1776"/>
      <c r="AY136" s="1776"/>
      <c r="AZ136" s="1776"/>
      <c r="BA136" s="1776"/>
      <c r="BB136" s="1776"/>
      <c r="BC136" s="1776"/>
      <c r="BD136" s="292"/>
      <c r="BE136" s="292"/>
      <c r="BF136" s="292"/>
    </row>
    <row r="137" spans="2:58" s="203" customFormat="1" ht="18" hidden="1" customHeight="1" outlineLevel="1" x14ac:dyDescent="0.35">
      <c r="B137" s="284" t="s">
        <v>412</v>
      </c>
      <c r="C137" s="1780">
        <v>0</v>
      </c>
      <c r="D137" s="1787">
        <f>IF(D51&gt;0,'R&amp;C-Painel de Controle'!$O$66*D35/1000000,0)</f>
        <v>0</v>
      </c>
      <c r="E137" s="1780">
        <f>IF(E51&gt;0,'R&amp;C-Painel de Controle'!$O$66*E35/1000000,0)</f>
        <v>18.107399934</v>
      </c>
      <c r="F137" s="1780">
        <f>IF(F51&gt;0,'R&amp;C-Painel de Controle'!$O$66*F35/1000000,0)</f>
        <v>18.107399934</v>
      </c>
      <c r="G137" s="1780">
        <f>IF(G51&gt;0,'R&amp;C-Painel de Controle'!$O$66*G35/1000000,0)</f>
        <v>18.107399934</v>
      </c>
      <c r="H137" s="1780">
        <f>IF(H51&gt;0,'R&amp;C-Painel de Controle'!$O$66*H35/1000000,0)</f>
        <v>18.107399934</v>
      </c>
      <c r="I137" s="1780">
        <f>IF(I51&gt;0,'R&amp;C-Painel de Controle'!$O$66*I35/1000000,0)</f>
        <v>18.107399934</v>
      </c>
      <c r="J137" s="1780">
        <f>IF(J51&gt;0,'R&amp;C-Painel de Controle'!$O$66*J35/1000000,0)</f>
        <v>18.107399934</v>
      </c>
      <c r="K137" s="1780">
        <f>IF(K51&gt;0,'R&amp;C-Painel de Controle'!$O$66*K35/1000000,0)</f>
        <v>18.107399934</v>
      </c>
      <c r="L137" s="1780">
        <f>IF(L51&gt;0,'R&amp;C-Painel de Controle'!$O$66*L35/1000000,0)</f>
        <v>18.107399934</v>
      </c>
      <c r="M137" s="1780">
        <f>IF(M51&gt;0,'R&amp;C-Painel de Controle'!$O$66*M35/1000000,0)</f>
        <v>18.107399934</v>
      </c>
      <c r="N137" s="1780">
        <f>IF(N51&gt;0,'R&amp;C-Painel de Controle'!$O$66*N35/1000000,0)</f>
        <v>18.107399934</v>
      </c>
      <c r="O137" s="1780">
        <f>IF(O51&gt;0,'R&amp;C-Painel de Controle'!$O$66*O35/1000000,0)</f>
        <v>18.107399934</v>
      </c>
      <c r="P137" s="1780">
        <f>IF(P51&gt;0,'R&amp;C-Painel de Controle'!$O$66*P35/1000000,0)</f>
        <v>18.107399934</v>
      </c>
      <c r="Q137" s="1780">
        <f>IF(Q51&gt;0,'R&amp;C-Painel de Controle'!$O$66*Q35/1000000,0)</f>
        <v>18.107399934</v>
      </c>
      <c r="R137" s="1780">
        <f>IF(R51&gt;0,'R&amp;C-Painel de Controle'!$O$66*R35/1000000,0)</f>
        <v>18.107399934</v>
      </c>
      <c r="S137" s="1780">
        <f>IF(S51&gt;0,'R&amp;C-Painel de Controle'!$O$66*S35/1000000,0)</f>
        <v>18.107399934</v>
      </c>
      <c r="T137" s="1780">
        <f>IF(T51&gt;0,'R&amp;C-Painel de Controle'!$O$66*T35/1000000,0)</f>
        <v>18.107399934</v>
      </c>
      <c r="U137" s="1780">
        <f>IF(U51&gt;0,'R&amp;C-Painel de Controle'!$O$66*U35/1000000,0)</f>
        <v>18.107399934</v>
      </c>
      <c r="V137" s="1780">
        <f>IF(V51&gt;0,'R&amp;C-Painel de Controle'!$O$66*V35/1000000,0)</f>
        <v>18.107399934</v>
      </c>
      <c r="W137" s="1780">
        <f>IF(W51&gt;0,'R&amp;C-Painel de Controle'!$O$66*W35/1000000,0)</f>
        <v>18.107399934</v>
      </c>
      <c r="X137" s="1780">
        <f>IF(X51&gt;0,'R&amp;C-Painel de Controle'!$O$66*X35/1000000,0)</f>
        <v>18.107399934</v>
      </c>
      <c r="Y137" s="1780">
        <f>IF(Y51&gt;0,'R&amp;C-Painel de Controle'!$O$66*Y35/1000000,0)</f>
        <v>18.107399934</v>
      </c>
      <c r="Z137" s="1780">
        <f>IF(Z51&gt;0,'R&amp;C-Painel de Controle'!$O$66*Z35/1000000,0)</f>
        <v>18.107399934</v>
      </c>
      <c r="AA137" s="1780">
        <f>IF(AA51&gt;0,'R&amp;C-Painel de Controle'!$O$66*AA35/1000000,0)</f>
        <v>18.107399934</v>
      </c>
      <c r="AB137" s="1780">
        <f>IF(AB51&gt;0,'R&amp;C-Painel de Controle'!$O$66*AB35/1000000,0)</f>
        <v>18.107399934</v>
      </c>
      <c r="AC137" s="1780">
        <f>IF(AC51&gt;0,'R&amp;C-Painel de Controle'!$O$66*AC35/1000000,0)</f>
        <v>18.107399934</v>
      </c>
      <c r="AD137" s="1780">
        <f>IF(AD51&gt;0,'R&amp;C-Painel de Controle'!$O$66*AD35/1000000,0)</f>
        <v>18.107399934</v>
      </c>
      <c r="AE137" s="1780">
        <f>IF(AE51&gt;0,'R&amp;C-Painel de Controle'!$O$66*AE35/1000000,0)</f>
        <v>18.107399934</v>
      </c>
      <c r="AF137" s="1780">
        <f>IF(AF51&gt;0,'R&amp;C-Painel de Controle'!$O$66*AF35/1000000,0)</f>
        <v>18.107399934</v>
      </c>
      <c r="AG137" s="1780">
        <f>IF(AG51&gt;0,'R&amp;C-Painel de Controle'!$O$66*AG35/1000000,0)</f>
        <v>18.107399934</v>
      </c>
      <c r="AH137" s="1780">
        <f>IF(AH51&gt;0,'R&amp;C-Painel de Controle'!$O$66*AH35/1000000,0)</f>
        <v>18.107399934</v>
      </c>
      <c r="AI137" s="1780">
        <f>IF(AI51&gt;0,'R&amp;C-Painel de Controle'!$O$66*AI35/1000000,0)</f>
        <v>18.107399934</v>
      </c>
      <c r="AJ137" s="1780">
        <f>IF(AJ51&gt;0,'R&amp;C-Painel de Controle'!$O$66*AJ35/1000000,0)</f>
        <v>18.107399934</v>
      </c>
      <c r="AK137" s="1780">
        <f>IF(AK51&gt;0,'R&amp;C-Painel de Controle'!$O$66*AK35/1000000,0)</f>
        <v>18.107399934</v>
      </c>
      <c r="AL137" s="1780">
        <f>IF(AL51&gt;0,'R&amp;C-Painel de Controle'!$O$66*AL35/1000000,0)</f>
        <v>18.107399934</v>
      </c>
      <c r="AM137" s="1780">
        <f>IF(AM51&gt;0,'R&amp;C-Painel de Controle'!$O$66*AM35/1000000,0)</f>
        <v>18.107399934</v>
      </c>
      <c r="AN137" s="1780">
        <f>IF(AN51&gt;0,'R&amp;C-Painel de Controle'!$O$66*AN35/1000000,0)</f>
        <v>18.107399934</v>
      </c>
      <c r="AO137" s="1780">
        <f>IF(AO51&gt;0,'R&amp;C-Painel de Controle'!$O$66*AO35/1000000,0)</f>
        <v>18.107399934</v>
      </c>
      <c r="AP137" s="1780">
        <f>IF(AP51&gt;0,'R&amp;C-Painel de Controle'!$O$66*AP35/1000000,0)</f>
        <v>18.107399934</v>
      </c>
      <c r="AQ137" s="1780">
        <f>IF(AQ51&gt;0,'R&amp;C-Painel de Controle'!$O$66*AQ35/1000000,0)</f>
        <v>18.107399934</v>
      </c>
      <c r="AR137" s="1780">
        <f>IF(AR51&gt;0,'R&amp;C-Painel de Controle'!$O$66*AR35/1000000,0)</f>
        <v>18.107399934</v>
      </c>
      <c r="AS137" s="1780">
        <f>IF(AS51&gt;0,'R&amp;C-Painel de Controle'!$O$66*AS35/1000000,0)</f>
        <v>18.107399934</v>
      </c>
      <c r="AT137" s="1780">
        <f>IF(AT51&gt;0,'R&amp;C-Painel de Controle'!$O$66*AT35/1000000,0)</f>
        <v>18.107399934</v>
      </c>
      <c r="AU137" s="1780">
        <f>IF(AU51&gt;0,'R&amp;C-Painel de Controle'!$O$66*AU35/1000000,0)</f>
        <v>18.107399934</v>
      </c>
      <c r="AV137" s="1780">
        <f>IF(AV51&gt;0,'R&amp;C-Painel de Controle'!$O$66*AV35/1000000,0)</f>
        <v>18.107399934</v>
      </c>
      <c r="AW137" s="1780">
        <f>IF(AW51&gt;0,'R&amp;C-Painel de Controle'!$O$66*AW35/1000000,0)</f>
        <v>18.107399934</v>
      </c>
      <c r="AX137" s="1780">
        <f>IF(AX51&gt;0,'R&amp;C-Painel de Controle'!$O$66*AX35/1000000,0)</f>
        <v>18.107399934</v>
      </c>
      <c r="AY137" s="1780">
        <f>IF(AY51&gt;0,'R&amp;C-Painel de Controle'!$O$66*AY35/1000000,0)</f>
        <v>18.107399934</v>
      </c>
      <c r="AZ137" s="1780">
        <f>IF(AZ51&gt;0,'R&amp;C-Painel de Controle'!$O$66*AZ35/1000000,0)</f>
        <v>18.107399934</v>
      </c>
      <c r="BA137" s="1780">
        <f>IF(BA51&gt;0,'R&amp;C-Painel de Controle'!$O$66*BA35/1000000,0)</f>
        <v>18.107399934</v>
      </c>
      <c r="BB137" s="1780">
        <f>IF(BB51&gt;0,'R&amp;C-Painel de Controle'!$O$66*BB35/1000000,0)</f>
        <v>18.107399934</v>
      </c>
      <c r="BC137" s="1780">
        <f>IF(BC51&gt;0,'R&amp;C-Painel de Controle'!$O$66*BC35/1000000,0)</f>
        <v>18.107399934</v>
      </c>
      <c r="BD137" s="297"/>
      <c r="BE137" s="297"/>
      <c r="BF137" s="297"/>
    </row>
    <row r="138" spans="2:58" s="203" customFormat="1" ht="18" hidden="1" customHeight="1" outlineLevel="1" x14ac:dyDescent="0.35">
      <c r="B138" s="859" t="str">
        <f t="shared" ref="B138:D138" si="76">B107</f>
        <v>Compostagem</v>
      </c>
      <c r="C138" s="1768" t="str">
        <f t="shared" si="76"/>
        <v>Sim</v>
      </c>
      <c r="D138" s="1768">
        <f t="shared" si="76"/>
        <v>228781.71599999996</v>
      </c>
      <c r="E138" s="1775"/>
      <c r="F138" s="1775"/>
      <c r="G138" s="1775"/>
      <c r="H138" s="1775"/>
      <c r="I138" s="1775"/>
      <c r="J138" s="1775"/>
      <c r="K138" s="1775"/>
      <c r="L138" s="1775"/>
      <c r="M138" s="1775"/>
      <c r="N138" s="1775"/>
      <c r="O138" s="1775"/>
      <c r="P138" s="1775"/>
      <c r="Q138" s="1775"/>
      <c r="R138" s="1775"/>
      <c r="S138" s="1775"/>
      <c r="T138" s="1775"/>
      <c r="U138" s="1775"/>
      <c r="V138" s="1775"/>
      <c r="W138" s="1775"/>
      <c r="X138" s="1775"/>
      <c r="Y138" s="1775"/>
      <c r="Z138" s="1775"/>
      <c r="AA138" s="1775"/>
      <c r="AB138" s="1775"/>
      <c r="AC138" s="1775"/>
      <c r="AD138" s="1775"/>
      <c r="AE138" s="1775"/>
      <c r="AF138" s="1775"/>
      <c r="AG138" s="1775"/>
      <c r="AH138" s="1775"/>
      <c r="AI138" s="1775"/>
      <c r="AJ138" s="1775"/>
      <c r="AK138" s="1775"/>
      <c r="AL138" s="1775"/>
      <c r="AM138" s="1775"/>
      <c r="AN138" s="1775"/>
      <c r="AO138" s="1775"/>
      <c r="AP138" s="1775"/>
      <c r="AQ138" s="1775"/>
      <c r="AR138" s="1775"/>
      <c r="AS138" s="1775"/>
      <c r="AT138" s="1775"/>
      <c r="AU138" s="1775"/>
      <c r="AV138" s="1775"/>
      <c r="AW138" s="1775"/>
      <c r="AX138" s="1775"/>
      <c r="AY138" s="1775"/>
      <c r="AZ138" s="1775"/>
      <c r="BA138" s="1775"/>
      <c r="BB138" s="1775"/>
      <c r="BC138" s="1791"/>
      <c r="BD138" s="292"/>
      <c r="BE138" s="292"/>
      <c r="BF138" s="292"/>
    </row>
    <row r="139" spans="2:58" s="203" customFormat="1" ht="18" hidden="1" customHeight="1" outlineLevel="1" x14ac:dyDescent="0.35">
      <c r="B139" s="284"/>
      <c r="C139" s="1776"/>
      <c r="D139" s="1777"/>
      <c r="E139" s="1776"/>
      <c r="F139" s="1776"/>
      <c r="G139" s="1776"/>
      <c r="H139" s="1776"/>
      <c r="I139" s="1776"/>
      <c r="J139" s="1776"/>
      <c r="K139" s="1776"/>
      <c r="L139" s="1776"/>
      <c r="M139" s="1776"/>
      <c r="N139" s="1776"/>
      <c r="O139" s="1776"/>
      <c r="P139" s="1776"/>
      <c r="Q139" s="1776"/>
      <c r="R139" s="1776"/>
      <c r="S139" s="1776"/>
      <c r="T139" s="1776"/>
      <c r="U139" s="1776"/>
      <c r="V139" s="1776"/>
      <c r="W139" s="1776"/>
      <c r="X139" s="1776"/>
      <c r="Y139" s="1776"/>
      <c r="Z139" s="1776"/>
      <c r="AA139" s="1776"/>
      <c r="AB139" s="1776"/>
      <c r="AC139" s="1776"/>
      <c r="AD139" s="1776"/>
      <c r="AE139" s="1776"/>
      <c r="AF139" s="1776"/>
      <c r="AG139" s="1776"/>
      <c r="AH139" s="1776"/>
      <c r="AI139" s="1776"/>
      <c r="AJ139" s="1776"/>
      <c r="AK139" s="1776"/>
      <c r="AL139" s="1776"/>
      <c r="AM139" s="1776"/>
      <c r="AN139" s="1776"/>
      <c r="AO139" s="1776"/>
      <c r="AP139" s="1776"/>
      <c r="AQ139" s="1776"/>
      <c r="AR139" s="1776"/>
      <c r="AS139" s="1776"/>
      <c r="AT139" s="1776"/>
      <c r="AU139" s="1776"/>
      <c r="AV139" s="1776"/>
      <c r="AW139" s="1776"/>
      <c r="AX139" s="1776"/>
      <c r="AY139" s="1776"/>
      <c r="AZ139" s="1776"/>
      <c r="BA139" s="1776"/>
      <c r="BB139" s="1776"/>
      <c r="BC139" s="1776"/>
      <c r="BD139" s="292"/>
      <c r="BE139" s="292"/>
      <c r="BF139" s="292"/>
    </row>
    <row r="140" spans="2:58" s="203" customFormat="1" ht="18" hidden="1" customHeight="1" outlineLevel="1" x14ac:dyDescent="0.35">
      <c r="B140" s="284" t="s">
        <v>412</v>
      </c>
      <c r="C140" s="1780">
        <v>0</v>
      </c>
      <c r="D140" s="1787">
        <f>IF(D54&gt;0,'R&amp;C-Painel de Controle'!$O$69*D35/1000000,0)</f>
        <v>0</v>
      </c>
      <c r="E140" s="1780">
        <f>IF(E54&gt;0,'R&amp;C-Painel de Controle'!$O$69*E35/1000000,0)</f>
        <v>0</v>
      </c>
      <c r="F140" s="1780">
        <f>IF(F54&gt;0,'R&amp;C-Painel de Controle'!$O$69*F35/1000000,0)</f>
        <v>0</v>
      </c>
      <c r="G140" s="1780">
        <f>IF(G54&gt;0,'R&amp;C-Painel de Controle'!$O$69*G35/1000000,0)</f>
        <v>0</v>
      </c>
      <c r="H140" s="1780">
        <f>IF(H54&gt;0,'R&amp;C-Painel de Controle'!$O$69*H35/1000000,0)</f>
        <v>0</v>
      </c>
      <c r="I140" s="1780">
        <f>IF(I54&gt;0,'R&amp;C-Painel de Controle'!$O$69*I35/1000000,0)</f>
        <v>0</v>
      </c>
      <c r="J140" s="1780">
        <f>IF(J54&gt;0,'R&amp;C-Painel de Controle'!$O$69*J35/1000000,0)</f>
        <v>0</v>
      </c>
      <c r="K140" s="1780">
        <f>IF(K54&gt;0,'R&amp;C-Painel de Controle'!$O$69*K35/1000000,0)</f>
        <v>0</v>
      </c>
      <c r="L140" s="1780">
        <f>IF(L54&gt;0,'R&amp;C-Painel de Controle'!$O$69*L35/1000000,0)</f>
        <v>0</v>
      </c>
      <c r="M140" s="1780">
        <f>IF(M54&gt;0,'R&amp;C-Painel de Controle'!$O$69*M35/1000000,0)</f>
        <v>0</v>
      </c>
      <c r="N140" s="1780">
        <f>IF(N54&gt;0,'R&amp;C-Painel de Controle'!$O$69*N35/1000000,0)</f>
        <v>0</v>
      </c>
      <c r="O140" s="1780">
        <f>IF(O54&gt;0,'R&amp;C-Painel de Controle'!$O$69*O35/1000000,0)</f>
        <v>0</v>
      </c>
      <c r="P140" s="1780">
        <f>IF(P54&gt;0,'R&amp;C-Painel de Controle'!$O$69*P35/1000000,0)</f>
        <v>0</v>
      </c>
      <c r="Q140" s="1780">
        <f>IF(Q54&gt;0,'R&amp;C-Painel de Controle'!$O$69*Q35/1000000,0)</f>
        <v>0</v>
      </c>
      <c r="R140" s="1780">
        <f>IF(R54&gt;0,'R&amp;C-Painel de Controle'!$O$69*R35/1000000,0)</f>
        <v>0</v>
      </c>
      <c r="S140" s="1780">
        <f>IF(S54&gt;0,'R&amp;C-Painel de Controle'!$O$69*S35/1000000,0)</f>
        <v>0</v>
      </c>
      <c r="T140" s="1780">
        <f>IF(T54&gt;0,'R&amp;C-Painel de Controle'!$O$69*T35/1000000,0)</f>
        <v>0</v>
      </c>
      <c r="U140" s="1780">
        <f>IF(U54&gt;0,'R&amp;C-Painel de Controle'!$O$69*U35/1000000,0)</f>
        <v>0</v>
      </c>
      <c r="V140" s="1780">
        <f>IF(V54&gt;0,'R&amp;C-Painel de Controle'!$O$69*V35/1000000,0)</f>
        <v>0</v>
      </c>
      <c r="W140" s="1780">
        <f>IF(W54&gt;0,'R&amp;C-Painel de Controle'!$O$69*W35/1000000,0)</f>
        <v>0</v>
      </c>
      <c r="X140" s="1780">
        <f>IF(X54&gt;0,'R&amp;C-Painel de Controle'!$O$69*X35/1000000,0)</f>
        <v>0</v>
      </c>
      <c r="Y140" s="1780">
        <f>IF(Y54&gt;0,'R&amp;C-Painel de Controle'!$O$69*Y35/1000000,0)</f>
        <v>0</v>
      </c>
      <c r="Z140" s="1780">
        <f>IF(Z54&gt;0,'R&amp;C-Painel de Controle'!$O$69*Z35/1000000,0)</f>
        <v>0</v>
      </c>
      <c r="AA140" s="1780">
        <f>IF(AA54&gt;0,'R&amp;C-Painel de Controle'!$O$69*AA35/1000000,0)</f>
        <v>0</v>
      </c>
      <c r="AB140" s="1780">
        <f>IF(AB54&gt;0,'R&amp;C-Painel de Controle'!$O$69*AB35/1000000,0)</f>
        <v>0</v>
      </c>
      <c r="AC140" s="1780">
        <f>IF(AC54&gt;0,'R&amp;C-Painel de Controle'!$O$69*AC35/1000000,0)</f>
        <v>0</v>
      </c>
      <c r="AD140" s="1780">
        <f>IF(AD54&gt;0,'R&amp;C-Painel de Controle'!$O$69*AD35/1000000,0)</f>
        <v>0</v>
      </c>
      <c r="AE140" s="1780">
        <f>IF(AE54&gt;0,'R&amp;C-Painel de Controle'!$O$69*AE35/1000000,0)</f>
        <v>0</v>
      </c>
      <c r="AF140" s="1780">
        <f>IF(AF54&gt;0,'R&amp;C-Painel de Controle'!$O$69*AF35/1000000,0)</f>
        <v>0</v>
      </c>
      <c r="AG140" s="1780">
        <f>IF(AG54&gt;0,'R&amp;C-Painel de Controle'!$O$69*AG35/1000000,0)</f>
        <v>0</v>
      </c>
      <c r="AH140" s="1780">
        <f>IF(AH54&gt;0,'R&amp;C-Painel de Controle'!$O$69*AH35/1000000,0)</f>
        <v>0</v>
      </c>
      <c r="AI140" s="1780">
        <f>IF(AI54&gt;0,'R&amp;C-Painel de Controle'!$O$69*AI35/1000000,0)</f>
        <v>0</v>
      </c>
      <c r="AJ140" s="1780">
        <f>IF(AJ54&gt;0,'R&amp;C-Painel de Controle'!$O$69*AJ35/1000000,0)</f>
        <v>0</v>
      </c>
      <c r="AK140" s="1780">
        <f>IF(AK54&gt;0,'R&amp;C-Painel de Controle'!$O$69*AK35/1000000,0)</f>
        <v>0</v>
      </c>
      <c r="AL140" s="1780">
        <f>IF(AL54&gt;0,'R&amp;C-Painel de Controle'!$O$69*AL35/1000000,0)</f>
        <v>0</v>
      </c>
      <c r="AM140" s="1780">
        <f>IF(AM54&gt;0,'R&amp;C-Painel de Controle'!$O$69*AM35/1000000,0)</f>
        <v>0</v>
      </c>
      <c r="AN140" s="1780">
        <f>IF(AN54&gt;0,'R&amp;C-Painel de Controle'!$O$69*AN35/1000000,0)</f>
        <v>0</v>
      </c>
      <c r="AO140" s="1780">
        <f>IF(AO54&gt;0,'R&amp;C-Painel de Controle'!$O$69*AO35/1000000,0)</f>
        <v>0</v>
      </c>
      <c r="AP140" s="1780">
        <f>IF(AP54&gt;0,'R&amp;C-Painel de Controle'!$O$69*AP35/1000000,0)</f>
        <v>0</v>
      </c>
      <c r="AQ140" s="1780">
        <f>IF(AQ54&gt;0,'R&amp;C-Painel de Controle'!$O$69*AQ35/1000000,0)</f>
        <v>0</v>
      </c>
      <c r="AR140" s="1780">
        <f>IF(AR54&gt;0,'R&amp;C-Painel de Controle'!$O$69*AR35/1000000,0)</f>
        <v>0</v>
      </c>
      <c r="AS140" s="1780">
        <f>IF(AS54&gt;0,'R&amp;C-Painel de Controle'!$O$69*AS35/1000000,0)</f>
        <v>0</v>
      </c>
      <c r="AT140" s="1780">
        <f>IF(AT54&gt;0,'R&amp;C-Painel de Controle'!$O$69*AT35/1000000,0)</f>
        <v>0</v>
      </c>
      <c r="AU140" s="1780">
        <f>IF(AU54&gt;0,'R&amp;C-Painel de Controle'!$O$69*AU35/1000000,0)</f>
        <v>0</v>
      </c>
      <c r="AV140" s="1780">
        <f>IF(AV54&gt;0,'R&amp;C-Painel de Controle'!$O$69*AV35/1000000,0)</f>
        <v>0</v>
      </c>
      <c r="AW140" s="1780">
        <f>IF(AW54&gt;0,'R&amp;C-Painel de Controle'!$O$69*AW35/1000000,0)</f>
        <v>0</v>
      </c>
      <c r="AX140" s="1780">
        <f>IF(AX54&gt;0,'R&amp;C-Painel de Controle'!$O$69*AX35/1000000,0)</f>
        <v>0</v>
      </c>
      <c r="AY140" s="1780">
        <f>IF(AY54&gt;0,'R&amp;C-Painel de Controle'!$O$69*AY35/1000000,0)</f>
        <v>0</v>
      </c>
      <c r="AZ140" s="1780">
        <f>IF(AZ54&gt;0,'R&amp;C-Painel de Controle'!$O$69*AZ35/1000000,0)</f>
        <v>0</v>
      </c>
      <c r="BA140" s="1780">
        <f>IF(BA54&gt;0,'R&amp;C-Painel de Controle'!$O$69*BA35/1000000,0)</f>
        <v>0</v>
      </c>
      <c r="BB140" s="1780">
        <f>IF(BB54&gt;0,'R&amp;C-Painel de Controle'!$O$69*BB35/1000000,0)</f>
        <v>0</v>
      </c>
      <c r="BC140" s="1780">
        <f>IF(BC54&gt;0,'R&amp;C-Painel de Controle'!$O$69*BC35/1000000,0)</f>
        <v>0</v>
      </c>
      <c r="BD140" s="297"/>
      <c r="BE140" s="297"/>
      <c r="BF140" s="297"/>
    </row>
    <row r="141" spans="2:58" s="203" customFormat="1" ht="18" hidden="1" customHeight="1" outlineLevel="1" x14ac:dyDescent="0.35">
      <c r="B141" s="859" t="str">
        <f t="shared" ref="B141:D141" si="77">B110</f>
        <v>Incineração</v>
      </c>
      <c r="C141" s="1768" t="str">
        <f t="shared" si="77"/>
        <v>Sim</v>
      </c>
      <c r="D141" s="1768">
        <f t="shared" si="77"/>
        <v>205663.53600000008</v>
      </c>
      <c r="E141" s="1686"/>
      <c r="F141" s="1686"/>
      <c r="G141" s="1686"/>
      <c r="H141" s="1686"/>
      <c r="I141" s="1686"/>
      <c r="J141" s="1686"/>
      <c r="K141" s="1686"/>
      <c r="L141" s="1686"/>
      <c r="M141" s="1686"/>
      <c r="N141" s="1686"/>
      <c r="O141" s="1686"/>
      <c r="P141" s="1686"/>
      <c r="Q141" s="1686"/>
      <c r="R141" s="1686"/>
      <c r="S141" s="1686"/>
      <c r="T141" s="1686"/>
      <c r="U141" s="1686"/>
      <c r="V141" s="1686"/>
      <c r="W141" s="1686"/>
      <c r="X141" s="1686"/>
      <c r="Y141" s="1686"/>
      <c r="Z141" s="1686"/>
      <c r="AA141" s="1686"/>
      <c r="AB141" s="1686"/>
      <c r="AC141" s="1686"/>
      <c r="AD141" s="1686"/>
      <c r="AE141" s="1686"/>
      <c r="AF141" s="1686"/>
      <c r="AG141" s="1686"/>
      <c r="AH141" s="1686"/>
      <c r="AI141" s="1686"/>
      <c r="AJ141" s="1686"/>
      <c r="AK141" s="1686"/>
      <c r="AL141" s="1686"/>
      <c r="AM141" s="1686"/>
      <c r="AN141" s="1686"/>
      <c r="AO141" s="1686"/>
      <c r="AP141" s="1686"/>
      <c r="AQ141" s="1686"/>
      <c r="AR141" s="1686"/>
      <c r="AS141" s="1686"/>
      <c r="AT141" s="1686"/>
      <c r="AU141" s="1686"/>
      <c r="AV141" s="1686"/>
      <c r="AW141" s="1686"/>
      <c r="AX141" s="1686"/>
      <c r="AY141" s="1686"/>
      <c r="AZ141" s="1686"/>
      <c r="BA141" s="1686"/>
      <c r="BB141" s="1686"/>
      <c r="BC141" s="1791"/>
      <c r="BD141" s="292"/>
      <c r="BE141" s="292"/>
      <c r="BF141" s="292"/>
    </row>
    <row r="142" spans="2:58" s="203" customFormat="1" ht="18" hidden="1" customHeight="1" outlineLevel="1" x14ac:dyDescent="0.35">
      <c r="B142" s="284"/>
      <c r="C142" s="1776"/>
      <c r="D142" s="1777"/>
      <c r="E142" s="1776"/>
      <c r="F142" s="1776"/>
      <c r="G142" s="1776"/>
      <c r="H142" s="1776"/>
      <c r="I142" s="1776"/>
      <c r="J142" s="1776"/>
      <c r="K142" s="1776"/>
      <c r="L142" s="1776"/>
      <c r="M142" s="1776"/>
      <c r="N142" s="1776"/>
      <c r="O142" s="1776"/>
      <c r="P142" s="1776"/>
      <c r="Q142" s="1776"/>
      <c r="R142" s="1776"/>
      <c r="S142" s="1776"/>
      <c r="T142" s="1776"/>
      <c r="U142" s="1776"/>
      <c r="V142" s="1776"/>
      <c r="W142" s="1776"/>
      <c r="X142" s="1776"/>
      <c r="Y142" s="1776"/>
      <c r="Z142" s="1776"/>
      <c r="AA142" s="1776"/>
      <c r="AB142" s="1776"/>
      <c r="AC142" s="1776"/>
      <c r="AD142" s="1776"/>
      <c r="AE142" s="1776"/>
      <c r="AF142" s="1776"/>
      <c r="AG142" s="1776"/>
      <c r="AH142" s="1776"/>
      <c r="AI142" s="1776"/>
      <c r="AJ142" s="1776"/>
      <c r="AK142" s="1776"/>
      <c r="AL142" s="1776"/>
      <c r="AM142" s="1776"/>
      <c r="AN142" s="1776"/>
      <c r="AO142" s="1776"/>
      <c r="AP142" s="1776"/>
      <c r="AQ142" s="1776"/>
      <c r="AR142" s="1776"/>
      <c r="AS142" s="1776"/>
      <c r="AT142" s="1776"/>
      <c r="AU142" s="1776"/>
      <c r="AV142" s="1776"/>
      <c r="AW142" s="1776"/>
      <c r="AX142" s="1776"/>
      <c r="AY142" s="1776"/>
      <c r="AZ142" s="1776"/>
      <c r="BA142" s="1776"/>
      <c r="BB142" s="1776"/>
      <c r="BC142" s="1776"/>
      <c r="BD142" s="292"/>
      <c r="BE142" s="292"/>
      <c r="BF142" s="292"/>
    </row>
    <row r="143" spans="2:58" s="203" customFormat="1" ht="18" hidden="1" customHeight="1" outlineLevel="1" x14ac:dyDescent="0.35">
      <c r="B143" s="284" t="s">
        <v>412</v>
      </c>
      <c r="C143" s="1780">
        <v>0</v>
      </c>
      <c r="D143" s="1787">
        <f>IF(D57&gt;0,'R&amp;C-Painel de Controle'!$O$72*D35/1000000,0)</f>
        <v>0</v>
      </c>
      <c r="E143" s="1780">
        <f>IF(E57&gt;0,'R&amp;C-Painel de Controle'!$O$72*E35/1000000,0)</f>
        <v>13.275573673998075</v>
      </c>
      <c r="F143" s="1780">
        <f>IF(F57&gt;0,'R&amp;C-Painel de Controle'!$O$72*F35/1000000,0)</f>
        <v>13.275573673998075</v>
      </c>
      <c r="G143" s="1780">
        <f>IF(G57&gt;0,'R&amp;C-Painel de Controle'!$O$72*G35/1000000,0)</f>
        <v>13.275573673998075</v>
      </c>
      <c r="H143" s="1780">
        <f>IF(H57&gt;0,'R&amp;C-Painel de Controle'!$O$72*H35/1000000,0)</f>
        <v>13.275573673998075</v>
      </c>
      <c r="I143" s="1780">
        <f>IF(I57&gt;0,'R&amp;C-Painel de Controle'!$O$72*I35/1000000,0)</f>
        <v>13.275573673998075</v>
      </c>
      <c r="J143" s="1780">
        <f>IF(J57&gt;0,'R&amp;C-Painel de Controle'!$O$72*J35/1000000,0)</f>
        <v>13.275573673998075</v>
      </c>
      <c r="K143" s="1780">
        <f>IF(K57&gt;0,'R&amp;C-Painel de Controle'!$O$72*K35/1000000,0)</f>
        <v>13.275573673998075</v>
      </c>
      <c r="L143" s="1780">
        <f>IF(L57&gt;0,'R&amp;C-Painel de Controle'!$O$72*L35/1000000,0)</f>
        <v>13.275573673998075</v>
      </c>
      <c r="M143" s="1780">
        <f>IF(M57&gt;0,'R&amp;C-Painel de Controle'!$O$72*M35/1000000,0)</f>
        <v>13.275573673998075</v>
      </c>
      <c r="N143" s="1780">
        <f>IF(N57&gt;0,'R&amp;C-Painel de Controle'!$O$72*N35/1000000,0)</f>
        <v>13.275573673998075</v>
      </c>
      <c r="O143" s="1780">
        <f>IF(O57&gt;0,'R&amp;C-Painel de Controle'!$O$72*O35/1000000,0)</f>
        <v>13.275573673998075</v>
      </c>
      <c r="P143" s="1780">
        <f>IF(P57&gt;0,'R&amp;C-Painel de Controle'!$O$72*P35/1000000,0)</f>
        <v>13.275573673998075</v>
      </c>
      <c r="Q143" s="1780">
        <f>IF(Q57&gt;0,'R&amp;C-Painel de Controle'!$O$72*Q35/1000000,0)</f>
        <v>13.275573673998075</v>
      </c>
      <c r="R143" s="1780">
        <f>IF(R57&gt;0,'R&amp;C-Painel de Controle'!$O$72*R35/1000000,0)</f>
        <v>13.275573673998075</v>
      </c>
      <c r="S143" s="1780">
        <f>IF(S57&gt;0,'R&amp;C-Painel de Controle'!$O$72*S35/1000000,0)</f>
        <v>13.275573673998075</v>
      </c>
      <c r="T143" s="1780">
        <f>IF(T57&gt;0,'R&amp;C-Painel de Controle'!$O$72*T35/1000000,0)</f>
        <v>13.275573673998075</v>
      </c>
      <c r="U143" s="1780">
        <f>IF(U57&gt;0,'R&amp;C-Painel de Controle'!$O$72*U35/1000000,0)</f>
        <v>13.275573673998075</v>
      </c>
      <c r="V143" s="1780">
        <f>IF(V57&gt;0,'R&amp;C-Painel de Controle'!$O$72*V35/1000000,0)</f>
        <v>13.275573673998075</v>
      </c>
      <c r="W143" s="1780">
        <f>IF(W57&gt;0,'R&amp;C-Painel de Controle'!$O$72*W35/1000000,0)</f>
        <v>13.275573673998075</v>
      </c>
      <c r="X143" s="1780">
        <f>IF(X57&gt;0,'R&amp;C-Painel de Controle'!$O$72*X35/1000000,0)</f>
        <v>13.275573673998075</v>
      </c>
      <c r="Y143" s="1780">
        <f>IF(Y57&gt;0,'R&amp;C-Painel de Controle'!$O$72*Y35/1000000,0)</f>
        <v>13.275573673998075</v>
      </c>
      <c r="Z143" s="1780">
        <f>IF(Z57&gt;0,'R&amp;C-Painel de Controle'!$O$72*Z35/1000000,0)</f>
        <v>13.275573673998075</v>
      </c>
      <c r="AA143" s="1780">
        <f>IF(AA57&gt;0,'R&amp;C-Painel de Controle'!$O$72*AA35/1000000,0)</f>
        <v>13.275573673998075</v>
      </c>
      <c r="AB143" s="1780">
        <f>IF(AB57&gt;0,'R&amp;C-Painel de Controle'!$O$72*AB35/1000000,0)</f>
        <v>13.275573673998075</v>
      </c>
      <c r="AC143" s="1780">
        <f>IF(AC57&gt;0,'R&amp;C-Painel de Controle'!$O$72*AC35/1000000,0)</f>
        <v>13.275573673998075</v>
      </c>
      <c r="AD143" s="1780">
        <f>IF(AD57&gt;0,'R&amp;C-Painel de Controle'!$O$72*AD35/1000000,0)</f>
        <v>13.275573673998075</v>
      </c>
      <c r="AE143" s="1780">
        <f>IF(AE57&gt;0,'R&amp;C-Painel de Controle'!$O$72*AE35/1000000,0)</f>
        <v>13.275573673998075</v>
      </c>
      <c r="AF143" s="1780">
        <f>IF(AF57&gt;0,'R&amp;C-Painel de Controle'!$O$72*AF35/1000000,0)</f>
        <v>13.275573673998075</v>
      </c>
      <c r="AG143" s="1780">
        <f>IF(AG57&gt;0,'R&amp;C-Painel de Controle'!$O$72*AG35/1000000,0)</f>
        <v>13.275573673998075</v>
      </c>
      <c r="AH143" s="1780">
        <f>IF(AH57&gt;0,'R&amp;C-Painel de Controle'!$O$72*AH35/1000000,0)</f>
        <v>13.275573673998075</v>
      </c>
      <c r="AI143" s="1780">
        <f>IF(AI57&gt;0,'R&amp;C-Painel de Controle'!$O$72*AI35/1000000,0)</f>
        <v>13.275573673998075</v>
      </c>
      <c r="AJ143" s="1780">
        <f>IF(AJ57&gt;0,'R&amp;C-Painel de Controle'!$O$72*AJ35/1000000,0)</f>
        <v>13.275573673998075</v>
      </c>
      <c r="AK143" s="1780">
        <f>IF(AK57&gt;0,'R&amp;C-Painel de Controle'!$O$72*AK35/1000000,0)</f>
        <v>13.275573673998075</v>
      </c>
      <c r="AL143" s="1780">
        <f>IF(AL57&gt;0,'R&amp;C-Painel de Controle'!$O$72*AL35/1000000,0)</f>
        <v>13.275573673998075</v>
      </c>
      <c r="AM143" s="1780">
        <f>IF(AM57&gt;0,'R&amp;C-Painel de Controle'!$O$72*AM35/1000000,0)</f>
        <v>13.275573673998075</v>
      </c>
      <c r="AN143" s="1780">
        <f>IF(AN57&gt;0,'R&amp;C-Painel de Controle'!$O$72*AN35/1000000,0)</f>
        <v>13.275573673998075</v>
      </c>
      <c r="AO143" s="1780">
        <f>IF(AO57&gt;0,'R&amp;C-Painel de Controle'!$O$72*AO35/1000000,0)</f>
        <v>13.275573673998075</v>
      </c>
      <c r="AP143" s="1780">
        <f>IF(AP57&gt;0,'R&amp;C-Painel de Controle'!$O$72*AP35/1000000,0)</f>
        <v>13.275573673998075</v>
      </c>
      <c r="AQ143" s="1780">
        <f>IF(AQ57&gt;0,'R&amp;C-Painel de Controle'!$O$72*AQ35/1000000,0)</f>
        <v>13.275573673998075</v>
      </c>
      <c r="AR143" s="1780">
        <f>IF(AR57&gt;0,'R&amp;C-Painel de Controle'!$O$72*AR35/1000000,0)</f>
        <v>13.275573673998075</v>
      </c>
      <c r="AS143" s="1780">
        <f>IF(AS57&gt;0,'R&amp;C-Painel de Controle'!$O$72*AS35/1000000,0)</f>
        <v>13.275573673998075</v>
      </c>
      <c r="AT143" s="1780">
        <f>IF(AT57&gt;0,'R&amp;C-Painel de Controle'!$O$72*AT35/1000000,0)</f>
        <v>13.275573673998075</v>
      </c>
      <c r="AU143" s="1780">
        <f>IF(AU57&gt;0,'R&amp;C-Painel de Controle'!$O$72*AU35/1000000,0)</f>
        <v>13.275573673998075</v>
      </c>
      <c r="AV143" s="1780">
        <f>IF(AV57&gt;0,'R&amp;C-Painel de Controle'!$O$72*AV35/1000000,0)</f>
        <v>13.275573673998075</v>
      </c>
      <c r="AW143" s="1780">
        <f>IF(AW57&gt;0,'R&amp;C-Painel de Controle'!$O$72*AW35/1000000,0)</f>
        <v>13.275573673998075</v>
      </c>
      <c r="AX143" s="1780">
        <f>IF(AX57&gt;0,'R&amp;C-Painel de Controle'!$O$72*AX35/1000000,0)</f>
        <v>13.275573673998075</v>
      </c>
      <c r="AY143" s="1780">
        <f>IF(AY57&gt;0,'R&amp;C-Painel de Controle'!$O$72*AY35/1000000,0)</f>
        <v>13.275573673998075</v>
      </c>
      <c r="AZ143" s="1780">
        <f>IF(AZ57&gt;0,'R&amp;C-Painel de Controle'!$O$72*AZ35/1000000,0)</f>
        <v>13.275573673998075</v>
      </c>
      <c r="BA143" s="1780">
        <f>IF(BA57&gt;0,'R&amp;C-Painel de Controle'!$O$72*BA35/1000000,0)</f>
        <v>13.275573673998075</v>
      </c>
      <c r="BB143" s="1780">
        <f>IF(BB57&gt;0,'R&amp;C-Painel de Controle'!$O$72*BB35/1000000,0)</f>
        <v>13.275573673998075</v>
      </c>
      <c r="BC143" s="1780">
        <f>IF(BC57&gt;0,'R&amp;C-Painel de Controle'!$O$72*BC35/1000000,0)</f>
        <v>13.275573673998075</v>
      </c>
      <c r="BD143" s="297"/>
      <c r="BE143" s="297"/>
      <c r="BF143" s="297"/>
    </row>
    <row r="144" spans="2:58" s="203" customFormat="1" ht="18" hidden="1" customHeight="1" outlineLevel="1" x14ac:dyDescent="0.35">
      <c r="B144" s="859" t="str">
        <f t="shared" ref="B144:D144" si="78">B113</f>
        <v>Aterro Sanitário</v>
      </c>
      <c r="C144" s="1768" t="str">
        <f t="shared" si="78"/>
        <v>Sim</v>
      </c>
      <c r="D144" s="1768">
        <f t="shared" si="78"/>
        <v>358168.59179999999</v>
      </c>
      <c r="E144" s="1775"/>
      <c r="F144" s="1775"/>
      <c r="G144" s="1775"/>
      <c r="H144" s="1775"/>
      <c r="I144" s="1775"/>
      <c r="J144" s="1775"/>
      <c r="K144" s="1775"/>
      <c r="L144" s="1775"/>
      <c r="M144" s="1775"/>
      <c r="N144" s="1775"/>
      <c r="O144" s="1775"/>
      <c r="P144" s="1775"/>
      <c r="Q144" s="1775"/>
      <c r="R144" s="1775"/>
      <c r="S144" s="1775"/>
      <c r="T144" s="1775"/>
      <c r="U144" s="1775"/>
      <c r="V144" s="1775"/>
      <c r="W144" s="1775"/>
      <c r="X144" s="1775"/>
      <c r="Y144" s="1775"/>
      <c r="Z144" s="1775"/>
      <c r="AA144" s="1775"/>
      <c r="AB144" s="1775"/>
      <c r="AC144" s="1775"/>
      <c r="AD144" s="1775"/>
      <c r="AE144" s="1775"/>
      <c r="AF144" s="1775"/>
      <c r="AG144" s="1775"/>
      <c r="AH144" s="1775"/>
      <c r="AI144" s="1775"/>
      <c r="AJ144" s="1775"/>
      <c r="AK144" s="1775"/>
      <c r="AL144" s="1775"/>
      <c r="AM144" s="1775"/>
      <c r="AN144" s="1775"/>
      <c r="AO144" s="1775"/>
      <c r="AP144" s="1775"/>
      <c r="AQ144" s="1775"/>
      <c r="AR144" s="1775"/>
      <c r="AS144" s="1775"/>
      <c r="AT144" s="1775"/>
      <c r="AU144" s="1775"/>
      <c r="AV144" s="1775"/>
      <c r="AW144" s="1775"/>
      <c r="AX144" s="1775"/>
      <c r="AY144" s="1775"/>
      <c r="AZ144" s="1775"/>
      <c r="BA144" s="1775"/>
      <c r="BB144" s="1775"/>
      <c r="BC144" s="1791"/>
      <c r="BD144" s="292"/>
      <c r="BE144" s="292"/>
      <c r="BF144" s="292"/>
    </row>
    <row r="145" spans="2:58" s="203" customFormat="1" ht="18" hidden="1" customHeight="1" outlineLevel="1" x14ac:dyDescent="0.35">
      <c r="B145" s="284"/>
      <c r="C145" s="1776"/>
      <c r="D145" s="1777"/>
      <c r="E145" s="1776"/>
      <c r="F145" s="1776"/>
      <c r="G145" s="1776"/>
      <c r="H145" s="1776"/>
      <c r="I145" s="1776"/>
      <c r="J145" s="1776"/>
      <c r="K145" s="1776"/>
      <c r="L145" s="1776"/>
      <c r="M145" s="1776"/>
      <c r="N145" s="1776"/>
      <c r="O145" s="1776"/>
      <c r="P145" s="1776"/>
      <c r="Q145" s="1776"/>
      <c r="R145" s="1776"/>
      <c r="S145" s="1776"/>
      <c r="T145" s="1776"/>
      <c r="U145" s="1776"/>
      <c r="V145" s="1776"/>
      <c r="W145" s="1776"/>
      <c r="X145" s="1776"/>
      <c r="Y145" s="1776"/>
      <c r="Z145" s="1776"/>
      <c r="AA145" s="1776"/>
      <c r="AB145" s="1776"/>
      <c r="AC145" s="1776"/>
      <c r="AD145" s="1776"/>
      <c r="AE145" s="1776"/>
      <c r="AF145" s="1776"/>
      <c r="AG145" s="1776"/>
      <c r="AH145" s="1776"/>
      <c r="AI145" s="1776"/>
      <c r="AJ145" s="1776"/>
      <c r="AK145" s="1776"/>
      <c r="AL145" s="1776"/>
      <c r="AM145" s="1776"/>
      <c r="AN145" s="1776"/>
      <c r="AO145" s="1776"/>
      <c r="AP145" s="1776"/>
      <c r="AQ145" s="1776"/>
      <c r="AR145" s="1776"/>
      <c r="AS145" s="1776"/>
      <c r="AT145" s="1776"/>
      <c r="AU145" s="1776"/>
      <c r="AV145" s="1776"/>
      <c r="AW145" s="1776"/>
      <c r="AX145" s="1776"/>
      <c r="AY145" s="1776"/>
      <c r="AZ145" s="1776"/>
      <c r="BA145" s="1776"/>
      <c r="BB145" s="1776"/>
      <c r="BC145" s="1776"/>
      <c r="BD145" s="292"/>
      <c r="BE145" s="292"/>
      <c r="BF145" s="292"/>
    </row>
    <row r="146" spans="2:58" s="203" customFormat="1" ht="18" hidden="1" customHeight="1" outlineLevel="1" x14ac:dyDescent="0.35">
      <c r="B146" s="284" t="s">
        <v>412</v>
      </c>
      <c r="C146" s="1780">
        <v>0</v>
      </c>
      <c r="D146" s="1787">
        <f>IF(D60&gt;0,'R&amp;C-Painel de Controle'!$O$75*D35/1000000,0)</f>
        <v>0</v>
      </c>
      <c r="E146" s="1780">
        <f>IF(E60&gt;0,'R&amp;C-Painel de Controle'!$O$75*E35/1000000,0)</f>
        <v>2.9892450712712475</v>
      </c>
      <c r="F146" s="1780">
        <f>IF(F60&gt;0,'R&amp;C-Painel de Controle'!$O$75*F35/1000000,0)</f>
        <v>2.9892450712712475</v>
      </c>
      <c r="G146" s="1780">
        <f>IF(G60&gt;0,'R&amp;C-Painel de Controle'!$O$75*G35/1000000,0)</f>
        <v>2.9892450712712475</v>
      </c>
      <c r="H146" s="1780">
        <f>IF(H60&gt;0,'R&amp;C-Painel de Controle'!$O$75*H35/1000000,0)</f>
        <v>2.9892450712712475</v>
      </c>
      <c r="I146" s="1780">
        <f>IF(I60&gt;0,'R&amp;C-Painel de Controle'!$O$75*I35/1000000,0)</f>
        <v>2.9892450712712475</v>
      </c>
      <c r="J146" s="1780">
        <f>IF(J60&gt;0,'R&amp;C-Painel de Controle'!$O$75*J35/1000000,0)</f>
        <v>2.9892450712712475</v>
      </c>
      <c r="K146" s="1780">
        <f>IF(K60&gt;0,'R&amp;C-Painel de Controle'!$O$75*K35/1000000,0)</f>
        <v>2.9892450712712475</v>
      </c>
      <c r="L146" s="1780">
        <f>IF(L60&gt;0,'R&amp;C-Painel de Controle'!$O$75*L35/1000000,0)</f>
        <v>2.9892450712712475</v>
      </c>
      <c r="M146" s="1780">
        <f>IF(M60&gt;0,'R&amp;C-Painel de Controle'!$O$75*M35/1000000,0)</f>
        <v>2.9892450712712475</v>
      </c>
      <c r="N146" s="1780">
        <f>IF(N60&gt;0,'R&amp;C-Painel de Controle'!$O$75*N35/1000000,0)</f>
        <v>2.9892450712712475</v>
      </c>
      <c r="O146" s="1780">
        <f>IF(O60&gt;0,'R&amp;C-Painel de Controle'!$O$75*O35/1000000,0)</f>
        <v>2.9892450712712475</v>
      </c>
      <c r="P146" s="1780">
        <f>IF(P60&gt;0,'R&amp;C-Painel de Controle'!$O$75*P35/1000000,0)</f>
        <v>2.9892450712712475</v>
      </c>
      <c r="Q146" s="1780">
        <f>IF(Q60&gt;0,'R&amp;C-Painel de Controle'!$O$75*Q35/1000000,0)</f>
        <v>2.9892450712712475</v>
      </c>
      <c r="R146" s="1780">
        <f>IF(R60&gt;0,'R&amp;C-Painel de Controle'!$O$75*R35/1000000,0)</f>
        <v>2.9892450712712475</v>
      </c>
      <c r="S146" s="1780">
        <f>IF(S60&gt;0,'R&amp;C-Painel de Controle'!$O$75*S35/1000000,0)</f>
        <v>2.9892450712712475</v>
      </c>
      <c r="T146" s="1780">
        <f>IF(T60&gt;0,'R&amp;C-Painel de Controle'!$O$75*T35/1000000,0)</f>
        <v>2.9892450712712475</v>
      </c>
      <c r="U146" s="1780">
        <f>IF(U60&gt;0,'R&amp;C-Painel de Controle'!$O$75*U35/1000000,0)</f>
        <v>2.9892450712712475</v>
      </c>
      <c r="V146" s="1780">
        <f>IF(V60&gt;0,'R&amp;C-Painel de Controle'!$O$75*V35/1000000,0)</f>
        <v>2.9892450712712475</v>
      </c>
      <c r="W146" s="1780">
        <f>IF(W60&gt;0,'R&amp;C-Painel de Controle'!$O$75*W35/1000000,0)</f>
        <v>2.9892450712712475</v>
      </c>
      <c r="X146" s="1780">
        <f>IF(X60&gt;0,'R&amp;C-Painel de Controle'!$O$75*X35/1000000,0)</f>
        <v>2.9892450712712475</v>
      </c>
      <c r="Y146" s="1780">
        <f>IF(Y60&gt;0,'R&amp;C-Painel de Controle'!$O$75*Y35/1000000,0)</f>
        <v>2.9892450712712475</v>
      </c>
      <c r="Z146" s="1780">
        <f>IF(Z60&gt;0,'R&amp;C-Painel de Controle'!$O$75*Z35/1000000,0)</f>
        <v>2.9892450712712475</v>
      </c>
      <c r="AA146" s="1780">
        <f>IF(AA60&gt;0,'R&amp;C-Painel de Controle'!$O$75*AA35/1000000,0)</f>
        <v>2.9892450712712475</v>
      </c>
      <c r="AB146" s="1780">
        <f>IF(AB60&gt;0,'R&amp;C-Painel de Controle'!$O$75*AB35/1000000,0)</f>
        <v>2.9892450712712475</v>
      </c>
      <c r="AC146" s="1780">
        <f>IF(AC60&gt;0,'R&amp;C-Painel de Controle'!$O$75*AC35/1000000,0)</f>
        <v>2.9892450712712475</v>
      </c>
      <c r="AD146" s="1780">
        <f>IF(AD60&gt;0,'R&amp;C-Painel de Controle'!$O$75*AD35/1000000,0)</f>
        <v>2.9892450712712475</v>
      </c>
      <c r="AE146" s="1780">
        <f>IF(AE60&gt;0,'R&amp;C-Painel de Controle'!$O$75*AE35/1000000,0)</f>
        <v>2.9892450712712475</v>
      </c>
      <c r="AF146" s="1780">
        <f>IF(AF60&gt;0,'R&amp;C-Painel de Controle'!$O$75*AF35/1000000,0)</f>
        <v>2.9892450712712475</v>
      </c>
      <c r="AG146" s="1780">
        <f>IF(AG60&gt;0,'R&amp;C-Painel de Controle'!$O$75*AG35/1000000,0)</f>
        <v>2.9892450712712475</v>
      </c>
      <c r="AH146" s="1780">
        <f>IF(AH60&gt;0,'R&amp;C-Painel de Controle'!$O$75*AH35/1000000,0)</f>
        <v>2.9892450712712475</v>
      </c>
      <c r="AI146" s="1780">
        <f>IF(AI60&gt;0,'R&amp;C-Painel de Controle'!$O$75*AI35/1000000,0)</f>
        <v>2.9892450712712475</v>
      </c>
      <c r="AJ146" s="1780">
        <f>IF(AJ60&gt;0,'R&amp;C-Painel de Controle'!$O$75*AJ35/1000000,0)</f>
        <v>2.9892450712712475</v>
      </c>
      <c r="AK146" s="1780">
        <f>IF(AK60&gt;0,'R&amp;C-Painel de Controle'!$O$75*AK35/1000000,0)</f>
        <v>2.9892450712712475</v>
      </c>
      <c r="AL146" s="1780">
        <f>IF(AL60&gt;0,'R&amp;C-Painel de Controle'!$O$75*AL35/1000000,0)</f>
        <v>2.9892450712712475</v>
      </c>
      <c r="AM146" s="1780">
        <f>IF(AM60&gt;0,'R&amp;C-Painel de Controle'!$O$75*AM35/1000000,0)</f>
        <v>2.9892450712712475</v>
      </c>
      <c r="AN146" s="1780">
        <f>IF(AN60&gt;0,'R&amp;C-Painel de Controle'!$O$75*AN35/1000000,0)</f>
        <v>2.9892450712712475</v>
      </c>
      <c r="AO146" s="1780">
        <f>IF(AO60&gt;0,'R&amp;C-Painel de Controle'!$O$75*AO35/1000000,0)</f>
        <v>2.9892450712712475</v>
      </c>
      <c r="AP146" s="1780">
        <f>IF(AP60&gt;0,'R&amp;C-Painel de Controle'!$O$75*AP35/1000000,0)</f>
        <v>2.9892450712712475</v>
      </c>
      <c r="AQ146" s="1780">
        <f>IF(AQ60&gt;0,'R&amp;C-Painel de Controle'!$O$75*AQ35/1000000,0)</f>
        <v>2.9892450712712475</v>
      </c>
      <c r="AR146" s="1780">
        <f>IF(AR60&gt;0,'R&amp;C-Painel de Controle'!$O$75*AR35/1000000,0)</f>
        <v>2.9892450712712475</v>
      </c>
      <c r="AS146" s="1780">
        <f>IF(AS60&gt;0,'R&amp;C-Painel de Controle'!$O$75*AS35/1000000,0)</f>
        <v>2.9892450712712475</v>
      </c>
      <c r="AT146" s="1780">
        <f>IF(AT60&gt;0,'R&amp;C-Painel de Controle'!$O$75*AT35/1000000,0)</f>
        <v>2.9892450712712475</v>
      </c>
      <c r="AU146" s="1780">
        <f>IF(AU60&gt;0,'R&amp;C-Painel de Controle'!$O$75*AU35/1000000,0)</f>
        <v>2.9892450712712475</v>
      </c>
      <c r="AV146" s="1780">
        <f>IF(AV60&gt;0,'R&amp;C-Painel de Controle'!$O$75*AV35/1000000,0)</f>
        <v>2.9892450712712475</v>
      </c>
      <c r="AW146" s="1780">
        <f>IF(AW60&gt;0,'R&amp;C-Painel de Controle'!$O$75*AW35/1000000,0)</f>
        <v>2.9892450712712475</v>
      </c>
      <c r="AX146" s="1780">
        <f>IF(AX60&gt;0,'R&amp;C-Painel de Controle'!$O$75*AX35/1000000,0)</f>
        <v>2.9892450712712475</v>
      </c>
      <c r="AY146" s="1780">
        <f>IF(AY60&gt;0,'R&amp;C-Painel de Controle'!$O$75*AY35/1000000,0)</f>
        <v>2.9892450712712475</v>
      </c>
      <c r="AZ146" s="1780">
        <f>IF(AZ60&gt;0,'R&amp;C-Painel de Controle'!$O$75*AZ35/1000000,0)</f>
        <v>2.9892450712712475</v>
      </c>
      <c r="BA146" s="1780">
        <f>IF(BA60&gt;0,'R&amp;C-Painel de Controle'!$O$75*BA35/1000000,0)</f>
        <v>2.9892450712712475</v>
      </c>
      <c r="BB146" s="1780">
        <f>IF(BB60&gt;0,'R&amp;C-Painel de Controle'!$O$75*BB35/1000000,0)</f>
        <v>2.9892450712712475</v>
      </c>
      <c r="BC146" s="1780">
        <f>IF(BC60&gt;0,'R&amp;C-Painel de Controle'!$O$75*BC35/1000000,0)</f>
        <v>2.9892450712712475</v>
      </c>
      <c r="BD146" s="297"/>
      <c r="BE146" s="297"/>
      <c r="BF146" s="297"/>
    </row>
    <row r="147" spans="2:58" s="203" customFormat="1" ht="18" customHeight="1" x14ac:dyDescent="0.35">
      <c r="B147" s="296"/>
      <c r="C147" s="1785"/>
      <c r="D147" s="1785"/>
      <c r="E147" s="1785"/>
      <c r="F147" s="1785"/>
      <c r="G147" s="1785"/>
      <c r="H147" s="1785"/>
      <c r="I147" s="1785"/>
      <c r="J147" s="1785"/>
      <c r="K147" s="1785"/>
      <c r="L147" s="1785"/>
      <c r="M147" s="1785"/>
      <c r="N147" s="1785"/>
      <c r="O147" s="1785"/>
      <c r="P147" s="1785"/>
      <c r="Q147" s="1785"/>
      <c r="R147" s="1765"/>
      <c r="S147" s="1686"/>
      <c r="T147" s="1686"/>
      <c r="U147" s="1686"/>
      <c r="V147" s="1686"/>
      <c r="W147" s="1686"/>
      <c r="X147" s="1686"/>
      <c r="Y147" s="1686"/>
      <c r="Z147" s="1686"/>
      <c r="AA147" s="1686"/>
      <c r="AB147" s="1686"/>
      <c r="AC147" s="1686"/>
      <c r="AD147" s="1686"/>
      <c r="AE147" s="1686"/>
      <c r="AF147" s="1686"/>
      <c r="AG147" s="1686"/>
      <c r="AH147" s="1686"/>
      <c r="AI147" s="1686"/>
      <c r="AJ147" s="1686"/>
      <c r="AK147" s="1686"/>
      <c r="AL147" s="1686"/>
      <c r="AM147" s="1686"/>
      <c r="AN147" s="1686"/>
      <c r="AO147" s="1686"/>
      <c r="AP147" s="1686"/>
      <c r="AQ147" s="1686"/>
      <c r="AR147" s="1686"/>
      <c r="AS147" s="1686"/>
      <c r="AT147" s="1686"/>
      <c r="AU147" s="1686"/>
      <c r="AV147" s="1686"/>
      <c r="AW147" s="1686"/>
      <c r="AX147" s="1686"/>
      <c r="AY147" s="1686"/>
      <c r="AZ147" s="1686"/>
      <c r="BA147" s="1686"/>
      <c r="BB147" s="1686"/>
      <c r="BC147" s="1686"/>
    </row>
    <row r="148" spans="2:58" s="203" customFormat="1" ht="25.4" customHeight="1" x14ac:dyDescent="0.35">
      <c r="B148" s="1682" t="s">
        <v>413</v>
      </c>
      <c r="C148" s="1785">
        <f t="shared" ref="C148:AH148" si="79">C35*$G$26/1000000</f>
        <v>314.48124320314417</v>
      </c>
      <c r="D148" s="1785">
        <f t="shared" si="79"/>
        <v>314.48124320314417</v>
      </c>
      <c r="E148" s="1785">
        <f t="shared" si="79"/>
        <v>314.48124320314417</v>
      </c>
      <c r="F148" s="1785">
        <f t="shared" si="79"/>
        <v>314.48124320314417</v>
      </c>
      <c r="G148" s="1785">
        <f t="shared" si="79"/>
        <v>314.48124320314417</v>
      </c>
      <c r="H148" s="1785">
        <f t="shared" si="79"/>
        <v>314.48124320314417</v>
      </c>
      <c r="I148" s="1785">
        <f t="shared" si="79"/>
        <v>314.48124320314417</v>
      </c>
      <c r="J148" s="1785">
        <f t="shared" si="79"/>
        <v>314.48124320314417</v>
      </c>
      <c r="K148" s="1785">
        <f t="shared" si="79"/>
        <v>314.48124320314417</v>
      </c>
      <c r="L148" s="1785">
        <f t="shared" si="79"/>
        <v>314.48124320314417</v>
      </c>
      <c r="M148" s="1785">
        <f t="shared" si="79"/>
        <v>314.48124320314417</v>
      </c>
      <c r="N148" s="1785">
        <f t="shared" si="79"/>
        <v>314.48124320314417</v>
      </c>
      <c r="O148" s="1785">
        <f t="shared" si="79"/>
        <v>314.48124320314417</v>
      </c>
      <c r="P148" s="1785">
        <f t="shared" si="79"/>
        <v>314.48124320314417</v>
      </c>
      <c r="Q148" s="1785">
        <f t="shared" si="79"/>
        <v>314.48124320314417</v>
      </c>
      <c r="R148" s="1785">
        <f t="shared" si="79"/>
        <v>314.48124320314417</v>
      </c>
      <c r="S148" s="1785">
        <f t="shared" si="79"/>
        <v>314.48124320314417</v>
      </c>
      <c r="T148" s="1785">
        <f t="shared" si="79"/>
        <v>314.48124320314417</v>
      </c>
      <c r="U148" s="1785">
        <f t="shared" si="79"/>
        <v>314.48124320314417</v>
      </c>
      <c r="V148" s="1785">
        <f t="shared" si="79"/>
        <v>314.48124320314417</v>
      </c>
      <c r="W148" s="1785">
        <f t="shared" si="79"/>
        <v>314.48124320314417</v>
      </c>
      <c r="X148" s="1785">
        <f t="shared" si="79"/>
        <v>314.48124320314417</v>
      </c>
      <c r="Y148" s="1785">
        <f t="shared" si="79"/>
        <v>314.48124320314417</v>
      </c>
      <c r="Z148" s="1785">
        <f t="shared" si="79"/>
        <v>314.48124320314417</v>
      </c>
      <c r="AA148" s="1785">
        <f t="shared" si="79"/>
        <v>314.48124320314417</v>
      </c>
      <c r="AB148" s="1785">
        <f t="shared" si="79"/>
        <v>314.48124320314417</v>
      </c>
      <c r="AC148" s="1785">
        <f t="shared" si="79"/>
        <v>314.48124320314417</v>
      </c>
      <c r="AD148" s="1785">
        <f t="shared" si="79"/>
        <v>314.48124320314417</v>
      </c>
      <c r="AE148" s="1785">
        <f t="shared" si="79"/>
        <v>314.48124320314417</v>
      </c>
      <c r="AF148" s="1785">
        <f t="shared" si="79"/>
        <v>314.48124320314417</v>
      </c>
      <c r="AG148" s="1785">
        <f t="shared" si="79"/>
        <v>314.48124320314417</v>
      </c>
      <c r="AH148" s="1785">
        <f t="shared" si="79"/>
        <v>314.48124320314417</v>
      </c>
      <c r="AI148" s="1785">
        <f t="shared" ref="AI148:BC148" si="80">AI35*$G$26/1000000</f>
        <v>314.48124320314417</v>
      </c>
      <c r="AJ148" s="1785">
        <f t="shared" si="80"/>
        <v>314.48124320314417</v>
      </c>
      <c r="AK148" s="1785">
        <f t="shared" si="80"/>
        <v>314.48124320314417</v>
      </c>
      <c r="AL148" s="1785">
        <f t="shared" si="80"/>
        <v>314.48124320314417</v>
      </c>
      <c r="AM148" s="1785">
        <f t="shared" si="80"/>
        <v>314.48124320314417</v>
      </c>
      <c r="AN148" s="1785">
        <f t="shared" si="80"/>
        <v>314.48124320314417</v>
      </c>
      <c r="AO148" s="1785">
        <f t="shared" si="80"/>
        <v>314.48124320314417</v>
      </c>
      <c r="AP148" s="1785">
        <f t="shared" si="80"/>
        <v>314.48124320314417</v>
      </c>
      <c r="AQ148" s="1785">
        <f t="shared" si="80"/>
        <v>314.48124320314417</v>
      </c>
      <c r="AR148" s="1785">
        <f t="shared" si="80"/>
        <v>314.48124320314417</v>
      </c>
      <c r="AS148" s="1785">
        <f t="shared" si="80"/>
        <v>314.48124320314417</v>
      </c>
      <c r="AT148" s="1785">
        <f t="shared" si="80"/>
        <v>314.48124320314417</v>
      </c>
      <c r="AU148" s="1785">
        <f t="shared" si="80"/>
        <v>314.48124320314417</v>
      </c>
      <c r="AV148" s="1785">
        <f t="shared" si="80"/>
        <v>314.48124320314417</v>
      </c>
      <c r="AW148" s="1785">
        <f t="shared" si="80"/>
        <v>314.48124320314417</v>
      </c>
      <c r="AX148" s="1785">
        <f t="shared" si="80"/>
        <v>314.48124320314417</v>
      </c>
      <c r="AY148" s="1785">
        <f t="shared" si="80"/>
        <v>314.48124320314417</v>
      </c>
      <c r="AZ148" s="1785">
        <f t="shared" si="80"/>
        <v>314.48124320314417</v>
      </c>
      <c r="BA148" s="1785">
        <f t="shared" si="80"/>
        <v>314.48124320314417</v>
      </c>
      <c r="BB148" s="1785">
        <f t="shared" si="80"/>
        <v>314.48124320314417</v>
      </c>
      <c r="BC148" s="1785">
        <f t="shared" si="80"/>
        <v>314.48124320314417</v>
      </c>
    </row>
    <row r="149" spans="2:58" s="203" customFormat="1" ht="17.149999999999999" customHeight="1" x14ac:dyDescent="0.35">
      <c r="C149" s="1785"/>
      <c r="D149" s="1785"/>
      <c r="E149" s="1785"/>
      <c r="F149" s="1785"/>
      <c r="G149" s="1785"/>
      <c r="H149" s="1785"/>
      <c r="I149" s="1785"/>
      <c r="J149" s="1785"/>
      <c r="K149" s="1785"/>
      <c r="L149" s="1785"/>
      <c r="M149" s="1785"/>
      <c r="N149" s="1785"/>
      <c r="O149" s="1785"/>
      <c r="P149" s="1785"/>
      <c r="Q149" s="1785"/>
      <c r="R149" s="1785"/>
      <c r="S149" s="1785"/>
      <c r="T149" s="1785"/>
      <c r="U149" s="1785"/>
      <c r="V149" s="1785"/>
      <c r="W149" s="1785"/>
      <c r="X149" s="1785"/>
      <c r="Y149" s="1785"/>
      <c r="Z149" s="1785"/>
      <c r="AA149" s="1785"/>
      <c r="AB149" s="1785"/>
      <c r="AC149" s="1785"/>
      <c r="AD149" s="1785"/>
      <c r="AE149" s="1785"/>
      <c r="AF149" s="1785"/>
      <c r="AG149" s="1785"/>
      <c r="AH149" s="1785"/>
      <c r="AI149" s="1785"/>
      <c r="AJ149" s="1785"/>
      <c r="AK149" s="1785"/>
      <c r="AL149" s="1785"/>
      <c r="AM149" s="1785"/>
      <c r="AN149" s="1785"/>
      <c r="AO149" s="1785"/>
      <c r="AP149" s="1785"/>
      <c r="AQ149" s="1785"/>
      <c r="AR149" s="1785"/>
      <c r="AS149" s="1785"/>
      <c r="AT149" s="1785"/>
      <c r="AU149" s="1785"/>
      <c r="AV149" s="1785"/>
      <c r="AW149" s="1785"/>
      <c r="AX149" s="1785"/>
      <c r="AY149" s="1785"/>
      <c r="AZ149" s="1785"/>
      <c r="BA149" s="1785"/>
      <c r="BB149" s="1785"/>
      <c r="BC149" s="1785"/>
    </row>
    <row r="150" spans="2:58" s="203" customFormat="1" ht="25.4" customHeight="1" x14ac:dyDescent="0.35">
      <c r="B150" s="1682" t="s">
        <v>678</v>
      </c>
      <c r="C150" s="1686"/>
      <c r="D150" s="1686"/>
      <c r="E150" s="1686"/>
      <c r="F150" s="1686"/>
      <c r="G150" s="1686"/>
      <c r="H150" s="1686"/>
      <c r="I150" s="1686"/>
      <c r="J150" s="1686"/>
      <c r="K150" s="1686"/>
      <c r="L150" s="1686"/>
      <c r="M150" s="1686"/>
      <c r="N150" s="1686"/>
      <c r="O150" s="1686"/>
      <c r="P150" s="1686"/>
      <c r="Q150" s="1686"/>
      <c r="R150" s="1765"/>
      <c r="S150" s="1686"/>
      <c r="T150" s="1686"/>
      <c r="U150" s="1686"/>
      <c r="V150" s="1686"/>
      <c r="W150" s="1686"/>
      <c r="X150" s="1686"/>
      <c r="Y150" s="1686"/>
      <c r="Z150" s="1686"/>
      <c r="AA150" s="1686"/>
      <c r="AB150" s="1686"/>
      <c r="AC150" s="1686"/>
      <c r="AD150" s="1686"/>
      <c r="AE150" s="1686"/>
      <c r="AF150" s="1686"/>
      <c r="AG150" s="1686"/>
      <c r="AH150" s="1686"/>
      <c r="AI150" s="1686"/>
      <c r="AJ150" s="1686"/>
      <c r="AK150" s="1686"/>
      <c r="AL150" s="1686"/>
      <c r="AM150" s="1686"/>
      <c r="AN150" s="1686"/>
      <c r="AO150" s="1686"/>
      <c r="AP150" s="1686"/>
      <c r="AQ150" s="1686"/>
      <c r="AR150" s="1686"/>
      <c r="AS150" s="1686"/>
      <c r="AT150" s="1686"/>
      <c r="AU150" s="1686"/>
      <c r="AV150" s="1686"/>
      <c r="AW150" s="1686"/>
      <c r="AX150" s="1686"/>
      <c r="AY150" s="1686"/>
      <c r="AZ150" s="1686"/>
      <c r="BA150" s="1686"/>
      <c r="BB150" s="1686"/>
      <c r="BC150" s="1686"/>
    </row>
    <row r="151" spans="2:58" s="203" customFormat="1" ht="17.149999999999999" customHeight="1" outlineLevel="1" x14ac:dyDescent="0.35">
      <c r="B151" s="203" t="s">
        <v>679</v>
      </c>
      <c r="C151" s="1792">
        <f t="shared" ref="C151:BC151" si="81">C148+C121-C119</f>
        <v>280.04881361314415</v>
      </c>
      <c r="D151" s="1792">
        <f t="shared" si="81"/>
        <v>280.04881361314415</v>
      </c>
      <c r="E151" s="1792">
        <f t="shared" si="81"/>
        <v>166.97096776274191</v>
      </c>
      <c r="F151" s="1792">
        <f t="shared" si="81"/>
        <v>89.859610287030279</v>
      </c>
      <c r="G151" s="1792">
        <f t="shared" si="81"/>
        <v>89.859610287030279</v>
      </c>
      <c r="H151" s="1792">
        <f t="shared" si="81"/>
        <v>89.859610287030279</v>
      </c>
      <c r="I151" s="1792">
        <f t="shared" si="81"/>
        <v>89.859610287030279</v>
      </c>
      <c r="J151" s="1792">
        <f t="shared" si="81"/>
        <v>89.859610287030279</v>
      </c>
      <c r="K151" s="1792">
        <f t="shared" si="81"/>
        <v>89.859610287030279</v>
      </c>
      <c r="L151" s="1792">
        <f t="shared" si="81"/>
        <v>89.859610287030279</v>
      </c>
      <c r="M151" s="1792">
        <f t="shared" si="81"/>
        <v>89.859610287030279</v>
      </c>
      <c r="N151" s="1792">
        <f t="shared" si="81"/>
        <v>89.859610287030279</v>
      </c>
      <c r="O151" s="1792">
        <f t="shared" si="81"/>
        <v>89.859610287030279</v>
      </c>
      <c r="P151" s="1792">
        <f t="shared" si="81"/>
        <v>89.859610287030279</v>
      </c>
      <c r="Q151" s="1792">
        <f t="shared" si="81"/>
        <v>89.859610287030279</v>
      </c>
      <c r="R151" s="1792">
        <f t="shared" si="81"/>
        <v>89.859610287030279</v>
      </c>
      <c r="S151" s="1792">
        <f t="shared" si="81"/>
        <v>89.859610287030279</v>
      </c>
      <c r="T151" s="1792">
        <f t="shared" si="81"/>
        <v>89.859610287030279</v>
      </c>
      <c r="U151" s="1792">
        <f t="shared" si="81"/>
        <v>89.859610287030279</v>
      </c>
      <c r="V151" s="1792">
        <f t="shared" si="81"/>
        <v>89.859610287030279</v>
      </c>
      <c r="W151" s="1792">
        <f t="shared" si="81"/>
        <v>89.859610287030279</v>
      </c>
      <c r="X151" s="1792">
        <f t="shared" si="81"/>
        <v>89.859610287030279</v>
      </c>
      <c r="Y151" s="1792">
        <f t="shared" si="81"/>
        <v>89.859610287030279</v>
      </c>
      <c r="Z151" s="1792">
        <f t="shared" si="81"/>
        <v>89.859610287030279</v>
      </c>
      <c r="AA151" s="1792">
        <f t="shared" si="81"/>
        <v>89.859610287030279</v>
      </c>
      <c r="AB151" s="1792">
        <f t="shared" si="81"/>
        <v>89.859610287030279</v>
      </c>
      <c r="AC151" s="1792">
        <f t="shared" si="81"/>
        <v>89.859610287030279</v>
      </c>
      <c r="AD151" s="1792">
        <f t="shared" si="81"/>
        <v>89.859610287030279</v>
      </c>
      <c r="AE151" s="1792">
        <f t="shared" si="81"/>
        <v>89.859610287030279</v>
      </c>
      <c r="AF151" s="1792">
        <f t="shared" si="81"/>
        <v>89.859610287030279</v>
      </c>
      <c r="AG151" s="1792">
        <f t="shared" si="81"/>
        <v>89.859610287030279</v>
      </c>
      <c r="AH151" s="1792">
        <f t="shared" si="81"/>
        <v>89.859610287030279</v>
      </c>
      <c r="AI151" s="1792">
        <f t="shared" si="81"/>
        <v>89.859610287030279</v>
      </c>
      <c r="AJ151" s="1792">
        <f t="shared" si="81"/>
        <v>89.859610287030279</v>
      </c>
      <c r="AK151" s="1792">
        <f t="shared" si="81"/>
        <v>89.859610287030279</v>
      </c>
      <c r="AL151" s="1792">
        <f t="shared" si="81"/>
        <v>89.859610287030279</v>
      </c>
      <c r="AM151" s="1792">
        <f t="shared" si="81"/>
        <v>89.859610287030279</v>
      </c>
      <c r="AN151" s="1792">
        <f t="shared" si="81"/>
        <v>89.859610287030279</v>
      </c>
      <c r="AO151" s="1792">
        <f t="shared" si="81"/>
        <v>89.859610287030279</v>
      </c>
      <c r="AP151" s="1792">
        <f t="shared" si="81"/>
        <v>89.859610287030279</v>
      </c>
      <c r="AQ151" s="1792">
        <f t="shared" si="81"/>
        <v>89.859610287030279</v>
      </c>
      <c r="AR151" s="1792">
        <f t="shared" si="81"/>
        <v>89.859610287030279</v>
      </c>
      <c r="AS151" s="1792">
        <f t="shared" si="81"/>
        <v>89.859610287030279</v>
      </c>
      <c r="AT151" s="1792">
        <f t="shared" si="81"/>
        <v>89.859610287030279</v>
      </c>
      <c r="AU151" s="1792">
        <f t="shared" si="81"/>
        <v>89.859610287030279</v>
      </c>
      <c r="AV151" s="1792">
        <f t="shared" si="81"/>
        <v>89.859610287030279</v>
      </c>
      <c r="AW151" s="1792">
        <f t="shared" si="81"/>
        <v>89.859610287030279</v>
      </c>
      <c r="AX151" s="1792">
        <f t="shared" si="81"/>
        <v>89.859610287030279</v>
      </c>
      <c r="AY151" s="1792">
        <f t="shared" si="81"/>
        <v>89.859610287030279</v>
      </c>
      <c r="AZ151" s="1792">
        <f t="shared" si="81"/>
        <v>89.859610287030279</v>
      </c>
      <c r="BA151" s="1792">
        <f t="shared" si="81"/>
        <v>89.859610287030279</v>
      </c>
      <c r="BB151" s="1792">
        <f t="shared" si="81"/>
        <v>89.859610287030279</v>
      </c>
      <c r="BC151" s="1792">
        <f t="shared" si="81"/>
        <v>89.859610287030279</v>
      </c>
    </row>
    <row r="152" spans="2:58" s="203" customFormat="1" ht="17.149999999999999" customHeight="1" outlineLevel="1" x14ac:dyDescent="0.35">
      <c r="B152" s="203" t="s">
        <v>414</v>
      </c>
      <c r="C152" s="1793"/>
      <c r="D152" s="1793"/>
      <c r="E152" s="1793"/>
      <c r="F152" s="1793"/>
      <c r="G152" s="1793"/>
      <c r="H152" s="1793"/>
      <c r="I152" s="1793"/>
      <c r="J152" s="1793"/>
      <c r="K152" s="1793"/>
      <c r="L152" s="1793"/>
      <c r="M152" s="1793"/>
      <c r="N152" s="1793"/>
      <c r="O152" s="1793"/>
      <c r="P152" s="1793"/>
      <c r="Q152" s="1793"/>
      <c r="R152" s="1792"/>
      <c r="S152" s="1793"/>
      <c r="T152" s="1793"/>
      <c r="U152" s="1793"/>
      <c r="V152" s="1793"/>
      <c r="W152" s="1793"/>
      <c r="X152" s="1793"/>
      <c r="Y152" s="1793"/>
      <c r="Z152" s="1793"/>
      <c r="AA152" s="1793"/>
      <c r="AB152" s="1793"/>
      <c r="AC152" s="1793"/>
      <c r="AD152" s="1793"/>
      <c r="AE152" s="1793"/>
      <c r="AF152" s="1793"/>
      <c r="AG152" s="1793"/>
      <c r="AH152" s="1793"/>
      <c r="AI152" s="1793"/>
      <c r="AJ152" s="1793"/>
      <c r="AK152" s="1793"/>
      <c r="AL152" s="1793"/>
      <c r="AM152" s="1793"/>
      <c r="AN152" s="1793"/>
      <c r="AO152" s="1793"/>
      <c r="AP152" s="1793"/>
      <c r="AQ152" s="1793"/>
      <c r="AR152" s="1793"/>
      <c r="AS152" s="1793"/>
      <c r="AT152" s="1793"/>
      <c r="AU152" s="1793"/>
      <c r="AV152" s="1793"/>
      <c r="AW152" s="1793"/>
      <c r="AX152" s="1793"/>
      <c r="AY152" s="1793"/>
      <c r="AZ152" s="1793"/>
      <c r="BA152" s="1793"/>
      <c r="BB152" s="1793"/>
      <c r="BC152" s="1793"/>
    </row>
    <row r="153" spans="2:58" s="203" customFormat="1" ht="17.149999999999999" customHeight="1" outlineLevel="1" x14ac:dyDescent="0.35">
      <c r="B153" s="203" t="s">
        <v>415</v>
      </c>
      <c r="C153" s="1792">
        <f t="shared" ref="C153:BC153" si="82">C151-C152</f>
        <v>280.04881361314415</v>
      </c>
      <c r="D153" s="1792">
        <f t="shared" si="82"/>
        <v>280.04881361314415</v>
      </c>
      <c r="E153" s="1792">
        <f t="shared" si="82"/>
        <v>166.97096776274191</v>
      </c>
      <c r="F153" s="1792">
        <f t="shared" si="82"/>
        <v>89.859610287030279</v>
      </c>
      <c r="G153" s="1792">
        <f t="shared" si="82"/>
        <v>89.859610287030279</v>
      </c>
      <c r="H153" s="1792">
        <f t="shared" si="82"/>
        <v>89.859610287030279</v>
      </c>
      <c r="I153" s="1792">
        <f t="shared" si="82"/>
        <v>89.859610287030279</v>
      </c>
      <c r="J153" s="1792">
        <f t="shared" si="82"/>
        <v>89.859610287030279</v>
      </c>
      <c r="K153" s="1792">
        <f t="shared" si="82"/>
        <v>89.859610287030279</v>
      </c>
      <c r="L153" s="1792">
        <f t="shared" si="82"/>
        <v>89.859610287030279</v>
      </c>
      <c r="M153" s="1792">
        <f t="shared" si="82"/>
        <v>89.859610287030279</v>
      </c>
      <c r="N153" s="1792">
        <f t="shared" si="82"/>
        <v>89.859610287030279</v>
      </c>
      <c r="O153" s="1792">
        <f t="shared" si="82"/>
        <v>89.859610287030279</v>
      </c>
      <c r="P153" s="1792">
        <f t="shared" si="82"/>
        <v>89.859610287030279</v>
      </c>
      <c r="Q153" s="1792">
        <f t="shared" si="82"/>
        <v>89.859610287030279</v>
      </c>
      <c r="R153" s="1792">
        <f t="shared" si="82"/>
        <v>89.859610287030279</v>
      </c>
      <c r="S153" s="1792">
        <f t="shared" si="82"/>
        <v>89.859610287030279</v>
      </c>
      <c r="T153" s="1792">
        <f t="shared" si="82"/>
        <v>89.859610287030279</v>
      </c>
      <c r="U153" s="1792">
        <f t="shared" si="82"/>
        <v>89.859610287030279</v>
      </c>
      <c r="V153" s="1792">
        <f t="shared" si="82"/>
        <v>89.859610287030279</v>
      </c>
      <c r="W153" s="1792">
        <f t="shared" si="82"/>
        <v>89.859610287030279</v>
      </c>
      <c r="X153" s="1792">
        <f t="shared" si="82"/>
        <v>89.859610287030279</v>
      </c>
      <c r="Y153" s="1792">
        <f t="shared" si="82"/>
        <v>89.859610287030279</v>
      </c>
      <c r="Z153" s="1792">
        <f t="shared" si="82"/>
        <v>89.859610287030279</v>
      </c>
      <c r="AA153" s="1792">
        <f t="shared" si="82"/>
        <v>89.859610287030279</v>
      </c>
      <c r="AB153" s="1792">
        <f t="shared" si="82"/>
        <v>89.859610287030279</v>
      </c>
      <c r="AC153" s="1792">
        <f t="shared" si="82"/>
        <v>89.859610287030279</v>
      </c>
      <c r="AD153" s="1792">
        <f t="shared" si="82"/>
        <v>89.859610287030279</v>
      </c>
      <c r="AE153" s="1792">
        <f t="shared" si="82"/>
        <v>89.859610287030279</v>
      </c>
      <c r="AF153" s="1792">
        <f t="shared" si="82"/>
        <v>89.859610287030279</v>
      </c>
      <c r="AG153" s="1792">
        <f t="shared" si="82"/>
        <v>89.859610287030279</v>
      </c>
      <c r="AH153" s="1792">
        <f t="shared" si="82"/>
        <v>89.859610287030279</v>
      </c>
      <c r="AI153" s="1792">
        <f t="shared" si="82"/>
        <v>89.859610287030279</v>
      </c>
      <c r="AJ153" s="1792">
        <f t="shared" si="82"/>
        <v>89.859610287030279</v>
      </c>
      <c r="AK153" s="1792">
        <f t="shared" si="82"/>
        <v>89.859610287030279</v>
      </c>
      <c r="AL153" s="1792">
        <f t="shared" si="82"/>
        <v>89.859610287030279</v>
      </c>
      <c r="AM153" s="1792">
        <f t="shared" si="82"/>
        <v>89.859610287030279</v>
      </c>
      <c r="AN153" s="1792">
        <f t="shared" si="82"/>
        <v>89.859610287030279</v>
      </c>
      <c r="AO153" s="1792">
        <f t="shared" si="82"/>
        <v>89.859610287030279</v>
      </c>
      <c r="AP153" s="1792">
        <f t="shared" si="82"/>
        <v>89.859610287030279</v>
      </c>
      <c r="AQ153" s="1792">
        <f t="shared" si="82"/>
        <v>89.859610287030279</v>
      </c>
      <c r="AR153" s="1792">
        <f t="shared" si="82"/>
        <v>89.859610287030279</v>
      </c>
      <c r="AS153" s="1792">
        <f t="shared" si="82"/>
        <v>89.859610287030279</v>
      </c>
      <c r="AT153" s="1792">
        <f t="shared" si="82"/>
        <v>89.859610287030279</v>
      </c>
      <c r="AU153" s="1792">
        <f t="shared" si="82"/>
        <v>89.859610287030279</v>
      </c>
      <c r="AV153" s="1792">
        <f t="shared" si="82"/>
        <v>89.859610287030279</v>
      </c>
      <c r="AW153" s="1792">
        <f t="shared" si="82"/>
        <v>89.859610287030279</v>
      </c>
      <c r="AX153" s="1792">
        <f t="shared" si="82"/>
        <v>89.859610287030279</v>
      </c>
      <c r="AY153" s="1792">
        <f t="shared" si="82"/>
        <v>89.859610287030279</v>
      </c>
      <c r="AZ153" s="1792">
        <f t="shared" si="82"/>
        <v>89.859610287030279</v>
      </c>
      <c r="BA153" s="1792">
        <f t="shared" si="82"/>
        <v>89.859610287030279</v>
      </c>
      <c r="BB153" s="1792">
        <f t="shared" si="82"/>
        <v>89.859610287030279</v>
      </c>
      <c r="BC153" s="1792">
        <f t="shared" si="82"/>
        <v>89.859610287030279</v>
      </c>
    </row>
    <row r="154" spans="2:58" s="203" customFormat="1" ht="17.149999999999999" customHeight="1" outlineLevel="1" x14ac:dyDescent="0.35">
      <c r="B154" s="294" t="s">
        <v>416</v>
      </c>
      <c r="C154" s="1792">
        <f t="shared" ref="C154:BC154" si="83">C153*(1-($C$25+$C$24))</f>
        <v>184.83221698467514</v>
      </c>
      <c r="D154" s="1792">
        <f t="shared" si="83"/>
        <v>184.83221698467514</v>
      </c>
      <c r="E154" s="1792">
        <f t="shared" si="83"/>
        <v>110.20083872340966</v>
      </c>
      <c r="F154" s="1792">
        <f t="shared" si="83"/>
        <v>59.307342789439986</v>
      </c>
      <c r="G154" s="1792">
        <f t="shared" si="83"/>
        <v>59.307342789439986</v>
      </c>
      <c r="H154" s="1792">
        <f t="shared" si="83"/>
        <v>59.307342789439986</v>
      </c>
      <c r="I154" s="1792">
        <f t="shared" si="83"/>
        <v>59.307342789439986</v>
      </c>
      <c r="J154" s="1792">
        <f t="shared" si="83"/>
        <v>59.307342789439986</v>
      </c>
      <c r="K154" s="1792">
        <f t="shared" si="83"/>
        <v>59.307342789439986</v>
      </c>
      <c r="L154" s="1792">
        <f t="shared" si="83"/>
        <v>59.307342789439986</v>
      </c>
      <c r="M154" s="1792">
        <f t="shared" si="83"/>
        <v>59.307342789439986</v>
      </c>
      <c r="N154" s="1792">
        <f t="shared" si="83"/>
        <v>59.307342789439986</v>
      </c>
      <c r="O154" s="1792">
        <f t="shared" si="83"/>
        <v>59.307342789439986</v>
      </c>
      <c r="P154" s="1792">
        <f t="shared" si="83"/>
        <v>59.307342789439986</v>
      </c>
      <c r="Q154" s="1792">
        <f t="shared" si="83"/>
        <v>59.307342789439986</v>
      </c>
      <c r="R154" s="1792">
        <f t="shared" si="83"/>
        <v>59.307342789439986</v>
      </c>
      <c r="S154" s="1792">
        <f t="shared" si="83"/>
        <v>59.307342789439986</v>
      </c>
      <c r="T154" s="1792">
        <f t="shared" si="83"/>
        <v>59.307342789439986</v>
      </c>
      <c r="U154" s="1792">
        <f t="shared" si="83"/>
        <v>59.307342789439986</v>
      </c>
      <c r="V154" s="1792">
        <f t="shared" si="83"/>
        <v>59.307342789439986</v>
      </c>
      <c r="W154" s="1792">
        <f t="shared" si="83"/>
        <v>59.307342789439986</v>
      </c>
      <c r="X154" s="1792">
        <f t="shared" si="83"/>
        <v>59.307342789439986</v>
      </c>
      <c r="Y154" s="1792">
        <f t="shared" si="83"/>
        <v>59.307342789439986</v>
      </c>
      <c r="Z154" s="1792">
        <f t="shared" si="83"/>
        <v>59.307342789439986</v>
      </c>
      <c r="AA154" s="1792">
        <f t="shared" si="83"/>
        <v>59.307342789439986</v>
      </c>
      <c r="AB154" s="1792">
        <f t="shared" si="83"/>
        <v>59.307342789439986</v>
      </c>
      <c r="AC154" s="1792">
        <f t="shared" si="83"/>
        <v>59.307342789439986</v>
      </c>
      <c r="AD154" s="1792">
        <f t="shared" si="83"/>
        <v>59.307342789439986</v>
      </c>
      <c r="AE154" s="1792">
        <f t="shared" si="83"/>
        <v>59.307342789439986</v>
      </c>
      <c r="AF154" s="1792">
        <f t="shared" si="83"/>
        <v>59.307342789439986</v>
      </c>
      <c r="AG154" s="1792">
        <f t="shared" si="83"/>
        <v>59.307342789439986</v>
      </c>
      <c r="AH154" s="1792">
        <f t="shared" si="83"/>
        <v>59.307342789439986</v>
      </c>
      <c r="AI154" s="1792">
        <f t="shared" si="83"/>
        <v>59.307342789439986</v>
      </c>
      <c r="AJ154" s="1792">
        <f t="shared" si="83"/>
        <v>59.307342789439986</v>
      </c>
      <c r="AK154" s="1792">
        <f t="shared" si="83"/>
        <v>59.307342789439986</v>
      </c>
      <c r="AL154" s="1792">
        <f t="shared" si="83"/>
        <v>59.307342789439986</v>
      </c>
      <c r="AM154" s="1792">
        <f t="shared" si="83"/>
        <v>59.307342789439986</v>
      </c>
      <c r="AN154" s="1792">
        <f t="shared" si="83"/>
        <v>59.307342789439986</v>
      </c>
      <c r="AO154" s="1792">
        <f t="shared" si="83"/>
        <v>59.307342789439986</v>
      </c>
      <c r="AP154" s="1792">
        <f t="shared" si="83"/>
        <v>59.307342789439986</v>
      </c>
      <c r="AQ154" s="1792">
        <f t="shared" si="83"/>
        <v>59.307342789439986</v>
      </c>
      <c r="AR154" s="1792">
        <f t="shared" si="83"/>
        <v>59.307342789439986</v>
      </c>
      <c r="AS154" s="1792">
        <f t="shared" si="83"/>
        <v>59.307342789439986</v>
      </c>
      <c r="AT154" s="1792">
        <f t="shared" si="83"/>
        <v>59.307342789439986</v>
      </c>
      <c r="AU154" s="1792">
        <f t="shared" si="83"/>
        <v>59.307342789439986</v>
      </c>
      <c r="AV154" s="1792">
        <f t="shared" si="83"/>
        <v>59.307342789439986</v>
      </c>
      <c r="AW154" s="1792">
        <f t="shared" si="83"/>
        <v>59.307342789439986</v>
      </c>
      <c r="AX154" s="1792">
        <f t="shared" si="83"/>
        <v>59.307342789439986</v>
      </c>
      <c r="AY154" s="1792">
        <f t="shared" si="83"/>
        <v>59.307342789439986</v>
      </c>
      <c r="AZ154" s="1792">
        <f t="shared" si="83"/>
        <v>59.307342789439986</v>
      </c>
      <c r="BA154" s="1792">
        <f t="shared" si="83"/>
        <v>59.307342789439986</v>
      </c>
      <c r="BB154" s="1792">
        <f t="shared" si="83"/>
        <v>59.307342789439986</v>
      </c>
      <c r="BC154" s="1792">
        <f t="shared" si="83"/>
        <v>59.307342789439986</v>
      </c>
    </row>
    <row r="155" spans="2:58" s="203" customFormat="1" ht="17.149999999999999" customHeight="1" outlineLevel="1" x14ac:dyDescent="0.35">
      <c r="C155" s="1793"/>
      <c r="D155" s="1793"/>
      <c r="E155" s="1793"/>
      <c r="F155" s="1793"/>
      <c r="G155" s="1793"/>
      <c r="H155" s="1793"/>
      <c r="I155" s="1793"/>
      <c r="J155" s="1793"/>
      <c r="K155" s="1793"/>
      <c r="L155" s="1793"/>
      <c r="M155" s="1793"/>
      <c r="N155" s="1793"/>
      <c r="O155" s="1793"/>
      <c r="P155" s="1793"/>
      <c r="Q155" s="1793"/>
      <c r="R155" s="1792"/>
      <c r="S155" s="1793"/>
      <c r="T155" s="1793"/>
      <c r="U155" s="1793"/>
      <c r="V155" s="1793"/>
      <c r="W155" s="1793"/>
      <c r="X155" s="1793"/>
      <c r="Y155" s="1793"/>
      <c r="Z155" s="1793"/>
      <c r="AA155" s="1793"/>
      <c r="AB155" s="1793"/>
      <c r="AC155" s="1793"/>
      <c r="AD155" s="1793"/>
      <c r="AE155" s="1793"/>
      <c r="AF155" s="1793"/>
      <c r="AG155" s="1793"/>
      <c r="AH155" s="1793"/>
      <c r="AI155" s="1793"/>
      <c r="AJ155" s="1793"/>
      <c r="AK155" s="1793"/>
      <c r="AL155" s="1793"/>
      <c r="AM155" s="1793"/>
      <c r="AN155" s="1793"/>
      <c r="AO155" s="1793"/>
      <c r="AP155" s="1793"/>
      <c r="AQ155" s="1793"/>
      <c r="AR155" s="1793"/>
      <c r="AS155" s="1793"/>
      <c r="AT155" s="1793"/>
      <c r="AU155" s="1793"/>
      <c r="AV155" s="1793"/>
      <c r="AW155" s="1793"/>
      <c r="AX155" s="1793"/>
      <c r="AY155" s="1793"/>
      <c r="AZ155" s="1793"/>
      <c r="BA155" s="1793"/>
      <c r="BB155" s="1793"/>
      <c r="BC155" s="1793"/>
    </row>
    <row r="156" spans="2:58" s="203" customFormat="1" ht="17.149999999999999" customHeight="1" outlineLevel="1" x14ac:dyDescent="0.35">
      <c r="B156" s="203" t="s">
        <v>466</v>
      </c>
      <c r="C156" s="1792">
        <f t="shared" ref="C156:BC156" si="84">C154-C63</f>
        <v>-172.731845018966</v>
      </c>
      <c r="D156" s="1792">
        <f t="shared" si="84"/>
        <v>-574.25586584906318</v>
      </c>
      <c r="E156" s="1792">
        <f t="shared" si="84"/>
        <v>-438.40180629799431</v>
      </c>
      <c r="F156" s="1792">
        <f t="shared" si="84"/>
        <v>48.669109442001073</v>
      </c>
      <c r="G156" s="1792">
        <f t="shared" si="84"/>
        <v>51.669109442001073</v>
      </c>
      <c r="H156" s="1792">
        <f t="shared" si="84"/>
        <v>51.669109442001073</v>
      </c>
      <c r="I156" s="1792">
        <f t="shared" si="84"/>
        <v>51.669109442001073</v>
      </c>
      <c r="J156" s="1792">
        <f t="shared" si="84"/>
        <v>51.669109442001073</v>
      </c>
      <c r="K156" s="1792">
        <f t="shared" si="84"/>
        <v>51.669109442001073</v>
      </c>
      <c r="L156" s="1792">
        <f t="shared" si="84"/>
        <v>51.669109442001073</v>
      </c>
      <c r="M156" s="1792">
        <f t="shared" si="84"/>
        <v>51.669109442001073</v>
      </c>
      <c r="N156" s="1792">
        <f t="shared" si="84"/>
        <v>51.669109442001073</v>
      </c>
      <c r="O156" s="1792">
        <f t="shared" si="84"/>
        <v>51.669109442001073</v>
      </c>
      <c r="P156" s="1792">
        <f t="shared" si="84"/>
        <v>51.669109442001073</v>
      </c>
      <c r="Q156" s="1792">
        <f t="shared" si="84"/>
        <v>51.669109442001073</v>
      </c>
      <c r="R156" s="1792">
        <f t="shared" si="84"/>
        <v>51.669109442001073</v>
      </c>
      <c r="S156" s="1792">
        <f t="shared" si="84"/>
        <v>51.669109442001073</v>
      </c>
      <c r="T156" s="1792">
        <f t="shared" si="84"/>
        <v>51.669109442001073</v>
      </c>
      <c r="U156" s="1792">
        <f t="shared" si="84"/>
        <v>51.669109442001073</v>
      </c>
      <c r="V156" s="1792">
        <f t="shared" si="84"/>
        <v>51.669109442001073</v>
      </c>
      <c r="W156" s="1792">
        <f t="shared" si="84"/>
        <v>51.669109442001073</v>
      </c>
      <c r="X156" s="1792">
        <f t="shared" si="84"/>
        <v>51.669109442001073</v>
      </c>
      <c r="Y156" s="1792">
        <f t="shared" si="84"/>
        <v>51.669109442001073</v>
      </c>
      <c r="Z156" s="1792">
        <f t="shared" si="84"/>
        <v>51.669109442001073</v>
      </c>
      <c r="AA156" s="1792">
        <f t="shared" si="84"/>
        <v>51.669109442001073</v>
      </c>
      <c r="AB156" s="1792">
        <f t="shared" si="84"/>
        <v>51.669109442001073</v>
      </c>
      <c r="AC156" s="1792">
        <f t="shared" si="84"/>
        <v>51.669109442001073</v>
      </c>
      <c r="AD156" s="1792">
        <f t="shared" si="84"/>
        <v>51.669109442001073</v>
      </c>
      <c r="AE156" s="1792">
        <f t="shared" si="84"/>
        <v>51.669109442001073</v>
      </c>
      <c r="AF156" s="1792">
        <f t="shared" si="84"/>
        <v>51.669109442001073</v>
      </c>
      <c r="AG156" s="1792">
        <f t="shared" si="84"/>
        <v>51.669109442001073</v>
      </c>
      <c r="AH156" s="1792">
        <f t="shared" si="84"/>
        <v>51.669109442001073</v>
      </c>
      <c r="AI156" s="1792">
        <f t="shared" si="84"/>
        <v>51.669109442001073</v>
      </c>
      <c r="AJ156" s="1792">
        <f t="shared" si="84"/>
        <v>51.669109442001073</v>
      </c>
      <c r="AK156" s="1792">
        <f t="shared" si="84"/>
        <v>51.669109442001073</v>
      </c>
      <c r="AL156" s="1792">
        <f t="shared" si="84"/>
        <v>51.669109442001073</v>
      </c>
      <c r="AM156" s="1792">
        <f t="shared" si="84"/>
        <v>51.669109442001073</v>
      </c>
      <c r="AN156" s="1792">
        <f t="shared" si="84"/>
        <v>51.669109442001073</v>
      </c>
      <c r="AO156" s="1792">
        <f t="shared" si="84"/>
        <v>51.669109442001073</v>
      </c>
      <c r="AP156" s="1792">
        <f t="shared" si="84"/>
        <v>51.669109442001073</v>
      </c>
      <c r="AQ156" s="1792">
        <f t="shared" si="84"/>
        <v>51.669109442001073</v>
      </c>
      <c r="AR156" s="1792">
        <f t="shared" si="84"/>
        <v>51.669109442001073</v>
      </c>
      <c r="AS156" s="1792">
        <f t="shared" si="84"/>
        <v>51.669109442001073</v>
      </c>
      <c r="AT156" s="1792">
        <f t="shared" si="84"/>
        <v>51.669109442001073</v>
      </c>
      <c r="AU156" s="1792">
        <f t="shared" si="84"/>
        <v>51.669109442001073</v>
      </c>
      <c r="AV156" s="1792">
        <f t="shared" si="84"/>
        <v>51.669109442001073</v>
      </c>
      <c r="AW156" s="1792">
        <f t="shared" si="84"/>
        <v>51.669109442001073</v>
      </c>
      <c r="AX156" s="1792">
        <f t="shared" si="84"/>
        <v>51.669109442001073</v>
      </c>
      <c r="AY156" s="1792">
        <f t="shared" si="84"/>
        <v>51.669109442001073</v>
      </c>
      <c r="AZ156" s="1792">
        <f t="shared" si="84"/>
        <v>51.669109442001073</v>
      </c>
      <c r="BA156" s="1792">
        <f t="shared" si="84"/>
        <v>51.669109442001073</v>
      </c>
      <c r="BB156" s="1792">
        <f t="shared" si="84"/>
        <v>51.669109442001073</v>
      </c>
      <c r="BC156" s="1792">
        <f t="shared" si="84"/>
        <v>51.669109442001073</v>
      </c>
    </row>
    <row r="157" spans="2:58" s="203" customFormat="1" ht="17.149999999999999" customHeight="1" outlineLevel="1" x14ac:dyDescent="0.35">
      <c r="B157" s="203" t="s">
        <v>467</v>
      </c>
      <c r="C157" s="1792">
        <f>C156</f>
        <v>-172.731845018966</v>
      </c>
      <c r="D157" s="1792">
        <f t="shared" ref="D157:BC157" si="85">C157+D156</f>
        <v>-746.98771086802913</v>
      </c>
      <c r="E157" s="1792">
        <f t="shared" si="85"/>
        <v>-1185.3895171660233</v>
      </c>
      <c r="F157" s="1792">
        <f t="shared" si="85"/>
        <v>-1136.7204077240222</v>
      </c>
      <c r="G157" s="1792">
        <f t="shared" si="85"/>
        <v>-1085.051298282021</v>
      </c>
      <c r="H157" s="1792">
        <f t="shared" si="85"/>
        <v>-1033.3821888400198</v>
      </c>
      <c r="I157" s="1792">
        <f t="shared" si="85"/>
        <v>-981.71307939801875</v>
      </c>
      <c r="J157" s="1792">
        <f t="shared" si="85"/>
        <v>-930.04396995601769</v>
      </c>
      <c r="K157" s="1792">
        <f t="shared" si="85"/>
        <v>-878.37486051401663</v>
      </c>
      <c r="L157" s="1792">
        <f t="shared" si="85"/>
        <v>-826.70575107201557</v>
      </c>
      <c r="M157" s="1792">
        <f t="shared" si="85"/>
        <v>-775.03664163001451</v>
      </c>
      <c r="N157" s="1792">
        <f t="shared" si="85"/>
        <v>-723.36753218801346</v>
      </c>
      <c r="O157" s="1792">
        <f t="shared" si="85"/>
        <v>-671.6984227460124</v>
      </c>
      <c r="P157" s="1792">
        <f t="shared" si="85"/>
        <v>-620.02931330401134</v>
      </c>
      <c r="Q157" s="1792">
        <f t="shared" si="85"/>
        <v>-568.36020386201028</v>
      </c>
      <c r="R157" s="1792">
        <f t="shared" si="85"/>
        <v>-516.69109442000922</v>
      </c>
      <c r="S157" s="1792">
        <f t="shared" si="85"/>
        <v>-465.02198497800816</v>
      </c>
      <c r="T157" s="1792">
        <f t="shared" si="85"/>
        <v>-413.3528755360071</v>
      </c>
      <c r="U157" s="1792">
        <f t="shared" si="85"/>
        <v>-361.68376609400605</v>
      </c>
      <c r="V157" s="1792">
        <f t="shared" si="85"/>
        <v>-310.01465665200499</v>
      </c>
      <c r="W157" s="1792">
        <f t="shared" si="85"/>
        <v>-258.34554721000393</v>
      </c>
      <c r="X157" s="1792">
        <f t="shared" si="85"/>
        <v>-206.67643776800287</v>
      </c>
      <c r="Y157" s="1792">
        <f t="shared" si="85"/>
        <v>-155.00732832600181</v>
      </c>
      <c r="Z157" s="1792">
        <f t="shared" si="85"/>
        <v>-103.33821888400074</v>
      </c>
      <c r="AA157" s="1792">
        <f t="shared" si="85"/>
        <v>-51.669109441999666</v>
      </c>
      <c r="AB157" s="1792">
        <f t="shared" si="85"/>
        <v>1.4068746168049984E-12</v>
      </c>
      <c r="AC157" s="1792">
        <f t="shared" si="85"/>
        <v>51.66910944200248</v>
      </c>
      <c r="AD157" s="1792">
        <f t="shared" si="85"/>
        <v>103.33821888400355</v>
      </c>
      <c r="AE157" s="1792">
        <f t="shared" si="85"/>
        <v>155.00732832600463</v>
      </c>
      <c r="AF157" s="1792">
        <f t="shared" si="85"/>
        <v>206.67643776800571</v>
      </c>
      <c r="AG157" s="1792">
        <f t="shared" si="85"/>
        <v>258.34554721000677</v>
      </c>
      <c r="AH157" s="1792">
        <f t="shared" si="85"/>
        <v>310.01465665200783</v>
      </c>
      <c r="AI157" s="1792">
        <f t="shared" si="85"/>
        <v>361.68376609400889</v>
      </c>
      <c r="AJ157" s="1792">
        <f t="shared" si="85"/>
        <v>413.35287553600995</v>
      </c>
      <c r="AK157" s="1792">
        <f t="shared" si="85"/>
        <v>465.02198497801101</v>
      </c>
      <c r="AL157" s="1792">
        <f t="shared" si="85"/>
        <v>516.69109442001206</v>
      </c>
      <c r="AM157" s="1792">
        <f t="shared" si="85"/>
        <v>568.36020386201312</v>
      </c>
      <c r="AN157" s="1792">
        <f t="shared" si="85"/>
        <v>620.02931330401418</v>
      </c>
      <c r="AO157" s="1792">
        <f t="shared" si="85"/>
        <v>671.69842274601524</v>
      </c>
      <c r="AP157" s="1792">
        <f t="shared" si="85"/>
        <v>723.3675321880163</v>
      </c>
      <c r="AQ157" s="1792">
        <f t="shared" si="85"/>
        <v>775.03664163001736</v>
      </c>
      <c r="AR157" s="1792">
        <f t="shared" si="85"/>
        <v>826.70575107201842</v>
      </c>
      <c r="AS157" s="1792">
        <f t="shared" si="85"/>
        <v>878.37486051401947</v>
      </c>
      <c r="AT157" s="1792">
        <f t="shared" si="85"/>
        <v>930.04396995602053</v>
      </c>
      <c r="AU157" s="1792">
        <f t="shared" si="85"/>
        <v>981.71307939802159</v>
      </c>
      <c r="AV157" s="1792">
        <f t="shared" si="85"/>
        <v>1033.3821888400228</v>
      </c>
      <c r="AW157" s="1792">
        <f t="shared" si="85"/>
        <v>1085.0512982820239</v>
      </c>
      <c r="AX157" s="1792">
        <f t="shared" si="85"/>
        <v>1136.7204077240251</v>
      </c>
      <c r="AY157" s="1792">
        <f t="shared" si="85"/>
        <v>1188.3895171660263</v>
      </c>
      <c r="AZ157" s="1792">
        <f t="shared" si="85"/>
        <v>1240.0586266080275</v>
      </c>
      <c r="BA157" s="1792">
        <f t="shared" si="85"/>
        <v>1291.7277360500286</v>
      </c>
      <c r="BB157" s="1792">
        <f t="shared" si="85"/>
        <v>1343.3968454920298</v>
      </c>
      <c r="BC157" s="1792">
        <f t="shared" si="85"/>
        <v>1395.065954934031</v>
      </c>
    </row>
    <row r="158" spans="2:58" s="298" customFormat="1" ht="17.149999999999999" customHeight="1" outlineLevel="1" x14ac:dyDescent="0.35">
      <c r="C158" s="1794"/>
      <c r="D158" s="1794"/>
      <c r="E158" s="1794"/>
      <c r="F158" s="1794"/>
      <c r="G158" s="1794"/>
      <c r="H158" s="1794"/>
      <c r="I158" s="1794"/>
      <c r="J158" s="1794"/>
      <c r="K158" s="1794"/>
      <c r="L158" s="1794"/>
      <c r="M158" s="1794"/>
      <c r="N158" s="1794"/>
      <c r="O158" s="1794"/>
      <c r="P158" s="1794"/>
      <c r="Q158" s="1794"/>
      <c r="R158" s="1794"/>
      <c r="S158" s="1794"/>
      <c r="T158" s="1794"/>
      <c r="U158" s="1794"/>
      <c r="V158" s="1794"/>
      <c r="W158" s="1794"/>
      <c r="X158" s="1794"/>
      <c r="Y158" s="1794"/>
      <c r="Z158" s="1794"/>
      <c r="AA158" s="1794"/>
      <c r="AB158" s="1794"/>
      <c r="AC158" s="1794"/>
      <c r="AD158" s="1794"/>
      <c r="AE158" s="1794"/>
      <c r="AF158" s="1794"/>
      <c r="AG158" s="1794"/>
      <c r="AH158" s="1794"/>
      <c r="AI158" s="1794"/>
      <c r="AJ158" s="1794"/>
      <c r="AK158" s="1794"/>
      <c r="AL158" s="1794"/>
      <c r="AM158" s="1794"/>
      <c r="AN158" s="1794"/>
      <c r="AO158" s="1794"/>
      <c r="AP158" s="1794"/>
      <c r="AQ158" s="1794"/>
      <c r="AR158" s="1794"/>
      <c r="AS158" s="1794"/>
      <c r="AT158" s="1794"/>
      <c r="AU158" s="1794"/>
      <c r="AV158" s="1794"/>
      <c r="AW158" s="1794"/>
      <c r="AX158" s="1794"/>
      <c r="AY158" s="1794"/>
      <c r="AZ158" s="1794"/>
      <c r="BA158" s="1794"/>
      <c r="BB158" s="1794"/>
      <c r="BC158" s="1794"/>
    </row>
    <row r="159" spans="2:58" s="298" customFormat="1" ht="17.149999999999999" customHeight="1" outlineLevel="1" x14ac:dyDescent="0.35">
      <c r="B159" s="299" t="s">
        <v>468</v>
      </c>
      <c r="C159" s="1795">
        <f t="shared" ref="C159:BC159" si="86">NPV($C$28,C156)</f>
        <v>-156.17425093485289</v>
      </c>
      <c r="D159" s="1795">
        <f t="shared" si="86"/>
        <v>-519.20929625961844</v>
      </c>
      <c r="E159" s="1795">
        <f t="shared" si="86"/>
        <v>-396.37782888012362</v>
      </c>
      <c r="F159" s="1795">
        <f t="shared" si="86"/>
        <v>44.003824019458122</v>
      </c>
      <c r="G159" s="1795">
        <f t="shared" si="86"/>
        <v>46.716252366142633</v>
      </c>
      <c r="H159" s="1795">
        <f t="shared" si="86"/>
        <v>46.716252366142633</v>
      </c>
      <c r="I159" s="1795">
        <f t="shared" si="86"/>
        <v>46.716252366142633</v>
      </c>
      <c r="J159" s="1795">
        <f t="shared" si="86"/>
        <v>46.716252366142633</v>
      </c>
      <c r="K159" s="1795">
        <f t="shared" si="86"/>
        <v>46.716252366142633</v>
      </c>
      <c r="L159" s="1795">
        <f t="shared" si="86"/>
        <v>46.716252366142633</v>
      </c>
      <c r="M159" s="1795">
        <f t="shared" si="86"/>
        <v>46.716252366142633</v>
      </c>
      <c r="N159" s="1795">
        <f t="shared" si="86"/>
        <v>46.716252366142633</v>
      </c>
      <c r="O159" s="1795">
        <f t="shared" si="86"/>
        <v>46.716252366142633</v>
      </c>
      <c r="P159" s="1795">
        <f t="shared" si="86"/>
        <v>46.716252366142633</v>
      </c>
      <c r="Q159" s="1795">
        <f t="shared" si="86"/>
        <v>46.716252366142633</v>
      </c>
      <c r="R159" s="1795">
        <f t="shared" si="86"/>
        <v>46.716252366142633</v>
      </c>
      <c r="S159" s="1795">
        <f t="shared" si="86"/>
        <v>46.716252366142633</v>
      </c>
      <c r="T159" s="1795">
        <f t="shared" si="86"/>
        <v>46.716252366142633</v>
      </c>
      <c r="U159" s="1795">
        <f t="shared" si="86"/>
        <v>46.716252366142633</v>
      </c>
      <c r="V159" s="1795">
        <f t="shared" si="86"/>
        <v>46.716252366142633</v>
      </c>
      <c r="W159" s="1795">
        <f t="shared" si="86"/>
        <v>46.716252366142633</v>
      </c>
      <c r="X159" s="1795">
        <f t="shared" si="86"/>
        <v>46.716252366142633</v>
      </c>
      <c r="Y159" s="1795">
        <f t="shared" si="86"/>
        <v>46.716252366142633</v>
      </c>
      <c r="Z159" s="1795">
        <f t="shared" si="86"/>
        <v>46.716252366142633</v>
      </c>
      <c r="AA159" s="1795">
        <f t="shared" si="86"/>
        <v>46.716252366142633</v>
      </c>
      <c r="AB159" s="1795">
        <f t="shared" si="86"/>
        <v>46.716252366142633</v>
      </c>
      <c r="AC159" s="1795">
        <f t="shared" si="86"/>
        <v>46.716252366142633</v>
      </c>
      <c r="AD159" s="1795">
        <f t="shared" si="86"/>
        <v>46.716252366142633</v>
      </c>
      <c r="AE159" s="1795">
        <f t="shared" si="86"/>
        <v>46.716252366142633</v>
      </c>
      <c r="AF159" s="1795">
        <f t="shared" si="86"/>
        <v>46.716252366142633</v>
      </c>
      <c r="AG159" s="1795">
        <f t="shared" si="86"/>
        <v>46.716252366142633</v>
      </c>
      <c r="AH159" s="1795">
        <f t="shared" si="86"/>
        <v>46.716252366142633</v>
      </c>
      <c r="AI159" s="1795">
        <f t="shared" si="86"/>
        <v>46.716252366142633</v>
      </c>
      <c r="AJ159" s="1795">
        <f t="shared" si="86"/>
        <v>46.716252366142633</v>
      </c>
      <c r="AK159" s="1795">
        <f t="shared" si="86"/>
        <v>46.716252366142633</v>
      </c>
      <c r="AL159" s="1795">
        <f t="shared" si="86"/>
        <v>46.716252366142633</v>
      </c>
      <c r="AM159" s="1795">
        <f t="shared" si="86"/>
        <v>46.716252366142633</v>
      </c>
      <c r="AN159" s="1795">
        <f t="shared" si="86"/>
        <v>46.716252366142633</v>
      </c>
      <c r="AO159" s="1795">
        <f t="shared" si="86"/>
        <v>46.716252366142633</v>
      </c>
      <c r="AP159" s="1795">
        <f t="shared" si="86"/>
        <v>46.716252366142633</v>
      </c>
      <c r="AQ159" s="1795">
        <f t="shared" si="86"/>
        <v>46.716252366142633</v>
      </c>
      <c r="AR159" s="1795">
        <f t="shared" si="86"/>
        <v>46.716252366142633</v>
      </c>
      <c r="AS159" s="1795">
        <f t="shared" si="86"/>
        <v>46.716252366142633</v>
      </c>
      <c r="AT159" s="1795">
        <f t="shared" si="86"/>
        <v>46.716252366142633</v>
      </c>
      <c r="AU159" s="1795">
        <f t="shared" si="86"/>
        <v>46.716252366142633</v>
      </c>
      <c r="AV159" s="1795">
        <f t="shared" si="86"/>
        <v>46.716252366142633</v>
      </c>
      <c r="AW159" s="1795">
        <f t="shared" si="86"/>
        <v>46.716252366142633</v>
      </c>
      <c r="AX159" s="1795">
        <f t="shared" si="86"/>
        <v>46.716252366142633</v>
      </c>
      <c r="AY159" s="1795">
        <f t="shared" si="86"/>
        <v>46.716252366142633</v>
      </c>
      <c r="AZ159" s="1795">
        <f t="shared" si="86"/>
        <v>46.716252366142633</v>
      </c>
      <c r="BA159" s="1795">
        <f t="shared" si="86"/>
        <v>46.716252366142633</v>
      </c>
      <c r="BB159" s="1795">
        <f t="shared" si="86"/>
        <v>46.716252366142633</v>
      </c>
      <c r="BC159" s="1795">
        <f t="shared" si="86"/>
        <v>46.716252366142633</v>
      </c>
    </row>
    <row r="160" spans="2:58" s="298" customFormat="1" ht="17.149999999999999" customHeight="1" outlineLevel="1" x14ac:dyDescent="0.35">
      <c r="B160" s="300" t="s">
        <v>469</v>
      </c>
      <c r="C160" s="1795">
        <f>C159</f>
        <v>-156.17425093485289</v>
      </c>
      <c r="D160" s="1795">
        <f t="shared" ref="D160:BC160" si="87">C160+D159</f>
        <v>-675.38354719447136</v>
      </c>
      <c r="E160" s="1795">
        <f t="shared" si="87"/>
        <v>-1071.7613760745949</v>
      </c>
      <c r="F160" s="1795">
        <f t="shared" si="87"/>
        <v>-1027.7575520551368</v>
      </c>
      <c r="G160" s="1795">
        <f t="shared" si="87"/>
        <v>-981.04129968899417</v>
      </c>
      <c r="H160" s="1795">
        <f t="shared" si="87"/>
        <v>-934.32504732285156</v>
      </c>
      <c r="I160" s="1795">
        <f t="shared" si="87"/>
        <v>-887.60879495670895</v>
      </c>
      <c r="J160" s="1795">
        <f t="shared" si="87"/>
        <v>-840.89254259056634</v>
      </c>
      <c r="K160" s="1795">
        <f t="shared" si="87"/>
        <v>-794.17629022442372</v>
      </c>
      <c r="L160" s="1795">
        <f t="shared" si="87"/>
        <v>-747.46003785828111</v>
      </c>
      <c r="M160" s="1795">
        <f t="shared" si="87"/>
        <v>-700.7437854921385</v>
      </c>
      <c r="N160" s="1795">
        <f t="shared" si="87"/>
        <v>-654.02753312599589</v>
      </c>
      <c r="O160" s="1795">
        <f t="shared" si="87"/>
        <v>-607.31128075985328</v>
      </c>
      <c r="P160" s="1795">
        <f t="shared" si="87"/>
        <v>-560.59502839371066</v>
      </c>
      <c r="Q160" s="1795">
        <f t="shared" si="87"/>
        <v>-513.87877602756805</v>
      </c>
      <c r="R160" s="1795">
        <f t="shared" si="87"/>
        <v>-467.16252366142544</v>
      </c>
      <c r="S160" s="1795">
        <f t="shared" si="87"/>
        <v>-420.44627129528283</v>
      </c>
      <c r="T160" s="1795">
        <f t="shared" si="87"/>
        <v>-373.73001892914021</v>
      </c>
      <c r="U160" s="1795">
        <f t="shared" si="87"/>
        <v>-327.0137665629976</v>
      </c>
      <c r="V160" s="1795">
        <f t="shared" si="87"/>
        <v>-280.29751419685499</v>
      </c>
      <c r="W160" s="1795">
        <f t="shared" si="87"/>
        <v>-233.58126183071235</v>
      </c>
      <c r="X160" s="1795">
        <f t="shared" si="87"/>
        <v>-186.86500946456971</v>
      </c>
      <c r="Y160" s="1795">
        <f t="shared" si="87"/>
        <v>-140.14875709842707</v>
      </c>
      <c r="Z160" s="1795">
        <f t="shared" si="87"/>
        <v>-93.432504732284428</v>
      </c>
      <c r="AA160" s="1795">
        <f t="shared" si="87"/>
        <v>-46.716252366141795</v>
      </c>
      <c r="AB160" s="1795">
        <f t="shared" si="87"/>
        <v>8.3844042819691822E-13</v>
      </c>
      <c r="AC160" s="1795">
        <f t="shared" si="87"/>
        <v>46.716252366143472</v>
      </c>
      <c r="AD160" s="1795">
        <f t="shared" si="87"/>
        <v>93.432504732286105</v>
      </c>
      <c r="AE160" s="1795">
        <f t="shared" si="87"/>
        <v>140.14875709842875</v>
      </c>
      <c r="AF160" s="1795">
        <f t="shared" si="87"/>
        <v>186.86500946457139</v>
      </c>
      <c r="AG160" s="1795">
        <f t="shared" si="87"/>
        <v>233.58126183071403</v>
      </c>
      <c r="AH160" s="1795">
        <f t="shared" si="87"/>
        <v>280.29751419685664</v>
      </c>
      <c r="AI160" s="1795">
        <f t="shared" si="87"/>
        <v>327.01376656299925</v>
      </c>
      <c r="AJ160" s="1795">
        <f t="shared" si="87"/>
        <v>373.73001892914186</v>
      </c>
      <c r="AK160" s="1795">
        <f t="shared" si="87"/>
        <v>420.44627129528448</v>
      </c>
      <c r="AL160" s="1795">
        <f t="shared" si="87"/>
        <v>467.16252366142709</v>
      </c>
      <c r="AM160" s="1795">
        <f t="shared" si="87"/>
        <v>513.87877602756976</v>
      </c>
      <c r="AN160" s="1795">
        <f t="shared" si="87"/>
        <v>560.59502839371237</v>
      </c>
      <c r="AO160" s="1795">
        <f t="shared" si="87"/>
        <v>607.31128075985498</v>
      </c>
      <c r="AP160" s="1795">
        <f t="shared" si="87"/>
        <v>654.02753312599759</v>
      </c>
      <c r="AQ160" s="1795">
        <f t="shared" si="87"/>
        <v>700.7437854921402</v>
      </c>
      <c r="AR160" s="1795">
        <f t="shared" si="87"/>
        <v>747.46003785828282</v>
      </c>
      <c r="AS160" s="1795">
        <f t="shared" si="87"/>
        <v>794.17629022442543</v>
      </c>
      <c r="AT160" s="1795">
        <f t="shared" si="87"/>
        <v>840.89254259056804</v>
      </c>
      <c r="AU160" s="1795">
        <f t="shared" si="87"/>
        <v>887.60879495671065</v>
      </c>
      <c r="AV160" s="1795">
        <f t="shared" si="87"/>
        <v>934.32504732285327</v>
      </c>
      <c r="AW160" s="1795">
        <f t="shared" si="87"/>
        <v>981.04129968899588</v>
      </c>
      <c r="AX160" s="1795">
        <f t="shared" si="87"/>
        <v>1027.7575520551386</v>
      </c>
      <c r="AY160" s="1795">
        <f t="shared" si="87"/>
        <v>1074.4738044212813</v>
      </c>
      <c r="AZ160" s="1795">
        <f t="shared" si="87"/>
        <v>1121.1900567874241</v>
      </c>
      <c r="BA160" s="1795">
        <f t="shared" si="87"/>
        <v>1167.9063091535668</v>
      </c>
      <c r="BB160" s="1795">
        <f t="shared" si="87"/>
        <v>1214.6225615197095</v>
      </c>
      <c r="BC160" s="1795">
        <f t="shared" si="87"/>
        <v>1261.3388138858522</v>
      </c>
    </row>
    <row r="161" spans="1:58" s="298" customFormat="1" ht="17.149999999999999" customHeight="1" outlineLevel="1" x14ac:dyDescent="0.35">
      <c r="B161" s="298" t="s">
        <v>417</v>
      </c>
      <c r="C161" s="1794">
        <f t="shared" ref="C161:BC161" si="88">C156/(1+$C$28)^C32</f>
        <v>-172.731845018966</v>
      </c>
      <c r="D161" s="1794">
        <f t="shared" si="88"/>
        <v>-519.20929625961844</v>
      </c>
      <c r="E161" s="1794">
        <f t="shared" si="88"/>
        <v>-358.38215301723619</v>
      </c>
      <c r="F161" s="1794">
        <f t="shared" si="88"/>
        <v>35.971989545968079</v>
      </c>
      <c r="G161" s="1794">
        <f t="shared" si="88"/>
        <v>34.528606769439897</v>
      </c>
      <c r="H161" s="1794">
        <f t="shared" si="88"/>
        <v>31.218790590983794</v>
      </c>
      <c r="I161" s="1794">
        <f t="shared" si="88"/>
        <v>28.226244182730685</v>
      </c>
      <c r="J161" s="1794">
        <f t="shared" si="88"/>
        <v>25.520554947225804</v>
      </c>
      <c r="K161" s="1794">
        <f t="shared" si="88"/>
        <v>23.074225553991614</v>
      </c>
      <c r="L161" s="1794">
        <f t="shared" si="88"/>
        <v>20.862394490146304</v>
      </c>
      <c r="M161" s="1794">
        <f t="shared" si="88"/>
        <v>18.862583398262512</v>
      </c>
      <c r="N161" s="1794">
        <f t="shared" si="88"/>
        <v>17.054468633715945</v>
      </c>
      <c r="O161" s="1794">
        <f t="shared" si="88"/>
        <v>15.419674719910985</v>
      </c>
      <c r="P161" s="1794">
        <f t="shared" si="88"/>
        <v>13.941587602313689</v>
      </c>
      <c r="Q161" s="1794">
        <f t="shared" si="88"/>
        <v>12.605185803433651</v>
      </c>
      <c r="R161" s="1794">
        <f t="shared" si="88"/>
        <v>11.396887762819523</v>
      </c>
      <c r="S161" s="1794">
        <f t="shared" si="88"/>
        <v>10.304413810617824</v>
      </c>
      <c r="T161" s="1794">
        <f t="shared" si="88"/>
        <v>9.3166613719623737</v>
      </c>
      <c r="U161" s="1794">
        <f t="shared" si="88"/>
        <v>8.4235921339237745</v>
      </c>
      <c r="V161" s="1794">
        <f t="shared" si="88"/>
        <v>7.6161300283211641</v>
      </c>
      <c r="W161" s="1794">
        <f t="shared" si="88"/>
        <v>6.8860689936178048</v>
      </c>
      <c r="X161" s="1794">
        <f t="shared" si="88"/>
        <v>6.2259895785047332</v>
      </c>
      <c r="Y161" s="1794">
        <f t="shared" si="88"/>
        <v>5.6291835396328569</v>
      </c>
      <c r="Z161" s="1794">
        <f t="shared" si="88"/>
        <v>5.0895856671966664</v>
      </c>
      <c r="AA161" s="1794">
        <f t="shared" si="88"/>
        <v>4.6017121455278085</v>
      </c>
      <c r="AB161" s="1794">
        <f t="shared" si="88"/>
        <v>4.1606048222706713</v>
      </c>
      <c r="AC161" s="1794">
        <f t="shared" si="88"/>
        <v>3.761780819759744</v>
      </c>
      <c r="AD161" s="1794">
        <f t="shared" si="88"/>
        <v>3.4011869765101386</v>
      </c>
      <c r="AE161" s="1794">
        <f t="shared" si="88"/>
        <v>3.0751586558200925</v>
      </c>
      <c r="AF161" s="1794">
        <f t="shared" si="88"/>
        <v>2.7803825028662166</v>
      </c>
      <c r="AG161" s="1794">
        <f t="shared" si="88"/>
        <v>2.5138627717999817</v>
      </c>
      <c r="AH161" s="1794">
        <f t="shared" si="88"/>
        <v>2.2728908806350532</v>
      </c>
      <c r="AI161" s="1794">
        <f t="shared" si="88"/>
        <v>2.0550178845184117</v>
      </c>
      <c r="AJ161" s="1794">
        <f t="shared" si="88"/>
        <v>1.8580295876371238</v>
      </c>
      <c r="AK161" s="1794">
        <f t="shared" si="88"/>
        <v>1.6799240408284877</v>
      </c>
      <c r="AL161" s="1794">
        <f t="shared" si="88"/>
        <v>1.5188911962066576</v>
      </c>
      <c r="AM161" s="1794">
        <f t="shared" si="88"/>
        <v>1.3732945120401601</v>
      </c>
      <c r="AN161" s="1794">
        <f t="shared" si="88"/>
        <v>1.2416543209346669</v>
      </c>
      <c r="AO161" s="1794">
        <f t="shared" si="88"/>
        <v>1.1226327922954979</v>
      </c>
      <c r="AP161" s="1794">
        <f t="shared" si="88"/>
        <v>1.0150203362466301</v>
      </c>
      <c r="AQ161" s="1794">
        <f t="shared" si="88"/>
        <v>0.91772331083220038</v>
      </c>
      <c r="AR161" s="1794">
        <f t="shared" si="88"/>
        <v>0.8297529075714728</v>
      </c>
      <c r="AS161" s="1794">
        <f t="shared" si="88"/>
        <v>0.75021510241358458</v>
      </c>
      <c r="AT161" s="1794">
        <f t="shared" si="88"/>
        <v>0.67830156996580937</v>
      </c>
      <c r="AU161" s="1794">
        <f t="shared" si="88"/>
        <v>0.61328146865862232</v>
      </c>
      <c r="AV161" s="1794">
        <f t="shared" si="88"/>
        <v>0.55449401336198478</v>
      </c>
      <c r="AW161" s="1794">
        <f t="shared" si="88"/>
        <v>0.50134175996996855</v>
      </c>
      <c r="AX161" s="1794">
        <f t="shared" si="88"/>
        <v>0.45328453370641447</v>
      </c>
      <c r="AY161" s="1794">
        <f t="shared" si="88"/>
        <v>0.40983393944631608</v>
      </c>
      <c r="AZ161" s="1794">
        <f t="shared" si="88"/>
        <v>0.37054839826252339</v>
      </c>
      <c r="BA161" s="1794">
        <f t="shared" si="88"/>
        <v>0.33502865975526963</v>
      </c>
      <c r="BB161" s="1794">
        <f t="shared" si="88"/>
        <v>0.30291374455730424</v>
      </c>
      <c r="BC161" s="1794">
        <f t="shared" si="88"/>
        <v>0.27387727577919413</v>
      </c>
    </row>
    <row r="162" spans="1:58" s="298" customFormat="1" ht="17.149999999999999" customHeight="1" outlineLevel="1" x14ac:dyDescent="0.35">
      <c r="B162" s="301" t="s">
        <v>418</v>
      </c>
      <c r="C162" s="1794">
        <f>C161</f>
        <v>-172.731845018966</v>
      </c>
      <c r="D162" s="1794">
        <f t="shared" ref="D162:BC162" si="89">C162+D161</f>
        <v>-691.94114127858438</v>
      </c>
      <c r="E162" s="1794">
        <f t="shared" si="89"/>
        <v>-1050.3232942958207</v>
      </c>
      <c r="F162" s="1794">
        <f t="shared" si="89"/>
        <v>-1014.3513047498526</v>
      </c>
      <c r="G162" s="1794">
        <f t="shared" si="89"/>
        <v>-979.82269798041273</v>
      </c>
      <c r="H162" s="1794">
        <f t="shared" si="89"/>
        <v>-948.60390738942897</v>
      </c>
      <c r="I162" s="1794">
        <f t="shared" si="89"/>
        <v>-920.37766320669823</v>
      </c>
      <c r="J162" s="1794">
        <f t="shared" si="89"/>
        <v>-894.8571082594724</v>
      </c>
      <c r="K162" s="1794">
        <f t="shared" si="89"/>
        <v>-871.7828827054808</v>
      </c>
      <c r="L162" s="1794">
        <f t="shared" si="89"/>
        <v>-850.92048821533444</v>
      </c>
      <c r="M162" s="1794">
        <f t="shared" si="89"/>
        <v>-832.05790481707197</v>
      </c>
      <c r="N162" s="1794">
        <f t="shared" si="89"/>
        <v>-815.00343618335603</v>
      </c>
      <c r="O162" s="1794">
        <f t="shared" si="89"/>
        <v>-799.58376146344506</v>
      </c>
      <c r="P162" s="1794">
        <f t="shared" si="89"/>
        <v>-785.64217386113137</v>
      </c>
      <c r="Q162" s="1794">
        <f t="shared" si="89"/>
        <v>-773.03698805769773</v>
      </c>
      <c r="R162" s="1794">
        <f t="shared" si="89"/>
        <v>-761.64010029487815</v>
      </c>
      <c r="S162" s="1794">
        <f t="shared" si="89"/>
        <v>-751.33568648426035</v>
      </c>
      <c r="T162" s="1794">
        <f t="shared" si="89"/>
        <v>-742.01902511229798</v>
      </c>
      <c r="U162" s="1794">
        <f t="shared" si="89"/>
        <v>-733.59543297837422</v>
      </c>
      <c r="V162" s="1794">
        <f t="shared" si="89"/>
        <v>-725.97930295005301</v>
      </c>
      <c r="W162" s="1794">
        <f t="shared" si="89"/>
        <v>-719.09323395643526</v>
      </c>
      <c r="X162" s="1794">
        <f t="shared" si="89"/>
        <v>-712.86724437793055</v>
      </c>
      <c r="Y162" s="1794">
        <f t="shared" si="89"/>
        <v>-707.23806083829766</v>
      </c>
      <c r="Z162" s="1794">
        <f t="shared" si="89"/>
        <v>-702.14847517110104</v>
      </c>
      <c r="AA162" s="1794">
        <f t="shared" si="89"/>
        <v>-697.54676302557323</v>
      </c>
      <c r="AB162" s="1794">
        <f t="shared" si="89"/>
        <v>-693.38615820330256</v>
      </c>
      <c r="AC162" s="1794">
        <f t="shared" si="89"/>
        <v>-689.62437738354276</v>
      </c>
      <c r="AD162" s="1794">
        <f t="shared" si="89"/>
        <v>-686.22319040703258</v>
      </c>
      <c r="AE162" s="1794">
        <f t="shared" si="89"/>
        <v>-683.14803175121244</v>
      </c>
      <c r="AF162" s="1794">
        <f t="shared" si="89"/>
        <v>-680.3676492483462</v>
      </c>
      <c r="AG162" s="1794">
        <f t="shared" si="89"/>
        <v>-677.85378647654625</v>
      </c>
      <c r="AH162" s="1794">
        <f t="shared" si="89"/>
        <v>-675.58089559591122</v>
      </c>
      <c r="AI162" s="1794">
        <f t="shared" si="89"/>
        <v>-673.52587771139281</v>
      </c>
      <c r="AJ162" s="1794">
        <f t="shared" si="89"/>
        <v>-671.66784812375568</v>
      </c>
      <c r="AK162" s="1794">
        <f t="shared" si="89"/>
        <v>-669.98792408292718</v>
      </c>
      <c r="AL162" s="1794">
        <f t="shared" si="89"/>
        <v>-668.46903288672047</v>
      </c>
      <c r="AM162" s="1794">
        <f t="shared" si="89"/>
        <v>-667.09573837468031</v>
      </c>
      <c r="AN162" s="1794">
        <f t="shared" si="89"/>
        <v>-665.85408405374562</v>
      </c>
      <c r="AO162" s="1794">
        <f t="shared" si="89"/>
        <v>-664.73145126145016</v>
      </c>
      <c r="AP162" s="1794">
        <f t="shared" si="89"/>
        <v>-663.71643092520355</v>
      </c>
      <c r="AQ162" s="1794">
        <f t="shared" si="89"/>
        <v>-662.79870761437132</v>
      </c>
      <c r="AR162" s="1794">
        <f t="shared" si="89"/>
        <v>-661.96895470679988</v>
      </c>
      <c r="AS162" s="1794">
        <f t="shared" si="89"/>
        <v>-661.21873960438631</v>
      </c>
      <c r="AT162" s="1794">
        <f t="shared" si="89"/>
        <v>-660.5404380344205</v>
      </c>
      <c r="AU162" s="1794">
        <f t="shared" si="89"/>
        <v>-659.92715656576183</v>
      </c>
      <c r="AV162" s="1794">
        <f t="shared" si="89"/>
        <v>-659.3726625523999</v>
      </c>
      <c r="AW162" s="1794">
        <f t="shared" si="89"/>
        <v>-658.87132079242997</v>
      </c>
      <c r="AX162" s="1794">
        <f t="shared" si="89"/>
        <v>-658.41803625872353</v>
      </c>
      <c r="AY162" s="1794">
        <f t="shared" si="89"/>
        <v>-658.00820231927719</v>
      </c>
      <c r="AZ162" s="1794">
        <f t="shared" si="89"/>
        <v>-657.6376539210147</v>
      </c>
      <c r="BA162" s="1794">
        <f t="shared" si="89"/>
        <v>-657.30262526125944</v>
      </c>
      <c r="BB162" s="1794">
        <f t="shared" si="89"/>
        <v>-656.99971151670218</v>
      </c>
      <c r="BC162" s="1794">
        <f t="shared" si="89"/>
        <v>-656.72583424092295</v>
      </c>
    </row>
    <row r="163" spans="1:58" s="298" customFormat="1" ht="17.149999999999999" customHeight="1" outlineLevel="1" x14ac:dyDescent="0.35">
      <c r="B163" s="301" t="s">
        <v>419</v>
      </c>
      <c r="C163" s="1794">
        <f t="shared" ref="C163:BC163" si="90">C63/(1+$C$28)^C32</f>
        <v>357.56406200364114</v>
      </c>
      <c r="D163" s="1794">
        <f t="shared" si="90"/>
        <v>686.32401116954338</v>
      </c>
      <c r="E163" s="1794">
        <f t="shared" si="90"/>
        <v>448.46849225817346</v>
      </c>
      <c r="F163" s="1794">
        <f t="shared" si="90"/>
        <v>7.8628605115053354</v>
      </c>
      <c r="G163" s="1794">
        <f t="shared" si="90"/>
        <v>5.1043565200787544</v>
      </c>
      <c r="H163" s="1794">
        <f t="shared" si="90"/>
        <v>4.6150671055485031</v>
      </c>
      <c r="I163" s="1794">
        <f t="shared" si="90"/>
        <v>4.1726796129803274</v>
      </c>
      <c r="J163" s="1794">
        <f t="shared" si="90"/>
        <v>3.772698154626795</v>
      </c>
      <c r="K163" s="1794">
        <f t="shared" si="90"/>
        <v>3.4110578060313514</v>
      </c>
      <c r="L163" s="1794">
        <f t="shared" si="90"/>
        <v>3.0840832950863017</v>
      </c>
      <c r="M163" s="1794">
        <f t="shared" si="90"/>
        <v>2.7884516510427493</v>
      </c>
      <c r="N163" s="1794">
        <f t="shared" si="90"/>
        <v>2.5211584338825239</v>
      </c>
      <c r="O163" s="1794">
        <f t="shared" si="90"/>
        <v>2.2794872008485596</v>
      </c>
      <c r="P163" s="1794">
        <f t="shared" si="90"/>
        <v>2.060981899828719</v>
      </c>
      <c r="Q163" s="1794">
        <f t="shared" si="90"/>
        <v>1.8634219090330362</v>
      </c>
      <c r="R163" s="1794">
        <f t="shared" si="90"/>
        <v>1.6847994692980561</v>
      </c>
      <c r="S163" s="1794">
        <f t="shared" si="90"/>
        <v>1.5232992796676881</v>
      </c>
      <c r="T163" s="1794">
        <f t="shared" si="90"/>
        <v>1.37728004888491</v>
      </c>
      <c r="U163" s="1794">
        <f t="shared" si="90"/>
        <v>1.2452578153061518</v>
      </c>
      <c r="V163" s="1794">
        <f t="shared" si="90"/>
        <v>1.1258908657222759</v>
      </c>
      <c r="W163" s="1794">
        <f t="shared" si="90"/>
        <v>1.0179660998194211</v>
      </c>
      <c r="X163" s="1794">
        <f t="shared" si="90"/>
        <v>0.92038670170468984</v>
      </c>
      <c r="Y163" s="1794">
        <f t="shared" si="90"/>
        <v>0.83216099320508652</v>
      </c>
      <c r="Z163" s="1794">
        <f t="shared" si="90"/>
        <v>0.75239235565820373</v>
      </c>
      <c r="AA163" s="1794">
        <f t="shared" si="90"/>
        <v>0.68027011777201474</v>
      </c>
      <c r="AB163" s="1794">
        <f t="shared" si="90"/>
        <v>0.61506131694907396</v>
      </c>
      <c r="AC163" s="1794">
        <f t="shared" si="90"/>
        <v>0.55610325034725772</v>
      </c>
      <c r="AD163" s="1794">
        <f t="shared" si="90"/>
        <v>0.50279673997509777</v>
      </c>
      <c r="AE163" s="1794">
        <f t="shared" si="90"/>
        <v>0.45460004337633836</v>
      </c>
      <c r="AF163" s="1794">
        <f t="shared" si="90"/>
        <v>0.41102334801932916</v>
      </c>
      <c r="AG163" s="1794">
        <f t="shared" si="90"/>
        <v>0.37162379343893331</v>
      </c>
      <c r="AH163" s="1794">
        <f t="shared" si="90"/>
        <v>0.33600097054206374</v>
      </c>
      <c r="AI163" s="1794">
        <f t="shared" si="90"/>
        <v>0.30379285233726677</v>
      </c>
      <c r="AJ163" s="1794">
        <f t="shared" si="90"/>
        <v>0.27467211473324782</v>
      </c>
      <c r="AK163" s="1794">
        <f t="shared" si="90"/>
        <v>0.24834281001541367</v>
      </c>
      <c r="AL163" s="1794">
        <f t="shared" si="90"/>
        <v>0.22453735919369783</v>
      </c>
      <c r="AM163" s="1794">
        <f t="shared" si="90"/>
        <v>0.20301383265555581</v>
      </c>
      <c r="AN163" s="1794">
        <f t="shared" si="90"/>
        <v>0.18355349148799827</v>
      </c>
      <c r="AO163" s="1794">
        <f t="shared" si="90"/>
        <v>0.16595856448165336</v>
      </c>
      <c r="AP163" s="1794">
        <f t="shared" si="90"/>
        <v>0.1500502382250351</v>
      </c>
      <c r="AQ163" s="1794">
        <f t="shared" si="90"/>
        <v>0.13566683986278288</v>
      </c>
      <c r="AR163" s="1794">
        <f t="shared" si="90"/>
        <v>0.12266219404964004</v>
      </c>
      <c r="AS163" s="1794">
        <f t="shared" si="90"/>
        <v>0.11090413740225318</v>
      </c>
      <c r="AT163" s="1794">
        <f t="shared" si="90"/>
        <v>0.10027317535148837</v>
      </c>
      <c r="AU163" s="1794">
        <f t="shared" si="90"/>
        <v>9.0661267745147808E-2</v>
      </c>
      <c r="AV163" s="1794">
        <f t="shared" si="90"/>
        <v>8.1970730859430949E-2</v>
      </c>
      <c r="AW163" s="1794">
        <f t="shared" si="90"/>
        <v>7.411324466052234E-2</v>
      </c>
      <c r="AX163" s="1794">
        <f t="shared" si="90"/>
        <v>6.7008955227321698E-2</v>
      </c>
      <c r="AY163" s="1794">
        <f t="shared" si="90"/>
        <v>6.0585663213433484E-2</v>
      </c>
      <c r="AZ163" s="1794">
        <f t="shared" si="90"/>
        <v>5.4778090100932611E-2</v>
      </c>
      <c r="BA163" s="1794">
        <f t="shared" si="90"/>
        <v>4.9527214789002551E-2</v>
      </c>
      <c r="BB163" s="1794">
        <f t="shared" si="90"/>
        <v>4.4779673775340909E-2</v>
      </c>
      <c r="BC163" s="1794">
        <f t="shared" si="90"/>
        <v>4.0487218834506532E-2</v>
      </c>
    </row>
    <row r="164" spans="1:58" s="298" customFormat="1" ht="17.149999999999999" customHeight="1" outlineLevel="1" x14ac:dyDescent="0.35">
      <c r="B164" s="301" t="s">
        <v>420</v>
      </c>
      <c r="C164" s="1796">
        <f t="shared" ref="C164:BC164" si="91">IF(C$32&lt;=3,1,IF(C157&lt;0,1,IF(B164=1,1-(C157/C156),0)))</f>
        <v>1</v>
      </c>
      <c r="D164" s="1796">
        <f t="shared" si="91"/>
        <v>1</v>
      </c>
      <c r="E164" s="1796">
        <f t="shared" si="91"/>
        <v>1</v>
      </c>
      <c r="F164" s="1796">
        <f t="shared" si="91"/>
        <v>1</v>
      </c>
      <c r="G164" s="1796">
        <f t="shared" si="91"/>
        <v>1</v>
      </c>
      <c r="H164" s="1796">
        <f t="shared" si="91"/>
        <v>1</v>
      </c>
      <c r="I164" s="1796">
        <f t="shared" si="91"/>
        <v>1</v>
      </c>
      <c r="J164" s="1796">
        <f t="shared" si="91"/>
        <v>1</v>
      </c>
      <c r="K164" s="1796">
        <f t="shared" si="91"/>
        <v>1</v>
      </c>
      <c r="L164" s="1796">
        <f t="shared" si="91"/>
        <v>1</v>
      </c>
      <c r="M164" s="1796">
        <f t="shared" si="91"/>
        <v>1</v>
      </c>
      <c r="N164" s="1796">
        <f t="shared" si="91"/>
        <v>1</v>
      </c>
      <c r="O164" s="1796">
        <f t="shared" si="91"/>
        <v>1</v>
      </c>
      <c r="P164" s="1796">
        <f t="shared" si="91"/>
        <v>1</v>
      </c>
      <c r="Q164" s="1796">
        <f t="shared" si="91"/>
        <v>1</v>
      </c>
      <c r="R164" s="1796">
        <f t="shared" si="91"/>
        <v>1</v>
      </c>
      <c r="S164" s="1796">
        <f t="shared" si="91"/>
        <v>1</v>
      </c>
      <c r="T164" s="1796">
        <f t="shared" si="91"/>
        <v>1</v>
      </c>
      <c r="U164" s="1796">
        <f t="shared" si="91"/>
        <v>1</v>
      </c>
      <c r="V164" s="1796">
        <f t="shared" si="91"/>
        <v>1</v>
      </c>
      <c r="W164" s="1796">
        <f t="shared" si="91"/>
        <v>1</v>
      </c>
      <c r="X164" s="1796">
        <f t="shared" si="91"/>
        <v>1</v>
      </c>
      <c r="Y164" s="1796">
        <f t="shared" si="91"/>
        <v>1</v>
      </c>
      <c r="Z164" s="1796">
        <f t="shared" si="91"/>
        <v>1</v>
      </c>
      <c r="AA164" s="1796">
        <f t="shared" si="91"/>
        <v>1</v>
      </c>
      <c r="AB164" s="1796">
        <f t="shared" si="91"/>
        <v>0.9999999999999728</v>
      </c>
      <c r="AC164" s="1796">
        <f t="shared" si="91"/>
        <v>0</v>
      </c>
      <c r="AD164" s="1796">
        <f t="shared" si="91"/>
        <v>0</v>
      </c>
      <c r="AE164" s="1796">
        <f t="shared" si="91"/>
        <v>0</v>
      </c>
      <c r="AF164" s="1796">
        <f t="shared" si="91"/>
        <v>0</v>
      </c>
      <c r="AG164" s="1796">
        <f t="shared" si="91"/>
        <v>0</v>
      </c>
      <c r="AH164" s="1796">
        <f t="shared" si="91"/>
        <v>0</v>
      </c>
      <c r="AI164" s="1796">
        <f t="shared" si="91"/>
        <v>0</v>
      </c>
      <c r="AJ164" s="1796">
        <f t="shared" si="91"/>
        <v>0</v>
      </c>
      <c r="AK164" s="1796">
        <f t="shared" si="91"/>
        <v>0</v>
      </c>
      <c r="AL164" s="1796">
        <f t="shared" si="91"/>
        <v>0</v>
      </c>
      <c r="AM164" s="1796">
        <f t="shared" si="91"/>
        <v>0</v>
      </c>
      <c r="AN164" s="1796">
        <f t="shared" si="91"/>
        <v>0</v>
      </c>
      <c r="AO164" s="1796">
        <f t="shared" si="91"/>
        <v>0</v>
      </c>
      <c r="AP164" s="1796">
        <f t="shared" si="91"/>
        <v>0</v>
      </c>
      <c r="AQ164" s="1796">
        <f t="shared" si="91"/>
        <v>0</v>
      </c>
      <c r="AR164" s="1796">
        <f t="shared" si="91"/>
        <v>0</v>
      </c>
      <c r="AS164" s="1796">
        <f t="shared" si="91"/>
        <v>0</v>
      </c>
      <c r="AT164" s="1796">
        <f t="shared" si="91"/>
        <v>0</v>
      </c>
      <c r="AU164" s="1796">
        <f t="shared" si="91"/>
        <v>0</v>
      </c>
      <c r="AV164" s="1796">
        <f t="shared" si="91"/>
        <v>0</v>
      </c>
      <c r="AW164" s="1796">
        <f t="shared" si="91"/>
        <v>0</v>
      </c>
      <c r="AX164" s="1796">
        <f t="shared" si="91"/>
        <v>0</v>
      </c>
      <c r="AY164" s="1796">
        <f t="shared" si="91"/>
        <v>0</v>
      </c>
      <c r="AZ164" s="1796">
        <f t="shared" si="91"/>
        <v>0</v>
      </c>
      <c r="BA164" s="1796">
        <f t="shared" si="91"/>
        <v>0</v>
      </c>
      <c r="BB164" s="1796">
        <f t="shared" si="91"/>
        <v>0</v>
      </c>
      <c r="BC164" s="1796">
        <f t="shared" si="91"/>
        <v>0</v>
      </c>
    </row>
    <row r="165" spans="1:58" s="298" customFormat="1" ht="17.149999999999999" customHeight="1" outlineLevel="1" x14ac:dyDescent="0.35">
      <c r="B165" s="301" t="s">
        <v>421</v>
      </c>
      <c r="C165" s="1797" t="str">
        <f t="shared" ref="C165:BC165" si="92">IF(C31=1,IRR($C156:C156),"-")</f>
        <v>-</v>
      </c>
      <c r="D165" s="1797" t="str">
        <f t="shared" si="92"/>
        <v>-</v>
      </c>
      <c r="E165" s="1797" t="str">
        <f t="shared" si="92"/>
        <v>-</v>
      </c>
      <c r="F165" s="1797" t="str">
        <f t="shared" si="92"/>
        <v>-</v>
      </c>
      <c r="G165" s="1797" t="str">
        <f t="shared" si="92"/>
        <v>-</v>
      </c>
      <c r="H165" s="1797" t="str">
        <f t="shared" si="92"/>
        <v>-</v>
      </c>
      <c r="I165" s="1797" t="str">
        <f t="shared" si="92"/>
        <v>-</v>
      </c>
      <c r="J165" s="1797" t="str">
        <f t="shared" si="92"/>
        <v>-</v>
      </c>
      <c r="K165" s="1797" t="str">
        <f t="shared" si="92"/>
        <v>-</v>
      </c>
      <c r="L165" s="1797" t="str">
        <f t="shared" si="92"/>
        <v>-</v>
      </c>
      <c r="M165" s="1797" t="str">
        <f t="shared" si="92"/>
        <v>-</v>
      </c>
      <c r="N165" s="1797" t="str">
        <f t="shared" si="92"/>
        <v>-</v>
      </c>
      <c r="O165" s="1797" t="str">
        <f t="shared" si="92"/>
        <v>-</v>
      </c>
      <c r="P165" s="1797" t="str">
        <f t="shared" si="92"/>
        <v>-</v>
      </c>
      <c r="Q165" s="1797" t="str">
        <f t="shared" si="92"/>
        <v>-</v>
      </c>
      <c r="R165" s="1797" t="str">
        <f t="shared" si="92"/>
        <v>-</v>
      </c>
      <c r="S165" s="1797" t="str">
        <f t="shared" si="92"/>
        <v>-</v>
      </c>
      <c r="T165" s="1797" t="str">
        <f t="shared" si="92"/>
        <v>-</v>
      </c>
      <c r="U165" s="1797" t="str">
        <f t="shared" si="92"/>
        <v>-</v>
      </c>
      <c r="V165" s="1797" t="str">
        <f t="shared" si="92"/>
        <v>-</v>
      </c>
      <c r="W165" s="1797" t="str">
        <f t="shared" si="92"/>
        <v>-</v>
      </c>
      <c r="X165" s="1797" t="str">
        <f t="shared" si="92"/>
        <v>-</v>
      </c>
      <c r="Y165" s="1797" t="str">
        <f t="shared" si="92"/>
        <v>-</v>
      </c>
      <c r="Z165" s="1797" t="str">
        <f t="shared" si="92"/>
        <v>-</v>
      </c>
      <c r="AA165" s="1797" t="str">
        <f t="shared" si="92"/>
        <v>-</v>
      </c>
      <c r="AB165" s="1797">
        <f t="shared" si="92"/>
        <v>4.0634162701280729E-14</v>
      </c>
      <c r="AC165" s="1797" t="str">
        <f t="shared" si="92"/>
        <v>-</v>
      </c>
      <c r="AD165" s="1797" t="str">
        <f t="shared" si="92"/>
        <v>-</v>
      </c>
      <c r="AE165" s="1797" t="str">
        <f t="shared" si="92"/>
        <v>-</v>
      </c>
      <c r="AF165" s="1797" t="str">
        <f t="shared" si="92"/>
        <v>-</v>
      </c>
      <c r="AG165" s="1797" t="str">
        <f t="shared" si="92"/>
        <v>-</v>
      </c>
      <c r="AH165" s="1797" t="str">
        <f t="shared" si="92"/>
        <v>-</v>
      </c>
      <c r="AI165" s="1797" t="str">
        <f t="shared" si="92"/>
        <v>-</v>
      </c>
      <c r="AJ165" s="1797" t="str">
        <f t="shared" si="92"/>
        <v>-</v>
      </c>
      <c r="AK165" s="1797" t="str">
        <f t="shared" si="92"/>
        <v>-</v>
      </c>
      <c r="AL165" s="1797" t="str">
        <f t="shared" si="92"/>
        <v>-</v>
      </c>
      <c r="AM165" s="1797" t="str">
        <f t="shared" si="92"/>
        <v>-</v>
      </c>
      <c r="AN165" s="1797" t="str">
        <f t="shared" si="92"/>
        <v>-</v>
      </c>
      <c r="AO165" s="1797" t="str">
        <f t="shared" si="92"/>
        <v>-</v>
      </c>
      <c r="AP165" s="1797" t="str">
        <f t="shared" si="92"/>
        <v>-</v>
      </c>
      <c r="AQ165" s="1797" t="str">
        <f t="shared" si="92"/>
        <v>-</v>
      </c>
      <c r="AR165" s="1797" t="str">
        <f t="shared" si="92"/>
        <v>-</v>
      </c>
      <c r="AS165" s="1797" t="str">
        <f t="shared" si="92"/>
        <v>-</v>
      </c>
      <c r="AT165" s="1797" t="str">
        <f t="shared" si="92"/>
        <v>-</v>
      </c>
      <c r="AU165" s="1797" t="str">
        <f t="shared" si="92"/>
        <v>-</v>
      </c>
      <c r="AV165" s="1797" t="str">
        <f t="shared" si="92"/>
        <v>-</v>
      </c>
      <c r="AW165" s="1797" t="str">
        <f t="shared" si="92"/>
        <v>-</v>
      </c>
      <c r="AX165" s="1797" t="str">
        <f t="shared" si="92"/>
        <v>-</v>
      </c>
      <c r="AY165" s="1797" t="str">
        <f t="shared" si="92"/>
        <v>-</v>
      </c>
      <c r="AZ165" s="1797" t="str">
        <f t="shared" si="92"/>
        <v>-</v>
      </c>
      <c r="BA165" s="1797" t="str">
        <f t="shared" si="92"/>
        <v>-</v>
      </c>
      <c r="BB165" s="1797" t="str">
        <f t="shared" si="92"/>
        <v>-</v>
      </c>
      <c r="BC165" s="1797" t="str">
        <f t="shared" si="92"/>
        <v>-</v>
      </c>
    </row>
    <row r="166" spans="1:58" s="298" customFormat="1" ht="17.149999999999999" customHeight="1" outlineLevel="1" x14ac:dyDescent="0.35">
      <c r="C166" s="1794"/>
      <c r="D166" s="1794"/>
      <c r="E166" s="1794"/>
      <c r="F166" s="1794"/>
      <c r="G166" s="1794"/>
      <c r="H166" s="1794"/>
      <c r="I166" s="1794"/>
      <c r="J166" s="1794"/>
      <c r="K166" s="1794"/>
      <c r="L166" s="1794"/>
      <c r="M166" s="1794"/>
      <c r="N166" s="1794"/>
      <c r="O166" s="1794"/>
      <c r="P166" s="1794"/>
      <c r="Q166" s="1794"/>
      <c r="R166" s="1794"/>
      <c r="S166" s="1794"/>
      <c r="T166" s="1794"/>
      <c r="U166" s="1794"/>
      <c r="V166" s="1794"/>
      <c r="W166" s="1794"/>
      <c r="X166" s="1794"/>
      <c r="Y166" s="1794"/>
      <c r="Z166" s="1794"/>
      <c r="AA166" s="1794"/>
      <c r="AB166" s="1794"/>
      <c r="AC166" s="1794"/>
      <c r="AD166" s="1794"/>
      <c r="AE166" s="1794"/>
      <c r="AF166" s="1794"/>
      <c r="AG166" s="1794"/>
      <c r="AH166" s="1794"/>
      <c r="AI166" s="1794"/>
      <c r="AJ166" s="1794"/>
      <c r="AK166" s="1794"/>
      <c r="AL166" s="1794"/>
      <c r="AM166" s="1794"/>
      <c r="AN166" s="1794"/>
      <c r="AO166" s="1794"/>
      <c r="AP166" s="1794"/>
      <c r="AQ166" s="1794"/>
      <c r="AR166" s="1794"/>
      <c r="AS166" s="1794"/>
      <c r="AT166" s="1794"/>
      <c r="AU166" s="1794"/>
      <c r="AV166" s="1794"/>
      <c r="AW166" s="1794"/>
      <c r="AX166" s="1794"/>
      <c r="AY166" s="1794"/>
      <c r="AZ166" s="1794"/>
      <c r="BA166" s="1794"/>
      <c r="BB166" s="1794"/>
      <c r="BC166" s="1794"/>
    </row>
    <row r="167" spans="1:58" s="298" customFormat="1" ht="17.149999999999999" customHeight="1" outlineLevel="1" x14ac:dyDescent="0.35">
      <c r="B167" s="860" t="s">
        <v>422</v>
      </c>
      <c r="C167" s="1794">
        <f t="shared" ref="C167:BC167" si="93">C63*(1-$C$13)</f>
        <v>107.26921860109236</v>
      </c>
      <c r="D167" s="1794">
        <f t="shared" si="93"/>
        <v>227.72642485012153</v>
      </c>
      <c r="E167" s="1794">
        <f t="shared" si="93"/>
        <v>164.58079350642123</v>
      </c>
      <c r="F167" s="1794">
        <f t="shared" si="93"/>
        <v>3.1914700042316753</v>
      </c>
      <c r="G167" s="1794">
        <f t="shared" si="93"/>
        <v>2.2914700042316754</v>
      </c>
      <c r="H167" s="1794">
        <f t="shared" si="93"/>
        <v>2.2914700042316754</v>
      </c>
      <c r="I167" s="1794">
        <f t="shared" si="93"/>
        <v>2.2914700042316754</v>
      </c>
      <c r="J167" s="1794">
        <f t="shared" si="93"/>
        <v>2.2914700042316754</v>
      </c>
      <c r="K167" s="1794">
        <f t="shared" si="93"/>
        <v>2.2914700042316754</v>
      </c>
      <c r="L167" s="1794">
        <f t="shared" si="93"/>
        <v>2.2914700042316754</v>
      </c>
      <c r="M167" s="1794">
        <f t="shared" si="93"/>
        <v>2.2914700042316754</v>
      </c>
      <c r="N167" s="1794">
        <f t="shared" si="93"/>
        <v>2.2914700042316754</v>
      </c>
      <c r="O167" s="1794">
        <f t="shared" si="93"/>
        <v>2.2914700042316754</v>
      </c>
      <c r="P167" s="1794">
        <f t="shared" si="93"/>
        <v>2.2914700042316754</v>
      </c>
      <c r="Q167" s="1794">
        <f t="shared" si="93"/>
        <v>2.2914700042316754</v>
      </c>
      <c r="R167" s="1794">
        <f t="shared" si="93"/>
        <v>2.2914700042316754</v>
      </c>
      <c r="S167" s="1794">
        <f t="shared" si="93"/>
        <v>2.2914700042316754</v>
      </c>
      <c r="T167" s="1794">
        <f t="shared" si="93"/>
        <v>2.2914700042316754</v>
      </c>
      <c r="U167" s="1794">
        <f t="shared" si="93"/>
        <v>2.2914700042316754</v>
      </c>
      <c r="V167" s="1794">
        <f t="shared" si="93"/>
        <v>2.2914700042316754</v>
      </c>
      <c r="W167" s="1794">
        <f t="shared" si="93"/>
        <v>2.2914700042316754</v>
      </c>
      <c r="X167" s="1794">
        <f t="shared" si="93"/>
        <v>2.2914700042316754</v>
      </c>
      <c r="Y167" s="1794">
        <f t="shared" si="93"/>
        <v>2.2914700042316754</v>
      </c>
      <c r="Z167" s="1794">
        <f t="shared" si="93"/>
        <v>2.2914700042316754</v>
      </c>
      <c r="AA167" s="1794">
        <f t="shared" si="93"/>
        <v>2.2914700042316754</v>
      </c>
      <c r="AB167" s="1794">
        <f t="shared" si="93"/>
        <v>2.2914700042316754</v>
      </c>
      <c r="AC167" s="1794">
        <f t="shared" si="93"/>
        <v>2.2914700042316754</v>
      </c>
      <c r="AD167" s="1794">
        <f t="shared" si="93"/>
        <v>2.2914700042316754</v>
      </c>
      <c r="AE167" s="1794">
        <f t="shared" si="93"/>
        <v>2.2914700042316754</v>
      </c>
      <c r="AF167" s="1794">
        <f t="shared" si="93"/>
        <v>2.2914700042316754</v>
      </c>
      <c r="AG167" s="1794">
        <f t="shared" si="93"/>
        <v>2.2914700042316754</v>
      </c>
      <c r="AH167" s="1794">
        <f t="shared" si="93"/>
        <v>2.2914700042316754</v>
      </c>
      <c r="AI167" s="1794">
        <f t="shared" si="93"/>
        <v>2.2914700042316754</v>
      </c>
      <c r="AJ167" s="1794">
        <f t="shared" si="93"/>
        <v>2.2914700042316754</v>
      </c>
      <c r="AK167" s="1794">
        <f t="shared" si="93"/>
        <v>2.2914700042316754</v>
      </c>
      <c r="AL167" s="1794">
        <f t="shared" si="93"/>
        <v>2.2914700042316754</v>
      </c>
      <c r="AM167" s="1794">
        <f t="shared" si="93"/>
        <v>2.2914700042316754</v>
      </c>
      <c r="AN167" s="1794">
        <f t="shared" si="93"/>
        <v>2.2914700042316754</v>
      </c>
      <c r="AO167" s="1794">
        <f t="shared" si="93"/>
        <v>2.2914700042316754</v>
      </c>
      <c r="AP167" s="1794">
        <f t="shared" si="93"/>
        <v>2.2914700042316754</v>
      </c>
      <c r="AQ167" s="1794">
        <f t="shared" si="93"/>
        <v>2.2914700042316754</v>
      </c>
      <c r="AR167" s="1794">
        <f t="shared" si="93"/>
        <v>2.2914700042316754</v>
      </c>
      <c r="AS167" s="1794">
        <f t="shared" si="93"/>
        <v>2.2914700042316754</v>
      </c>
      <c r="AT167" s="1794">
        <f t="shared" si="93"/>
        <v>2.2914700042316754</v>
      </c>
      <c r="AU167" s="1794">
        <f t="shared" si="93"/>
        <v>2.2914700042316754</v>
      </c>
      <c r="AV167" s="1794">
        <f t="shared" si="93"/>
        <v>2.2914700042316754</v>
      </c>
      <c r="AW167" s="1794">
        <f t="shared" si="93"/>
        <v>2.2914700042316754</v>
      </c>
      <c r="AX167" s="1794">
        <f t="shared" si="93"/>
        <v>2.2914700042316754</v>
      </c>
      <c r="AY167" s="1794">
        <f t="shared" si="93"/>
        <v>2.2914700042316754</v>
      </c>
      <c r="AZ167" s="1794">
        <f t="shared" si="93"/>
        <v>2.2914700042316754</v>
      </c>
      <c r="BA167" s="1794">
        <f t="shared" si="93"/>
        <v>2.2914700042316754</v>
      </c>
      <c r="BB167" s="1794">
        <f t="shared" si="93"/>
        <v>2.2914700042316754</v>
      </c>
      <c r="BC167" s="1794">
        <f t="shared" si="93"/>
        <v>2.2914700042316754</v>
      </c>
    </row>
    <row r="168" spans="1:58" s="298" customFormat="1" ht="17.149999999999999" customHeight="1" outlineLevel="1" x14ac:dyDescent="0.35">
      <c r="B168" s="861" t="s">
        <v>680</v>
      </c>
      <c r="C168" s="1794">
        <f>C167</f>
        <v>107.26921860109236</v>
      </c>
      <c r="D168" s="1794">
        <f t="shared" ref="D168:BC168" si="94">C173+D167</f>
        <v>334.99564345121388</v>
      </c>
      <c r="E168" s="1794">
        <f t="shared" si="94"/>
        <v>499.57643695763511</v>
      </c>
      <c r="F168" s="1794">
        <f t="shared" si="94"/>
        <v>502.7679069618668</v>
      </c>
      <c r="G168" s="1794">
        <f t="shared" si="94"/>
        <v>505.05937696609845</v>
      </c>
      <c r="H168" s="1794">
        <f t="shared" si="94"/>
        <v>507.35084697033011</v>
      </c>
      <c r="I168" s="1794">
        <f t="shared" si="94"/>
        <v>478.88982011610085</v>
      </c>
      <c r="J168" s="1794">
        <f t="shared" si="94"/>
        <v>450.42879326187159</v>
      </c>
      <c r="K168" s="1794">
        <f t="shared" si="94"/>
        <v>421.96776640764233</v>
      </c>
      <c r="L168" s="1794">
        <f t="shared" si="94"/>
        <v>393.50673955341307</v>
      </c>
      <c r="M168" s="1794">
        <f t="shared" si="94"/>
        <v>365.04571269918381</v>
      </c>
      <c r="N168" s="1794">
        <f t="shared" si="94"/>
        <v>336.58468584495455</v>
      </c>
      <c r="O168" s="1794">
        <f t="shared" si="94"/>
        <v>308.12365899072529</v>
      </c>
      <c r="P168" s="1794">
        <f t="shared" si="94"/>
        <v>279.66263213649603</v>
      </c>
      <c r="Q168" s="1794">
        <f t="shared" si="94"/>
        <v>251.20160528226683</v>
      </c>
      <c r="R168" s="1794">
        <f t="shared" si="94"/>
        <v>222.74057842803762</v>
      </c>
      <c r="S168" s="1794">
        <f t="shared" si="94"/>
        <v>194.27955157380842</v>
      </c>
      <c r="T168" s="1794">
        <f t="shared" si="94"/>
        <v>165.81852471957922</v>
      </c>
      <c r="U168" s="1794">
        <f t="shared" si="94"/>
        <v>137.35749786535001</v>
      </c>
      <c r="V168" s="1794">
        <f t="shared" si="94"/>
        <v>108.89647101112078</v>
      </c>
      <c r="W168" s="1794">
        <f t="shared" si="94"/>
        <v>80.435444156891549</v>
      </c>
      <c r="X168" s="1794">
        <f t="shared" si="94"/>
        <v>51.974417302662324</v>
      </c>
      <c r="Y168" s="1794">
        <f t="shared" si="94"/>
        <v>23.513390448433103</v>
      </c>
      <c r="Z168" s="1794">
        <f t="shared" si="94"/>
        <v>-4.9476364057961195</v>
      </c>
      <c r="AA168" s="1794">
        <f t="shared" si="94"/>
        <v>-33.408663260025342</v>
      </c>
      <c r="AB168" s="1794">
        <f t="shared" si="94"/>
        <v>-61.86969011425456</v>
      </c>
      <c r="AC168" s="1794">
        <f t="shared" si="94"/>
        <v>-59.578220110022883</v>
      </c>
      <c r="AD168" s="1794">
        <f t="shared" si="94"/>
        <v>-57.286750105791207</v>
      </c>
      <c r="AE168" s="1794">
        <f t="shared" si="94"/>
        <v>-54.99528010155953</v>
      </c>
      <c r="AF168" s="1794">
        <f t="shared" si="94"/>
        <v>-52.703810097327853</v>
      </c>
      <c r="AG168" s="1794">
        <f t="shared" si="94"/>
        <v>-50.412340093096176</v>
      </c>
      <c r="AH168" s="1794">
        <f t="shared" si="94"/>
        <v>-48.1208700888645</v>
      </c>
      <c r="AI168" s="1794">
        <f t="shared" si="94"/>
        <v>-45.829400084632823</v>
      </c>
      <c r="AJ168" s="1794">
        <f t="shared" si="94"/>
        <v>-43.537930080401146</v>
      </c>
      <c r="AK168" s="1794">
        <f t="shared" si="94"/>
        <v>-41.24646007616947</v>
      </c>
      <c r="AL168" s="1794">
        <f t="shared" si="94"/>
        <v>-38.954990071937793</v>
      </c>
      <c r="AM168" s="1794">
        <f t="shared" si="94"/>
        <v>-36.663520067706116</v>
      </c>
      <c r="AN168" s="1794">
        <f t="shared" si="94"/>
        <v>-34.37205006347444</v>
      </c>
      <c r="AO168" s="1794">
        <f t="shared" si="94"/>
        <v>-32.080580059242763</v>
      </c>
      <c r="AP168" s="1794">
        <f t="shared" si="94"/>
        <v>-29.789110055011086</v>
      </c>
      <c r="AQ168" s="1794">
        <f t="shared" si="94"/>
        <v>-27.49764005077941</v>
      </c>
      <c r="AR168" s="1794">
        <f t="shared" si="94"/>
        <v>-25.206170046547733</v>
      </c>
      <c r="AS168" s="1794">
        <f t="shared" si="94"/>
        <v>-22.914700042316056</v>
      </c>
      <c r="AT168" s="1794">
        <f t="shared" si="94"/>
        <v>-20.62323003808438</v>
      </c>
      <c r="AU168" s="1794">
        <f t="shared" si="94"/>
        <v>-18.331760033852703</v>
      </c>
      <c r="AV168" s="1794">
        <f t="shared" si="94"/>
        <v>-16.040290029621026</v>
      </c>
      <c r="AW168" s="1794">
        <f t="shared" si="94"/>
        <v>-13.748820025389351</v>
      </c>
      <c r="AX168" s="1794">
        <f t="shared" si="94"/>
        <v>-11.457350021157676</v>
      </c>
      <c r="AY168" s="1794">
        <f t="shared" si="94"/>
        <v>-9.1658800169260015</v>
      </c>
      <c r="AZ168" s="1794">
        <f t="shared" si="94"/>
        <v>-6.8744100126943266</v>
      </c>
      <c r="BA168" s="1794">
        <f t="shared" si="94"/>
        <v>-4.5829400084626517</v>
      </c>
      <c r="BB168" s="1794">
        <f t="shared" si="94"/>
        <v>-2.2914700042309764</v>
      </c>
      <c r="BC168" s="1794">
        <f t="shared" si="94"/>
        <v>6.9899641630399856E-13</v>
      </c>
    </row>
    <row r="169" spans="1:58" s="298" customFormat="1" ht="17.149999999999999" customHeight="1" outlineLevel="1" x14ac:dyDescent="0.35">
      <c r="A169" s="301"/>
      <c r="B169" s="303" t="s">
        <v>423</v>
      </c>
      <c r="C169" s="1798">
        <v>0</v>
      </c>
      <c r="D169" s="1798">
        <v>1</v>
      </c>
      <c r="E169" s="1798">
        <v>2</v>
      </c>
      <c r="F169" s="1798">
        <v>3</v>
      </c>
      <c r="G169" s="1798">
        <v>4</v>
      </c>
      <c r="H169" s="1798">
        <v>5</v>
      </c>
      <c r="I169" s="1798">
        <v>6</v>
      </c>
      <c r="J169" s="1798">
        <v>7</v>
      </c>
      <c r="K169" s="1798">
        <v>8</v>
      </c>
      <c r="L169" s="1798">
        <v>9</v>
      </c>
      <c r="M169" s="1798">
        <v>10</v>
      </c>
      <c r="N169" s="1798">
        <v>11</v>
      </c>
      <c r="O169" s="1798">
        <v>12</v>
      </c>
      <c r="P169" s="1798">
        <v>13</v>
      </c>
      <c r="Q169" s="1798">
        <v>14</v>
      </c>
      <c r="R169" s="1798">
        <v>15</v>
      </c>
      <c r="S169" s="1798">
        <v>16</v>
      </c>
      <c r="T169" s="1798">
        <v>17</v>
      </c>
      <c r="U169" s="1798">
        <v>18</v>
      </c>
      <c r="V169" s="1798">
        <v>19</v>
      </c>
      <c r="W169" s="1798">
        <v>20</v>
      </c>
      <c r="X169" s="1798">
        <v>21</v>
      </c>
      <c r="Y169" s="1798">
        <v>22</v>
      </c>
      <c r="Z169" s="1798">
        <v>23</v>
      </c>
      <c r="AA169" s="1798">
        <v>24</v>
      </c>
      <c r="AB169" s="1798">
        <v>25</v>
      </c>
      <c r="AC169" s="1798">
        <v>26</v>
      </c>
      <c r="AD169" s="1798">
        <v>27</v>
      </c>
      <c r="AE169" s="1798">
        <v>28</v>
      </c>
      <c r="AF169" s="1798">
        <v>29</v>
      </c>
      <c r="AG169" s="1798">
        <v>30</v>
      </c>
      <c r="AH169" s="1798">
        <v>31</v>
      </c>
      <c r="AI169" s="1798">
        <v>32</v>
      </c>
      <c r="AJ169" s="1798">
        <v>33</v>
      </c>
      <c r="AK169" s="1798">
        <v>34</v>
      </c>
      <c r="AL169" s="1798">
        <v>35</v>
      </c>
      <c r="AM169" s="1798">
        <v>36</v>
      </c>
      <c r="AN169" s="1798">
        <v>37</v>
      </c>
      <c r="AO169" s="1798">
        <v>38</v>
      </c>
      <c r="AP169" s="1798">
        <v>39</v>
      </c>
      <c r="AQ169" s="1798">
        <v>40</v>
      </c>
      <c r="AR169" s="1798">
        <v>41</v>
      </c>
      <c r="AS169" s="1798">
        <v>42</v>
      </c>
      <c r="AT169" s="1798">
        <v>43</v>
      </c>
      <c r="AU169" s="1798">
        <v>44</v>
      </c>
      <c r="AV169" s="1798">
        <v>45</v>
      </c>
      <c r="AW169" s="1798">
        <v>46</v>
      </c>
      <c r="AX169" s="1798">
        <v>47</v>
      </c>
      <c r="AY169" s="1798">
        <v>48</v>
      </c>
      <c r="AZ169" s="1798">
        <v>49</v>
      </c>
      <c r="BA169" s="1798">
        <v>50</v>
      </c>
      <c r="BB169" s="1798">
        <v>51</v>
      </c>
      <c r="BC169" s="1798">
        <v>52</v>
      </c>
      <c r="BD169" s="301"/>
      <c r="BE169" s="301"/>
      <c r="BF169" s="301"/>
    </row>
    <row r="170" spans="1:58" s="298" customFormat="1" ht="17.149999999999999" customHeight="1" outlineLevel="1" x14ac:dyDescent="0.35">
      <c r="B170" s="298" t="s">
        <v>681</v>
      </c>
      <c r="C170" s="1799">
        <f t="shared" ref="C170:BC170" si="95">IF(C169&lt;=$C$22,0,IF(C169&lt;($C$22+$C$21+1),1,2))</f>
        <v>0</v>
      </c>
      <c r="D170" s="1799">
        <f t="shared" si="95"/>
        <v>0</v>
      </c>
      <c r="E170" s="1799">
        <f t="shared" si="95"/>
        <v>0</v>
      </c>
      <c r="F170" s="1799">
        <f t="shared" si="95"/>
        <v>0</v>
      </c>
      <c r="G170" s="1799">
        <f t="shared" si="95"/>
        <v>0</v>
      </c>
      <c r="H170" s="1799">
        <f t="shared" si="95"/>
        <v>1</v>
      </c>
      <c r="I170" s="1799">
        <f t="shared" si="95"/>
        <v>1</v>
      </c>
      <c r="J170" s="1799">
        <f t="shared" si="95"/>
        <v>1</v>
      </c>
      <c r="K170" s="1799">
        <f t="shared" si="95"/>
        <v>1</v>
      </c>
      <c r="L170" s="1799">
        <f t="shared" si="95"/>
        <v>1</v>
      </c>
      <c r="M170" s="1799">
        <f t="shared" si="95"/>
        <v>1</v>
      </c>
      <c r="N170" s="1799">
        <f t="shared" si="95"/>
        <v>1</v>
      </c>
      <c r="O170" s="1799">
        <f t="shared" si="95"/>
        <v>1</v>
      </c>
      <c r="P170" s="1799">
        <f t="shared" si="95"/>
        <v>1</v>
      </c>
      <c r="Q170" s="1799">
        <f t="shared" si="95"/>
        <v>1</v>
      </c>
      <c r="R170" s="1799">
        <f t="shared" si="95"/>
        <v>1</v>
      </c>
      <c r="S170" s="1799">
        <f t="shared" si="95"/>
        <v>1</v>
      </c>
      <c r="T170" s="1799">
        <f t="shared" si="95"/>
        <v>1</v>
      </c>
      <c r="U170" s="1799">
        <f t="shared" si="95"/>
        <v>1</v>
      </c>
      <c r="V170" s="1799">
        <f t="shared" si="95"/>
        <v>1</v>
      </c>
      <c r="W170" s="1799">
        <f t="shared" si="95"/>
        <v>1</v>
      </c>
      <c r="X170" s="1799">
        <f t="shared" si="95"/>
        <v>1</v>
      </c>
      <c r="Y170" s="1799">
        <f t="shared" si="95"/>
        <v>1</v>
      </c>
      <c r="Z170" s="1799">
        <f t="shared" si="95"/>
        <v>1</v>
      </c>
      <c r="AA170" s="1799">
        <f t="shared" si="95"/>
        <v>1</v>
      </c>
      <c r="AB170" s="1799">
        <f t="shared" si="95"/>
        <v>2</v>
      </c>
      <c r="AC170" s="1799">
        <f t="shared" si="95"/>
        <v>2</v>
      </c>
      <c r="AD170" s="1799">
        <f t="shared" si="95"/>
        <v>2</v>
      </c>
      <c r="AE170" s="1799">
        <f t="shared" si="95"/>
        <v>2</v>
      </c>
      <c r="AF170" s="1799">
        <f t="shared" si="95"/>
        <v>2</v>
      </c>
      <c r="AG170" s="1799">
        <f t="shared" si="95"/>
        <v>2</v>
      </c>
      <c r="AH170" s="1799">
        <f t="shared" si="95"/>
        <v>2</v>
      </c>
      <c r="AI170" s="1799">
        <f t="shared" si="95"/>
        <v>2</v>
      </c>
      <c r="AJ170" s="1799">
        <f t="shared" si="95"/>
        <v>2</v>
      </c>
      <c r="AK170" s="1799">
        <f t="shared" si="95"/>
        <v>2</v>
      </c>
      <c r="AL170" s="1799">
        <f t="shared" si="95"/>
        <v>2</v>
      </c>
      <c r="AM170" s="1799">
        <f t="shared" si="95"/>
        <v>2</v>
      </c>
      <c r="AN170" s="1799">
        <f t="shared" si="95"/>
        <v>2</v>
      </c>
      <c r="AO170" s="1799">
        <f t="shared" si="95"/>
        <v>2</v>
      </c>
      <c r="AP170" s="1799">
        <f t="shared" si="95"/>
        <v>2</v>
      </c>
      <c r="AQ170" s="1799">
        <f t="shared" si="95"/>
        <v>2</v>
      </c>
      <c r="AR170" s="1799">
        <f t="shared" si="95"/>
        <v>2</v>
      </c>
      <c r="AS170" s="1799">
        <f t="shared" si="95"/>
        <v>2</v>
      </c>
      <c r="AT170" s="1799">
        <f t="shared" si="95"/>
        <v>2</v>
      </c>
      <c r="AU170" s="1799">
        <f t="shared" si="95"/>
        <v>2</v>
      </c>
      <c r="AV170" s="1799">
        <f t="shared" si="95"/>
        <v>2</v>
      </c>
      <c r="AW170" s="1799">
        <f t="shared" si="95"/>
        <v>2</v>
      </c>
      <c r="AX170" s="1799">
        <f t="shared" si="95"/>
        <v>2</v>
      </c>
      <c r="AY170" s="1799">
        <f t="shared" si="95"/>
        <v>2</v>
      </c>
      <c r="AZ170" s="1799">
        <f t="shared" si="95"/>
        <v>2</v>
      </c>
      <c r="BA170" s="1799">
        <f t="shared" si="95"/>
        <v>2</v>
      </c>
      <c r="BB170" s="1799">
        <f t="shared" si="95"/>
        <v>2</v>
      </c>
      <c r="BC170" s="1799">
        <f t="shared" si="95"/>
        <v>2</v>
      </c>
    </row>
    <row r="171" spans="1:58" s="298" customFormat="1" ht="17.149999999999999" customHeight="1" outlineLevel="1" x14ac:dyDescent="0.35">
      <c r="B171" s="860" t="s">
        <v>424</v>
      </c>
      <c r="C171" s="1794">
        <v>0</v>
      </c>
      <c r="D171" s="1794">
        <f t="shared" ref="D171:BC171" si="96">IF(D170=0,0,IF(D170=1,-1*SUM($C167:$BC167)/$C$21,0))</f>
        <v>0</v>
      </c>
      <c r="E171" s="1794">
        <f t="shared" si="96"/>
        <v>0</v>
      </c>
      <c r="F171" s="1794">
        <f t="shared" si="96"/>
        <v>0</v>
      </c>
      <c r="G171" s="1794">
        <f t="shared" si="96"/>
        <v>0</v>
      </c>
      <c r="H171" s="1794">
        <f t="shared" si="96"/>
        <v>-30.752496858460898</v>
      </c>
      <c r="I171" s="1794">
        <f t="shared" si="96"/>
        <v>-30.752496858460898</v>
      </c>
      <c r="J171" s="1794">
        <f t="shared" si="96"/>
        <v>-30.752496858460898</v>
      </c>
      <c r="K171" s="1794">
        <f t="shared" si="96"/>
        <v>-30.752496858460898</v>
      </c>
      <c r="L171" s="1794">
        <f t="shared" si="96"/>
        <v>-30.752496858460898</v>
      </c>
      <c r="M171" s="1794">
        <f t="shared" si="96"/>
        <v>-30.752496858460898</v>
      </c>
      <c r="N171" s="1794">
        <f t="shared" si="96"/>
        <v>-30.752496858460898</v>
      </c>
      <c r="O171" s="1794">
        <f t="shared" si="96"/>
        <v>-30.752496858460898</v>
      </c>
      <c r="P171" s="1794">
        <f t="shared" si="96"/>
        <v>-30.752496858460898</v>
      </c>
      <c r="Q171" s="1794">
        <f t="shared" si="96"/>
        <v>-30.752496858460898</v>
      </c>
      <c r="R171" s="1794">
        <f t="shared" si="96"/>
        <v>-30.752496858460898</v>
      </c>
      <c r="S171" s="1794">
        <f t="shared" si="96"/>
        <v>-30.752496858460898</v>
      </c>
      <c r="T171" s="1794">
        <f t="shared" si="96"/>
        <v>-30.752496858460898</v>
      </c>
      <c r="U171" s="1794">
        <f t="shared" si="96"/>
        <v>-30.752496858460898</v>
      </c>
      <c r="V171" s="1794">
        <f t="shared" si="96"/>
        <v>-30.752496858460898</v>
      </c>
      <c r="W171" s="1794">
        <f t="shared" si="96"/>
        <v>-30.752496858460898</v>
      </c>
      <c r="X171" s="1794">
        <f t="shared" si="96"/>
        <v>-30.752496858460898</v>
      </c>
      <c r="Y171" s="1794">
        <f t="shared" si="96"/>
        <v>-30.752496858460898</v>
      </c>
      <c r="Z171" s="1794">
        <f t="shared" si="96"/>
        <v>-30.752496858460898</v>
      </c>
      <c r="AA171" s="1794">
        <f t="shared" si="96"/>
        <v>-30.752496858460898</v>
      </c>
      <c r="AB171" s="1794">
        <f t="shared" si="96"/>
        <v>0</v>
      </c>
      <c r="AC171" s="1794">
        <f t="shared" si="96"/>
        <v>0</v>
      </c>
      <c r="AD171" s="1794">
        <f t="shared" si="96"/>
        <v>0</v>
      </c>
      <c r="AE171" s="1794">
        <f t="shared" si="96"/>
        <v>0</v>
      </c>
      <c r="AF171" s="1794">
        <f t="shared" si="96"/>
        <v>0</v>
      </c>
      <c r="AG171" s="1794">
        <f t="shared" si="96"/>
        <v>0</v>
      </c>
      <c r="AH171" s="1794">
        <f t="shared" si="96"/>
        <v>0</v>
      </c>
      <c r="AI171" s="1794">
        <f t="shared" si="96"/>
        <v>0</v>
      </c>
      <c r="AJ171" s="1794">
        <f t="shared" si="96"/>
        <v>0</v>
      </c>
      <c r="AK171" s="1794">
        <f t="shared" si="96"/>
        <v>0</v>
      </c>
      <c r="AL171" s="1794">
        <f t="shared" si="96"/>
        <v>0</v>
      </c>
      <c r="AM171" s="1794">
        <f t="shared" si="96"/>
        <v>0</v>
      </c>
      <c r="AN171" s="1794">
        <f t="shared" si="96"/>
        <v>0</v>
      </c>
      <c r="AO171" s="1794">
        <f t="shared" si="96"/>
        <v>0</v>
      </c>
      <c r="AP171" s="1794">
        <f t="shared" si="96"/>
        <v>0</v>
      </c>
      <c r="AQ171" s="1794">
        <f t="shared" si="96"/>
        <v>0</v>
      </c>
      <c r="AR171" s="1794">
        <f t="shared" si="96"/>
        <v>0</v>
      </c>
      <c r="AS171" s="1794">
        <f t="shared" si="96"/>
        <v>0</v>
      </c>
      <c r="AT171" s="1794">
        <f t="shared" si="96"/>
        <v>0</v>
      </c>
      <c r="AU171" s="1794">
        <f t="shared" si="96"/>
        <v>0</v>
      </c>
      <c r="AV171" s="1794">
        <f t="shared" si="96"/>
        <v>0</v>
      </c>
      <c r="AW171" s="1794">
        <f t="shared" si="96"/>
        <v>0</v>
      </c>
      <c r="AX171" s="1794">
        <f t="shared" si="96"/>
        <v>0</v>
      </c>
      <c r="AY171" s="1794">
        <f t="shared" si="96"/>
        <v>0</v>
      </c>
      <c r="AZ171" s="1794">
        <f t="shared" si="96"/>
        <v>0</v>
      </c>
      <c r="BA171" s="1794">
        <f t="shared" si="96"/>
        <v>0</v>
      </c>
      <c r="BB171" s="1794">
        <f t="shared" si="96"/>
        <v>0</v>
      </c>
      <c r="BC171" s="1794">
        <f t="shared" si="96"/>
        <v>0</v>
      </c>
    </row>
    <row r="172" spans="1:58" s="298" customFormat="1" ht="17.149999999999999" customHeight="1" outlineLevel="1" x14ac:dyDescent="0.35">
      <c r="B172" s="860" t="s">
        <v>425</v>
      </c>
      <c r="C172" s="1794">
        <v>0</v>
      </c>
      <c r="D172" s="1794">
        <f t="shared" ref="D172:BC172" si="97">IF(D170=0,-1*$C$23*C173,IF(D170=1,-1*$C$20*C173,0))</f>
        <v>-9.6542296740983122</v>
      </c>
      <c r="E172" s="1794">
        <f t="shared" si="97"/>
        <v>-30.149607910609248</v>
      </c>
      <c r="F172" s="1794">
        <f t="shared" si="97"/>
        <v>-44.961879326187159</v>
      </c>
      <c r="G172" s="1794">
        <f t="shared" si="97"/>
        <v>-45.249111626568009</v>
      </c>
      <c r="H172" s="1794">
        <f t="shared" si="97"/>
        <v>-45.455343926948856</v>
      </c>
      <c r="I172" s="1794">
        <f t="shared" si="97"/>
        <v>-42.893851510068224</v>
      </c>
      <c r="J172" s="1794">
        <f t="shared" si="97"/>
        <v>-40.332359093187591</v>
      </c>
      <c r="K172" s="1794">
        <f t="shared" si="97"/>
        <v>-37.770866676306959</v>
      </c>
      <c r="L172" s="1794">
        <f t="shared" si="97"/>
        <v>-35.209374259426326</v>
      </c>
      <c r="M172" s="1794">
        <f t="shared" si="97"/>
        <v>-32.647881842545694</v>
      </c>
      <c r="N172" s="1794">
        <f t="shared" si="97"/>
        <v>-30.086389425665061</v>
      </c>
      <c r="O172" s="1794">
        <f t="shared" si="97"/>
        <v>-27.524897008784425</v>
      </c>
      <c r="P172" s="1794">
        <f t="shared" si="97"/>
        <v>-24.963404591903792</v>
      </c>
      <c r="Q172" s="1794">
        <f t="shared" si="97"/>
        <v>-22.401912175023163</v>
      </c>
      <c r="R172" s="1794">
        <f t="shared" si="97"/>
        <v>-19.840419758142534</v>
      </c>
      <c r="S172" s="1794">
        <f t="shared" si="97"/>
        <v>-17.278927341261905</v>
      </c>
      <c r="T172" s="1794">
        <f t="shared" si="97"/>
        <v>-14.717434924381278</v>
      </c>
      <c r="U172" s="1794">
        <f t="shared" si="97"/>
        <v>-12.155942507500649</v>
      </c>
      <c r="V172" s="1794">
        <f t="shared" si="97"/>
        <v>-9.5944500906200201</v>
      </c>
      <c r="W172" s="1794">
        <f t="shared" si="97"/>
        <v>-7.0329576737393893</v>
      </c>
      <c r="X172" s="1794">
        <f t="shared" si="97"/>
        <v>-4.4714652568587585</v>
      </c>
      <c r="Y172" s="1794">
        <f t="shared" si="97"/>
        <v>-1.9099728399781284</v>
      </c>
      <c r="Z172" s="1794">
        <f t="shared" si="97"/>
        <v>0.65151957690250151</v>
      </c>
      <c r="AA172" s="1794">
        <f t="shared" si="97"/>
        <v>3.2130119937831316</v>
      </c>
      <c r="AB172" s="1794">
        <f t="shared" si="97"/>
        <v>0</v>
      </c>
      <c r="AC172" s="1794">
        <f t="shared" si="97"/>
        <v>0</v>
      </c>
      <c r="AD172" s="1794">
        <f t="shared" si="97"/>
        <v>0</v>
      </c>
      <c r="AE172" s="1794">
        <f t="shared" si="97"/>
        <v>0</v>
      </c>
      <c r="AF172" s="1794">
        <f t="shared" si="97"/>
        <v>0</v>
      </c>
      <c r="AG172" s="1794">
        <f t="shared" si="97"/>
        <v>0</v>
      </c>
      <c r="AH172" s="1794">
        <f t="shared" si="97"/>
        <v>0</v>
      </c>
      <c r="AI172" s="1794">
        <f t="shared" si="97"/>
        <v>0</v>
      </c>
      <c r="AJ172" s="1794">
        <f t="shared" si="97"/>
        <v>0</v>
      </c>
      <c r="AK172" s="1794">
        <f t="shared" si="97"/>
        <v>0</v>
      </c>
      <c r="AL172" s="1794">
        <f t="shared" si="97"/>
        <v>0</v>
      </c>
      <c r="AM172" s="1794">
        <f t="shared" si="97"/>
        <v>0</v>
      </c>
      <c r="AN172" s="1794">
        <f t="shared" si="97"/>
        <v>0</v>
      </c>
      <c r="AO172" s="1794">
        <f t="shared" si="97"/>
        <v>0</v>
      </c>
      <c r="AP172" s="1794">
        <f t="shared" si="97"/>
        <v>0</v>
      </c>
      <c r="AQ172" s="1794">
        <f t="shared" si="97"/>
        <v>0</v>
      </c>
      <c r="AR172" s="1794">
        <f t="shared" si="97"/>
        <v>0</v>
      </c>
      <c r="AS172" s="1794">
        <f t="shared" si="97"/>
        <v>0</v>
      </c>
      <c r="AT172" s="1794">
        <f t="shared" si="97"/>
        <v>0</v>
      </c>
      <c r="AU172" s="1794">
        <f t="shared" si="97"/>
        <v>0</v>
      </c>
      <c r="AV172" s="1794">
        <f t="shared" si="97"/>
        <v>0</v>
      </c>
      <c r="AW172" s="1794">
        <f t="shared" si="97"/>
        <v>0</v>
      </c>
      <c r="AX172" s="1794">
        <f t="shared" si="97"/>
        <v>0</v>
      </c>
      <c r="AY172" s="1794">
        <f t="shared" si="97"/>
        <v>0</v>
      </c>
      <c r="AZ172" s="1794">
        <f t="shared" si="97"/>
        <v>0</v>
      </c>
      <c r="BA172" s="1794">
        <f t="shared" si="97"/>
        <v>0</v>
      </c>
      <c r="BB172" s="1794">
        <f t="shared" si="97"/>
        <v>0</v>
      </c>
      <c r="BC172" s="1794">
        <f t="shared" si="97"/>
        <v>0</v>
      </c>
    </row>
    <row r="173" spans="1:58" s="298" customFormat="1" ht="17.149999999999999" customHeight="1" outlineLevel="1" x14ac:dyDescent="0.35">
      <c r="B173" s="302" t="s">
        <v>682</v>
      </c>
      <c r="C173" s="1794">
        <f t="shared" ref="C173:BC173" si="98">C168+C171</f>
        <v>107.26921860109236</v>
      </c>
      <c r="D173" s="1794">
        <f t="shared" si="98"/>
        <v>334.99564345121388</v>
      </c>
      <c r="E173" s="1794">
        <f t="shared" si="98"/>
        <v>499.57643695763511</v>
      </c>
      <c r="F173" s="1794">
        <f t="shared" si="98"/>
        <v>502.7679069618668</v>
      </c>
      <c r="G173" s="1794">
        <f t="shared" si="98"/>
        <v>505.05937696609845</v>
      </c>
      <c r="H173" s="1794">
        <f t="shared" si="98"/>
        <v>476.59835011186919</v>
      </c>
      <c r="I173" s="1794">
        <f t="shared" si="98"/>
        <v>448.13732325763993</v>
      </c>
      <c r="J173" s="1794">
        <f t="shared" si="98"/>
        <v>419.67629640341067</v>
      </c>
      <c r="K173" s="1794">
        <f t="shared" si="98"/>
        <v>391.21526954918141</v>
      </c>
      <c r="L173" s="1794">
        <f t="shared" si="98"/>
        <v>362.75424269495215</v>
      </c>
      <c r="M173" s="1794">
        <f t="shared" si="98"/>
        <v>334.29321584072289</v>
      </c>
      <c r="N173" s="1794">
        <f t="shared" si="98"/>
        <v>305.83218898649363</v>
      </c>
      <c r="O173" s="1794">
        <f t="shared" si="98"/>
        <v>277.37116213226437</v>
      </c>
      <c r="P173" s="1794">
        <f t="shared" si="98"/>
        <v>248.91013527803514</v>
      </c>
      <c r="Q173" s="1794">
        <f t="shared" si="98"/>
        <v>220.44910842380594</v>
      </c>
      <c r="R173" s="1794">
        <f t="shared" si="98"/>
        <v>191.98808156957674</v>
      </c>
      <c r="S173" s="1794">
        <f t="shared" si="98"/>
        <v>163.52705471534753</v>
      </c>
      <c r="T173" s="1794">
        <f t="shared" si="98"/>
        <v>135.06602786111833</v>
      </c>
      <c r="U173" s="1794">
        <f t="shared" si="98"/>
        <v>106.60500100688911</v>
      </c>
      <c r="V173" s="1794">
        <f t="shared" si="98"/>
        <v>78.143974152659879</v>
      </c>
      <c r="W173" s="1794">
        <f t="shared" si="98"/>
        <v>49.682947298430648</v>
      </c>
      <c r="X173" s="1794">
        <f t="shared" si="98"/>
        <v>21.221920444201427</v>
      </c>
      <c r="Y173" s="1794">
        <f t="shared" si="98"/>
        <v>-7.2391064100277944</v>
      </c>
      <c r="Z173" s="1794">
        <f t="shared" si="98"/>
        <v>-35.700133264257019</v>
      </c>
      <c r="AA173" s="1794">
        <f t="shared" si="98"/>
        <v>-64.161160118486237</v>
      </c>
      <c r="AB173" s="1794">
        <f t="shared" si="98"/>
        <v>-61.86969011425456</v>
      </c>
      <c r="AC173" s="1794">
        <f t="shared" si="98"/>
        <v>-59.578220110022883</v>
      </c>
      <c r="AD173" s="1794">
        <f t="shared" si="98"/>
        <v>-57.286750105791207</v>
      </c>
      <c r="AE173" s="1794">
        <f t="shared" si="98"/>
        <v>-54.99528010155953</v>
      </c>
      <c r="AF173" s="1794">
        <f t="shared" si="98"/>
        <v>-52.703810097327853</v>
      </c>
      <c r="AG173" s="1794">
        <f t="shared" si="98"/>
        <v>-50.412340093096176</v>
      </c>
      <c r="AH173" s="1794">
        <f t="shared" si="98"/>
        <v>-48.1208700888645</v>
      </c>
      <c r="AI173" s="1794">
        <f t="shared" si="98"/>
        <v>-45.829400084632823</v>
      </c>
      <c r="AJ173" s="1794">
        <f t="shared" si="98"/>
        <v>-43.537930080401146</v>
      </c>
      <c r="AK173" s="1794">
        <f t="shared" si="98"/>
        <v>-41.24646007616947</v>
      </c>
      <c r="AL173" s="1794">
        <f t="shared" si="98"/>
        <v>-38.954990071937793</v>
      </c>
      <c r="AM173" s="1794">
        <f t="shared" si="98"/>
        <v>-36.663520067706116</v>
      </c>
      <c r="AN173" s="1794">
        <f t="shared" si="98"/>
        <v>-34.37205006347444</v>
      </c>
      <c r="AO173" s="1794">
        <f t="shared" si="98"/>
        <v>-32.080580059242763</v>
      </c>
      <c r="AP173" s="1794">
        <f t="shared" si="98"/>
        <v>-29.789110055011086</v>
      </c>
      <c r="AQ173" s="1794">
        <f t="shared" si="98"/>
        <v>-27.49764005077941</v>
      </c>
      <c r="AR173" s="1794">
        <f t="shared" si="98"/>
        <v>-25.206170046547733</v>
      </c>
      <c r="AS173" s="1794">
        <f t="shared" si="98"/>
        <v>-22.914700042316056</v>
      </c>
      <c r="AT173" s="1794">
        <f t="shared" si="98"/>
        <v>-20.62323003808438</v>
      </c>
      <c r="AU173" s="1794">
        <f t="shared" si="98"/>
        <v>-18.331760033852703</v>
      </c>
      <c r="AV173" s="1794">
        <f t="shared" si="98"/>
        <v>-16.040290029621026</v>
      </c>
      <c r="AW173" s="1794">
        <f t="shared" si="98"/>
        <v>-13.748820025389351</v>
      </c>
      <c r="AX173" s="1794">
        <f t="shared" si="98"/>
        <v>-11.457350021157676</v>
      </c>
      <c r="AY173" s="1794">
        <f t="shared" si="98"/>
        <v>-9.1658800169260015</v>
      </c>
      <c r="AZ173" s="1794">
        <f t="shared" si="98"/>
        <v>-6.8744100126943266</v>
      </c>
      <c r="BA173" s="1794">
        <f t="shared" si="98"/>
        <v>-4.5829400084626517</v>
      </c>
      <c r="BB173" s="1794">
        <f t="shared" si="98"/>
        <v>-2.2914700042309764</v>
      </c>
      <c r="BC173" s="1794">
        <f t="shared" si="98"/>
        <v>6.9899641630399856E-13</v>
      </c>
    </row>
    <row r="174" spans="1:58" s="298" customFormat="1" ht="17.149999999999999" customHeight="1" outlineLevel="1" x14ac:dyDescent="0.35">
      <c r="C174" s="1800"/>
      <c r="D174" s="1800"/>
      <c r="E174" s="1800"/>
      <c r="F174" s="1800"/>
      <c r="G174" s="1800"/>
      <c r="H174" s="1800"/>
      <c r="I174" s="1800"/>
      <c r="J174" s="1800"/>
      <c r="K174" s="1800"/>
      <c r="L174" s="1800"/>
      <c r="M174" s="1800"/>
      <c r="N174" s="1800"/>
      <c r="O174" s="1800"/>
      <c r="P174" s="1800"/>
      <c r="Q174" s="1800"/>
      <c r="R174" s="1794"/>
      <c r="S174" s="1800"/>
      <c r="T174" s="1800"/>
      <c r="U174" s="1800"/>
      <c r="V174" s="1800"/>
      <c r="W174" s="1800"/>
      <c r="X174" s="1800"/>
      <c r="Y174" s="1800"/>
      <c r="Z174" s="1800"/>
      <c r="AA174" s="1800"/>
      <c r="AB174" s="1800"/>
      <c r="AC174" s="1800"/>
      <c r="AD174" s="1800"/>
      <c r="AE174" s="1800"/>
      <c r="AF174" s="1800"/>
      <c r="AG174" s="1800"/>
      <c r="AH174" s="1800"/>
      <c r="AI174" s="1800"/>
      <c r="AJ174" s="1800"/>
      <c r="AK174" s="1800"/>
      <c r="AL174" s="1800"/>
      <c r="AM174" s="1800"/>
      <c r="AN174" s="1800"/>
      <c r="AO174" s="1800"/>
      <c r="AP174" s="1800"/>
      <c r="AQ174" s="1800"/>
      <c r="AR174" s="1800"/>
      <c r="AS174" s="1800"/>
      <c r="AT174" s="1800"/>
      <c r="AU174" s="1800"/>
      <c r="AV174" s="1800"/>
      <c r="AW174" s="1800"/>
      <c r="AX174" s="1800"/>
      <c r="AY174" s="1800"/>
      <c r="AZ174" s="1800"/>
      <c r="BA174" s="1800"/>
      <c r="BB174" s="1800"/>
      <c r="BC174" s="1800"/>
    </row>
    <row r="175" spans="1:58" s="298" customFormat="1" ht="17.149999999999999" customHeight="1" outlineLevel="1" x14ac:dyDescent="0.35">
      <c r="B175" s="298" t="s">
        <v>472</v>
      </c>
      <c r="C175" s="1794">
        <f t="shared" ref="C175:BC175" si="99">C156+C167+C171+C172</f>
        <v>-65.462626417873636</v>
      </c>
      <c r="D175" s="1794">
        <f t="shared" si="99"/>
        <v>-356.18367067303996</v>
      </c>
      <c r="E175" s="1794">
        <f t="shared" si="99"/>
        <v>-303.97062070218232</v>
      </c>
      <c r="F175" s="1794">
        <f t="shared" si="99"/>
        <v>6.8987001200455893</v>
      </c>
      <c r="G175" s="1794">
        <f t="shared" si="99"/>
        <v>8.7114678196647404</v>
      </c>
      <c r="H175" s="1794">
        <f t="shared" si="99"/>
        <v>-22.247261339177005</v>
      </c>
      <c r="I175" s="1794">
        <f t="shared" si="99"/>
        <v>-19.685768922296372</v>
      </c>
      <c r="J175" s="1794">
        <f t="shared" si="99"/>
        <v>-17.12427650541574</v>
      </c>
      <c r="K175" s="1794">
        <f t="shared" si="99"/>
        <v>-14.562784088535107</v>
      </c>
      <c r="L175" s="1794">
        <f t="shared" si="99"/>
        <v>-12.001291671654474</v>
      </c>
      <c r="M175" s="1794">
        <f t="shared" si="99"/>
        <v>-9.4397992547738419</v>
      </c>
      <c r="N175" s="1794">
        <f t="shared" si="99"/>
        <v>-6.8783068378932093</v>
      </c>
      <c r="O175" s="1794">
        <f t="shared" si="99"/>
        <v>-4.3168144210125732</v>
      </c>
      <c r="P175" s="1794">
        <f t="shared" si="99"/>
        <v>-1.7553220041319406</v>
      </c>
      <c r="Q175" s="1794">
        <f t="shared" si="99"/>
        <v>0.80617041274868839</v>
      </c>
      <c r="R175" s="1794">
        <f t="shared" si="99"/>
        <v>3.3676628296293174</v>
      </c>
      <c r="S175" s="1794">
        <f t="shared" si="99"/>
        <v>5.9291552465099464</v>
      </c>
      <c r="T175" s="1794">
        <f t="shared" si="99"/>
        <v>8.4906476633905736</v>
      </c>
      <c r="U175" s="1794">
        <f t="shared" si="99"/>
        <v>11.052140080271203</v>
      </c>
      <c r="V175" s="1794">
        <f t="shared" si="99"/>
        <v>13.613632497151832</v>
      </c>
      <c r="W175" s="1794">
        <f t="shared" si="99"/>
        <v>16.175124914032462</v>
      </c>
      <c r="X175" s="1794">
        <f t="shared" si="99"/>
        <v>18.736617330913091</v>
      </c>
      <c r="Y175" s="1794">
        <f t="shared" si="99"/>
        <v>21.298109747793724</v>
      </c>
      <c r="Z175" s="1794">
        <f t="shared" si="99"/>
        <v>23.859602164674353</v>
      </c>
      <c r="AA175" s="1794">
        <f t="shared" si="99"/>
        <v>26.421094581554982</v>
      </c>
      <c r="AB175" s="1794">
        <f t="shared" si="99"/>
        <v>53.960579446232749</v>
      </c>
      <c r="AC175" s="1794">
        <f t="shared" si="99"/>
        <v>53.960579446232749</v>
      </c>
      <c r="AD175" s="1794">
        <f t="shared" si="99"/>
        <v>53.960579446232749</v>
      </c>
      <c r="AE175" s="1794">
        <f t="shared" si="99"/>
        <v>53.960579446232749</v>
      </c>
      <c r="AF175" s="1794">
        <f t="shared" si="99"/>
        <v>53.960579446232749</v>
      </c>
      <c r="AG175" s="1794">
        <f t="shared" si="99"/>
        <v>53.960579446232749</v>
      </c>
      <c r="AH175" s="1794">
        <f t="shared" si="99"/>
        <v>53.960579446232749</v>
      </c>
      <c r="AI175" s="1794">
        <f t="shared" si="99"/>
        <v>53.960579446232749</v>
      </c>
      <c r="AJ175" s="1794">
        <f t="shared" si="99"/>
        <v>53.960579446232749</v>
      </c>
      <c r="AK175" s="1794">
        <f t="shared" si="99"/>
        <v>53.960579446232749</v>
      </c>
      <c r="AL175" s="1794">
        <f t="shared" si="99"/>
        <v>53.960579446232749</v>
      </c>
      <c r="AM175" s="1794">
        <f t="shared" si="99"/>
        <v>53.960579446232749</v>
      </c>
      <c r="AN175" s="1794">
        <f t="shared" si="99"/>
        <v>53.960579446232749</v>
      </c>
      <c r="AO175" s="1794">
        <f t="shared" si="99"/>
        <v>53.960579446232749</v>
      </c>
      <c r="AP175" s="1794">
        <f t="shared" si="99"/>
        <v>53.960579446232749</v>
      </c>
      <c r="AQ175" s="1794">
        <f t="shared" si="99"/>
        <v>53.960579446232749</v>
      </c>
      <c r="AR175" s="1794">
        <f t="shared" si="99"/>
        <v>53.960579446232749</v>
      </c>
      <c r="AS175" s="1794">
        <f t="shared" si="99"/>
        <v>53.960579446232749</v>
      </c>
      <c r="AT175" s="1794">
        <f t="shared" si="99"/>
        <v>53.960579446232749</v>
      </c>
      <c r="AU175" s="1794">
        <f t="shared" si="99"/>
        <v>53.960579446232749</v>
      </c>
      <c r="AV175" s="1794">
        <f t="shared" si="99"/>
        <v>53.960579446232749</v>
      </c>
      <c r="AW175" s="1794">
        <f t="shared" si="99"/>
        <v>53.960579446232749</v>
      </c>
      <c r="AX175" s="1794">
        <f t="shared" si="99"/>
        <v>53.960579446232749</v>
      </c>
      <c r="AY175" s="1794">
        <f t="shared" si="99"/>
        <v>53.960579446232749</v>
      </c>
      <c r="AZ175" s="1794">
        <f t="shared" si="99"/>
        <v>53.960579446232749</v>
      </c>
      <c r="BA175" s="1794">
        <f t="shared" si="99"/>
        <v>53.960579446232749</v>
      </c>
      <c r="BB175" s="1794">
        <f t="shared" si="99"/>
        <v>53.960579446232749</v>
      </c>
      <c r="BC175" s="1794">
        <f t="shared" si="99"/>
        <v>53.960579446232749</v>
      </c>
    </row>
    <row r="176" spans="1:58" s="298" customFormat="1" ht="17.149999999999999" customHeight="1" outlineLevel="1" x14ac:dyDescent="0.35">
      <c r="B176" s="298" t="s">
        <v>473</v>
      </c>
      <c r="C176" s="1794">
        <f>C175</f>
        <v>-65.462626417873636</v>
      </c>
      <c r="D176" s="1794">
        <f t="shared" ref="D176:BC176" si="100">C176+D175</f>
        <v>-421.64629709091361</v>
      </c>
      <c r="E176" s="1794">
        <f t="shared" si="100"/>
        <v>-725.61691779309592</v>
      </c>
      <c r="F176" s="1794">
        <f t="shared" si="100"/>
        <v>-718.71821767305028</v>
      </c>
      <c r="G176" s="1794">
        <f t="shared" si="100"/>
        <v>-710.00674985338549</v>
      </c>
      <c r="H176" s="1794">
        <f t="shared" si="100"/>
        <v>-732.25401119256253</v>
      </c>
      <c r="I176" s="1794">
        <f t="shared" si="100"/>
        <v>-751.93978011485888</v>
      </c>
      <c r="J176" s="1794">
        <f t="shared" si="100"/>
        <v>-769.06405662027464</v>
      </c>
      <c r="K176" s="1794">
        <f t="shared" si="100"/>
        <v>-783.62684070880971</v>
      </c>
      <c r="L176" s="1794">
        <f t="shared" si="100"/>
        <v>-795.62813238046419</v>
      </c>
      <c r="M176" s="1794">
        <f t="shared" si="100"/>
        <v>-805.06793163523798</v>
      </c>
      <c r="N176" s="1794">
        <f t="shared" si="100"/>
        <v>-811.94623847313119</v>
      </c>
      <c r="O176" s="1794">
        <f t="shared" si="100"/>
        <v>-816.26305289414381</v>
      </c>
      <c r="P176" s="1794">
        <f t="shared" si="100"/>
        <v>-818.01837489827574</v>
      </c>
      <c r="Q176" s="1794">
        <f t="shared" si="100"/>
        <v>-817.21220448552708</v>
      </c>
      <c r="R176" s="1794">
        <f t="shared" si="100"/>
        <v>-813.84454165589773</v>
      </c>
      <c r="S176" s="1794">
        <f t="shared" si="100"/>
        <v>-807.91538640938779</v>
      </c>
      <c r="T176" s="1794">
        <f t="shared" si="100"/>
        <v>-799.42473874599727</v>
      </c>
      <c r="U176" s="1794">
        <f t="shared" si="100"/>
        <v>-788.37259866572606</v>
      </c>
      <c r="V176" s="1794">
        <f t="shared" si="100"/>
        <v>-774.75896616857426</v>
      </c>
      <c r="W176" s="1794">
        <f t="shared" si="100"/>
        <v>-758.58384125454177</v>
      </c>
      <c r="X176" s="1794">
        <f t="shared" si="100"/>
        <v>-739.84722392362869</v>
      </c>
      <c r="Y176" s="1794">
        <f t="shared" si="100"/>
        <v>-718.54911417583492</v>
      </c>
      <c r="Z176" s="1794">
        <f t="shared" si="100"/>
        <v>-694.68951201116056</v>
      </c>
      <c r="AA176" s="1794">
        <f t="shared" si="100"/>
        <v>-668.26841742960562</v>
      </c>
      <c r="AB176" s="1794">
        <f t="shared" si="100"/>
        <v>-614.30783798337291</v>
      </c>
      <c r="AC176" s="1794">
        <f t="shared" si="100"/>
        <v>-560.34725853714019</v>
      </c>
      <c r="AD176" s="1794">
        <f t="shared" si="100"/>
        <v>-506.38667909090742</v>
      </c>
      <c r="AE176" s="1794">
        <f t="shared" si="100"/>
        <v>-452.42609964467465</v>
      </c>
      <c r="AF176" s="1794">
        <f t="shared" si="100"/>
        <v>-398.46552019844188</v>
      </c>
      <c r="AG176" s="1794">
        <f t="shared" si="100"/>
        <v>-344.50494075220911</v>
      </c>
      <c r="AH176" s="1794">
        <f t="shared" si="100"/>
        <v>-290.54436130597634</v>
      </c>
      <c r="AI176" s="1794">
        <f t="shared" si="100"/>
        <v>-236.5837818597436</v>
      </c>
      <c r="AJ176" s="1794">
        <f t="shared" si="100"/>
        <v>-182.62320241351085</v>
      </c>
      <c r="AK176" s="1794">
        <f t="shared" si="100"/>
        <v>-128.66262296727811</v>
      </c>
      <c r="AL176" s="1794">
        <f t="shared" si="100"/>
        <v>-74.702043521045368</v>
      </c>
      <c r="AM176" s="1794">
        <f t="shared" si="100"/>
        <v>-20.741464074812619</v>
      </c>
      <c r="AN176" s="1794">
        <f t="shared" si="100"/>
        <v>33.219115371420131</v>
      </c>
      <c r="AO176" s="1794">
        <f t="shared" si="100"/>
        <v>87.179694817652887</v>
      </c>
      <c r="AP176" s="1794">
        <f t="shared" si="100"/>
        <v>141.14027426388563</v>
      </c>
      <c r="AQ176" s="1794">
        <f t="shared" si="100"/>
        <v>195.10085371011837</v>
      </c>
      <c r="AR176" s="1794">
        <f t="shared" si="100"/>
        <v>249.06143315635111</v>
      </c>
      <c r="AS176" s="1794">
        <f t="shared" si="100"/>
        <v>303.02201260258386</v>
      </c>
      <c r="AT176" s="1794">
        <f t="shared" si="100"/>
        <v>356.98259204881663</v>
      </c>
      <c r="AU176" s="1794">
        <f t="shared" si="100"/>
        <v>410.9431714950494</v>
      </c>
      <c r="AV176" s="1794">
        <f t="shared" si="100"/>
        <v>464.90375094128217</v>
      </c>
      <c r="AW176" s="1794">
        <f t="shared" si="100"/>
        <v>518.86433038751488</v>
      </c>
      <c r="AX176" s="1794">
        <f t="shared" si="100"/>
        <v>572.8249098337476</v>
      </c>
      <c r="AY176" s="1794">
        <f t="shared" si="100"/>
        <v>626.78548927998031</v>
      </c>
      <c r="AZ176" s="1794">
        <f t="shared" si="100"/>
        <v>680.74606872621303</v>
      </c>
      <c r="BA176" s="1794">
        <f t="shared" si="100"/>
        <v>734.70664817244574</v>
      </c>
      <c r="BB176" s="1794">
        <f t="shared" si="100"/>
        <v>788.66722761867845</v>
      </c>
      <c r="BC176" s="1794">
        <f t="shared" si="100"/>
        <v>842.62780706491117</v>
      </c>
    </row>
    <row r="177" spans="2:55" s="298" customFormat="1" ht="17.149999999999999" customHeight="1" outlineLevel="1" x14ac:dyDescent="0.35">
      <c r="C177" s="1800"/>
      <c r="D177" s="1800"/>
      <c r="E177" s="1800"/>
      <c r="F177" s="1800"/>
      <c r="G177" s="1800"/>
      <c r="H177" s="1800"/>
      <c r="I177" s="1800"/>
      <c r="J177" s="1800"/>
      <c r="K177" s="1800"/>
      <c r="L177" s="1800"/>
      <c r="M177" s="1800"/>
      <c r="N177" s="1800"/>
      <c r="O177" s="1800"/>
      <c r="P177" s="1800"/>
      <c r="Q177" s="1800"/>
      <c r="R177" s="1794"/>
      <c r="S177" s="1800"/>
      <c r="T177" s="1800"/>
      <c r="U177" s="1800"/>
      <c r="V177" s="1800"/>
      <c r="W177" s="1800"/>
      <c r="X177" s="1800"/>
      <c r="Y177" s="1800"/>
      <c r="Z177" s="1800"/>
      <c r="AA177" s="1800"/>
      <c r="AB177" s="1800"/>
      <c r="AC177" s="1800"/>
      <c r="AD177" s="1800"/>
      <c r="AE177" s="1800"/>
      <c r="AF177" s="1800"/>
      <c r="AG177" s="1800"/>
      <c r="AH177" s="1800"/>
      <c r="AI177" s="1800"/>
      <c r="AJ177" s="1800"/>
      <c r="AK177" s="1800"/>
      <c r="AL177" s="1800"/>
      <c r="AM177" s="1800"/>
      <c r="AN177" s="1800"/>
      <c r="AO177" s="1800"/>
      <c r="AP177" s="1800"/>
      <c r="AQ177" s="1800"/>
      <c r="AR177" s="1800"/>
      <c r="AS177" s="1800"/>
      <c r="AT177" s="1800"/>
      <c r="AU177" s="1800"/>
      <c r="AV177" s="1800"/>
      <c r="AW177" s="1800"/>
      <c r="AX177" s="1800"/>
      <c r="AY177" s="1800"/>
      <c r="AZ177" s="1800"/>
      <c r="BA177" s="1800"/>
      <c r="BB177" s="1800"/>
      <c r="BC177" s="1800"/>
    </row>
    <row r="178" spans="2:55" s="298" customFormat="1" ht="17.149999999999999" customHeight="1" outlineLevel="1" x14ac:dyDescent="0.35">
      <c r="B178" s="299" t="s">
        <v>470</v>
      </c>
      <c r="C178" s="1795">
        <f t="shared" ref="C178:BC178" si="101">NPV($C$28,C175)</f>
        <v>-59.187561181419539</v>
      </c>
      <c r="D178" s="1795">
        <f t="shared" si="101"/>
        <v>-322.04089498656441</v>
      </c>
      <c r="E178" s="1795">
        <f t="shared" si="101"/>
        <v>-274.83284271729474</v>
      </c>
      <c r="F178" s="1795">
        <f t="shared" si="101"/>
        <v>6.2374099202958257</v>
      </c>
      <c r="G178" s="1795">
        <f t="shared" si="101"/>
        <v>7.8764107517628439</v>
      </c>
      <c r="H178" s="1795">
        <f t="shared" si="101"/>
        <v>-20.114700764160688</v>
      </c>
      <c r="I178" s="1795">
        <f t="shared" si="101"/>
        <v>-17.798745883705877</v>
      </c>
      <c r="J178" s="1795">
        <f t="shared" si="101"/>
        <v>-15.482791003251062</v>
      </c>
      <c r="K178" s="1795">
        <f t="shared" si="101"/>
        <v>-13.166836122796248</v>
      </c>
      <c r="L178" s="1795">
        <f t="shared" si="101"/>
        <v>-10.850881242341435</v>
      </c>
      <c r="M178" s="1795">
        <f t="shared" si="101"/>
        <v>-8.5349263618866225</v>
      </c>
      <c r="N178" s="1795">
        <f t="shared" si="101"/>
        <v>-6.2189714814318089</v>
      </c>
      <c r="O178" s="1795">
        <f t="shared" si="101"/>
        <v>-3.9030166009769922</v>
      </c>
      <c r="P178" s="1795">
        <f t="shared" si="101"/>
        <v>-1.5870617205221791</v>
      </c>
      <c r="Q178" s="1795">
        <f t="shared" si="101"/>
        <v>0.72889315993263082</v>
      </c>
      <c r="R178" s="1795">
        <f t="shared" si="101"/>
        <v>3.0448480403874409</v>
      </c>
      <c r="S178" s="1795">
        <f t="shared" si="101"/>
        <v>5.360802920842251</v>
      </c>
      <c r="T178" s="1795">
        <f t="shared" si="101"/>
        <v>7.6767578012970592</v>
      </c>
      <c r="U178" s="1795">
        <f t="shared" si="101"/>
        <v>9.9927126817518701</v>
      </c>
      <c r="V178" s="1795">
        <f t="shared" si="101"/>
        <v>12.308667562206679</v>
      </c>
      <c r="W178" s="1795">
        <f t="shared" si="101"/>
        <v>14.624622442661492</v>
      </c>
      <c r="X178" s="1795">
        <f t="shared" si="101"/>
        <v>16.940577323116301</v>
      </c>
      <c r="Y178" s="1795">
        <f t="shared" si="101"/>
        <v>19.256532203571116</v>
      </c>
      <c r="Z178" s="1795">
        <f t="shared" si="101"/>
        <v>21.572487084025923</v>
      </c>
      <c r="AA178" s="1795">
        <f t="shared" si="101"/>
        <v>23.888441964480734</v>
      </c>
      <c r="AB178" s="1795">
        <f t="shared" si="101"/>
        <v>48.788068431161051</v>
      </c>
      <c r="AC178" s="1795">
        <f t="shared" si="101"/>
        <v>48.788068431161051</v>
      </c>
      <c r="AD178" s="1795">
        <f t="shared" si="101"/>
        <v>48.788068431161051</v>
      </c>
      <c r="AE178" s="1795">
        <f t="shared" si="101"/>
        <v>48.788068431161051</v>
      </c>
      <c r="AF178" s="1795">
        <f t="shared" si="101"/>
        <v>48.788068431161051</v>
      </c>
      <c r="AG178" s="1795">
        <f t="shared" si="101"/>
        <v>48.788068431161051</v>
      </c>
      <c r="AH178" s="1795">
        <f t="shared" si="101"/>
        <v>48.788068431161051</v>
      </c>
      <c r="AI178" s="1795">
        <f t="shared" si="101"/>
        <v>48.788068431161051</v>
      </c>
      <c r="AJ178" s="1795">
        <f t="shared" si="101"/>
        <v>48.788068431161051</v>
      </c>
      <c r="AK178" s="1795">
        <f t="shared" si="101"/>
        <v>48.788068431161051</v>
      </c>
      <c r="AL178" s="1795">
        <f t="shared" si="101"/>
        <v>48.788068431161051</v>
      </c>
      <c r="AM178" s="1795">
        <f t="shared" si="101"/>
        <v>48.788068431161051</v>
      </c>
      <c r="AN178" s="1795">
        <f t="shared" si="101"/>
        <v>48.788068431161051</v>
      </c>
      <c r="AO178" s="1795">
        <f t="shared" si="101"/>
        <v>48.788068431161051</v>
      </c>
      <c r="AP178" s="1795">
        <f t="shared" si="101"/>
        <v>48.788068431161051</v>
      </c>
      <c r="AQ178" s="1795">
        <f t="shared" si="101"/>
        <v>48.788068431161051</v>
      </c>
      <c r="AR178" s="1795">
        <f t="shared" si="101"/>
        <v>48.788068431161051</v>
      </c>
      <c r="AS178" s="1795">
        <f t="shared" si="101"/>
        <v>48.788068431161051</v>
      </c>
      <c r="AT178" s="1795">
        <f t="shared" si="101"/>
        <v>48.788068431161051</v>
      </c>
      <c r="AU178" s="1795">
        <f t="shared" si="101"/>
        <v>48.788068431161051</v>
      </c>
      <c r="AV178" s="1795">
        <f t="shared" si="101"/>
        <v>48.788068431161051</v>
      </c>
      <c r="AW178" s="1795">
        <f t="shared" si="101"/>
        <v>48.788068431161051</v>
      </c>
      <c r="AX178" s="1795">
        <f t="shared" si="101"/>
        <v>48.788068431161051</v>
      </c>
      <c r="AY178" s="1795">
        <f t="shared" si="101"/>
        <v>48.788068431161051</v>
      </c>
      <c r="AZ178" s="1795">
        <f t="shared" si="101"/>
        <v>48.788068431161051</v>
      </c>
      <c r="BA178" s="1795">
        <f t="shared" si="101"/>
        <v>48.788068431161051</v>
      </c>
      <c r="BB178" s="1795">
        <f t="shared" si="101"/>
        <v>48.788068431161051</v>
      </c>
      <c r="BC178" s="1795">
        <f t="shared" si="101"/>
        <v>48.788068431161051</v>
      </c>
    </row>
    <row r="179" spans="2:55" s="298" customFormat="1" ht="17.149999999999999" customHeight="1" outlineLevel="1" x14ac:dyDescent="0.35">
      <c r="B179" s="300" t="s">
        <v>471</v>
      </c>
      <c r="C179" s="1795">
        <f>C178</f>
        <v>-59.187561181419539</v>
      </c>
      <c r="D179" s="1795">
        <f t="shared" ref="D179:BC179" si="102">C179+D178</f>
        <v>-381.22845616798395</v>
      </c>
      <c r="E179" s="1795">
        <f t="shared" si="102"/>
        <v>-656.06129888527869</v>
      </c>
      <c r="F179" s="1795">
        <f t="shared" si="102"/>
        <v>-649.82388896498287</v>
      </c>
      <c r="G179" s="1795">
        <f t="shared" si="102"/>
        <v>-641.94747821322005</v>
      </c>
      <c r="H179" s="1795">
        <f t="shared" si="102"/>
        <v>-662.06217897738077</v>
      </c>
      <c r="I179" s="1795">
        <f t="shared" si="102"/>
        <v>-679.86092486108669</v>
      </c>
      <c r="J179" s="1795">
        <f t="shared" si="102"/>
        <v>-695.3437158643377</v>
      </c>
      <c r="K179" s="1795">
        <f t="shared" si="102"/>
        <v>-708.51055198713391</v>
      </c>
      <c r="L179" s="1795">
        <f t="shared" si="102"/>
        <v>-719.36143322947532</v>
      </c>
      <c r="M179" s="1795">
        <f t="shared" si="102"/>
        <v>-727.89635959136194</v>
      </c>
      <c r="N179" s="1795">
        <f t="shared" si="102"/>
        <v>-734.11533107279377</v>
      </c>
      <c r="O179" s="1795">
        <f t="shared" si="102"/>
        <v>-738.01834767377079</v>
      </c>
      <c r="P179" s="1795">
        <f t="shared" si="102"/>
        <v>-739.60540939429302</v>
      </c>
      <c r="Q179" s="1795">
        <f t="shared" si="102"/>
        <v>-738.87651623436034</v>
      </c>
      <c r="R179" s="1795">
        <f t="shared" si="102"/>
        <v>-735.83166819397286</v>
      </c>
      <c r="S179" s="1795">
        <f t="shared" si="102"/>
        <v>-730.47086527313058</v>
      </c>
      <c r="T179" s="1795">
        <f t="shared" si="102"/>
        <v>-722.79410747183351</v>
      </c>
      <c r="U179" s="1795">
        <f t="shared" si="102"/>
        <v>-712.80139479008164</v>
      </c>
      <c r="V179" s="1795">
        <f t="shared" si="102"/>
        <v>-700.49272722787498</v>
      </c>
      <c r="W179" s="1795">
        <f t="shared" si="102"/>
        <v>-685.86810478521352</v>
      </c>
      <c r="X179" s="1795">
        <f t="shared" si="102"/>
        <v>-668.92752746209726</v>
      </c>
      <c r="Y179" s="1795">
        <f t="shared" si="102"/>
        <v>-649.67099525852609</v>
      </c>
      <c r="Z179" s="1795">
        <f t="shared" si="102"/>
        <v>-628.09850817450013</v>
      </c>
      <c r="AA179" s="1795">
        <f t="shared" si="102"/>
        <v>-604.21006621001936</v>
      </c>
      <c r="AB179" s="1795">
        <f t="shared" si="102"/>
        <v>-555.42199777885833</v>
      </c>
      <c r="AC179" s="1795">
        <f t="shared" si="102"/>
        <v>-506.63392934769729</v>
      </c>
      <c r="AD179" s="1795">
        <f t="shared" si="102"/>
        <v>-457.84586091653625</v>
      </c>
      <c r="AE179" s="1795">
        <f t="shared" si="102"/>
        <v>-409.05779248537522</v>
      </c>
      <c r="AF179" s="1795">
        <f t="shared" si="102"/>
        <v>-360.26972405421418</v>
      </c>
      <c r="AG179" s="1795">
        <f t="shared" si="102"/>
        <v>-311.48165562305314</v>
      </c>
      <c r="AH179" s="1795">
        <f t="shared" si="102"/>
        <v>-262.69358719189211</v>
      </c>
      <c r="AI179" s="1795">
        <f t="shared" si="102"/>
        <v>-213.90551876073107</v>
      </c>
      <c r="AJ179" s="1795">
        <f t="shared" si="102"/>
        <v>-165.11745032957003</v>
      </c>
      <c r="AK179" s="1795">
        <f t="shared" si="102"/>
        <v>-116.32938189840898</v>
      </c>
      <c r="AL179" s="1795">
        <f t="shared" si="102"/>
        <v>-67.541313467247932</v>
      </c>
      <c r="AM179" s="1795">
        <f t="shared" si="102"/>
        <v>-18.753245036086881</v>
      </c>
      <c r="AN179" s="1795">
        <f t="shared" si="102"/>
        <v>30.03482339507417</v>
      </c>
      <c r="AO179" s="1795">
        <f t="shared" si="102"/>
        <v>78.822891826235221</v>
      </c>
      <c r="AP179" s="1795">
        <f t="shared" si="102"/>
        <v>127.61096025739627</v>
      </c>
      <c r="AQ179" s="1795">
        <f t="shared" si="102"/>
        <v>176.39902868855734</v>
      </c>
      <c r="AR179" s="1795">
        <f t="shared" si="102"/>
        <v>225.18709711971837</v>
      </c>
      <c r="AS179" s="1795">
        <f t="shared" si="102"/>
        <v>273.97516555087941</v>
      </c>
      <c r="AT179" s="1795">
        <f t="shared" si="102"/>
        <v>322.76323398204045</v>
      </c>
      <c r="AU179" s="1795">
        <f t="shared" si="102"/>
        <v>371.55130241320148</v>
      </c>
      <c r="AV179" s="1795">
        <f t="shared" si="102"/>
        <v>420.33937084436252</v>
      </c>
      <c r="AW179" s="1795">
        <f t="shared" si="102"/>
        <v>469.12743927552356</v>
      </c>
      <c r="AX179" s="1795">
        <f t="shared" si="102"/>
        <v>517.91550770668459</v>
      </c>
      <c r="AY179" s="1795">
        <f t="shared" si="102"/>
        <v>566.70357613784563</v>
      </c>
      <c r="AZ179" s="1795">
        <f t="shared" si="102"/>
        <v>615.49164456900667</v>
      </c>
      <c r="BA179" s="1795">
        <f t="shared" si="102"/>
        <v>664.2797130001677</v>
      </c>
      <c r="BB179" s="1795">
        <f t="shared" si="102"/>
        <v>713.06778143132874</v>
      </c>
      <c r="BC179" s="1795">
        <f t="shared" si="102"/>
        <v>761.85584986248978</v>
      </c>
    </row>
    <row r="180" spans="2:55" s="203" customFormat="1" ht="17.149999999999999" customHeight="1" outlineLevel="1" x14ac:dyDescent="0.35">
      <c r="B180" s="203" t="s">
        <v>417</v>
      </c>
      <c r="C180" s="1792">
        <f t="shared" ref="C180:BC180" si="103">C175/(1+$C$28)^C32</f>
        <v>-65.462626417873636</v>
      </c>
      <c r="D180" s="1792">
        <f t="shared" si="103"/>
        <v>-322.04089498656441</v>
      </c>
      <c r="E180" s="1792">
        <f t="shared" si="103"/>
        <v>-248.48813106209175</v>
      </c>
      <c r="F180" s="1792">
        <f t="shared" si="103"/>
        <v>5.0989215016309402</v>
      </c>
      <c r="G180" s="1792">
        <f t="shared" si="103"/>
        <v>5.821560502556717</v>
      </c>
      <c r="H180" s="1792">
        <f t="shared" si="103"/>
        <v>-13.441930787490623</v>
      </c>
      <c r="I180" s="1792">
        <f t="shared" si="103"/>
        <v>-10.7541106577282</v>
      </c>
      <c r="J180" s="1792">
        <f t="shared" si="103"/>
        <v>-8.4580718384261946</v>
      </c>
      <c r="K180" s="1792">
        <f t="shared" si="103"/>
        <v>-6.5034015174991469</v>
      </c>
      <c r="L180" s="1792">
        <f t="shared" si="103"/>
        <v>-4.8457518224967941</v>
      </c>
      <c r="M180" s="1792">
        <f t="shared" si="103"/>
        <v>-3.4461403076029469</v>
      </c>
      <c r="N180" s="1792">
        <f t="shared" si="103"/>
        <v>-2.2703288190325845</v>
      </c>
      <c r="O180" s="1792">
        <f t="shared" si="103"/>
        <v>-1.2882721401063271</v>
      </c>
      <c r="P180" s="1792">
        <f t="shared" si="103"/>
        <v>-0.47362874559206869</v>
      </c>
      <c r="Q180" s="1792">
        <f t="shared" si="103"/>
        <v>0.19667317574603924</v>
      </c>
      <c r="R180" s="1792">
        <f t="shared" si="103"/>
        <v>0.74282053061873132</v>
      </c>
      <c r="S180" s="1792">
        <f t="shared" si="103"/>
        <v>1.1824564012665135</v>
      </c>
      <c r="T180" s="1792">
        <f t="shared" si="103"/>
        <v>1.5309822437959544</v>
      </c>
      <c r="U180" s="1792">
        <f t="shared" si="103"/>
        <v>1.801825524933812</v>
      </c>
      <c r="V180" s="1792">
        <f t="shared" si="103"/>
        <v>2.0066766463716972</v>
      </c>
      <c r="W180" s="1792">
        <f t="shared" si="103"/>
        <v>2.1556985855047879</v>
      </c>
      <c r="X180" s="1792">
        <f t="shared" si="103"/>
        <v>2.257712306221205</v>
      </c>
      <c r="Y180" s="1792">
        <f t="shared" si="103"/>
        <v>2.3203606586669152</v>
      </c>
      <c r="Z180" s="1792">
        <f t="shared" si="103"/>
        <v>2.3502531882933519</v>
      </c>
      <c r="AA180" s="1792">
        <f t="shared" si="103"/>
        <v>2.3530940081434433</v>
      </c>
      <c r="AB180" s="1792">
        <f t="shared" si="103"/>
        <v>4.3451232173553942</v>
      </c>
      <c r="AC180" s="1792">
        <f t="shared" si="103"/>
        <v>3.9286117948639214</v>
      </c>
      <c r="AD180" s="1792">
        <f t="shared" si="103"/>
        <v>3.5520259985026681</v>
      </c>
      <c r="AE180" s="1792">
        <f t="shared" si="103"/>
        <v>3.2115386688329939</v>
      </c>
      <c r="AF180" s="1792">
        <f t="shared" si="103"/>
        <v>2.9036895072720155</v>
      </c>
      <c r="AG180" s="1792">
        <f t="shared" si="103"/>
        <v>2.6253499098316619</v>
      </c>
      <c r="AH180" s="1792">
        <f t="shared" si="103"/>
        <v>2.3736911717976725</v>
      </c>
      <c r="AI180" s="1792">
        <f t="shared" si="103"/>
        <v>2.1461557402195921</v>
      </c>
      <c r="AJ180" s="1792">
        <f t="shared" si="103"/>
        <v>1.9404312220570983</v>
      </c>
      <c r="AK180" s="1792">
        <f t="shared" si="103"/>
        <v>1.7544268838331118</v>
      </c>
      <c r="AL180" s="1792">
        <f t="shared" si="103"/>
        <v>1.586252403964767</v>
      </c>
      <c r="AM180" s="1792">
        <f t="shared" si="103"/>
        <v>1.4341986618368268</v>
      </c>
      <c r="AN180" s="1792">
        <f t="shared" si="103"/>
        <v>1.2967203683810664</v>
      </c>
      <c r="AO180" s="1792">
        <f t="shared" si="103"/>
        <v>1.172420361639994</v>
      </c>
      <c r="AP180" s="1792">
        <f t="shared" si="103"/>
        <v>1.0600354077141407</v>
      </c>
      <c r="AQ180" s="1792">
        <f t="shared" si="103"/>
        <v>0.95842336279103524</v>
      </c>
      <c r="AR180" s="1792">
        <f t="shared" si="103"/>
        <v>0.86655156578636483</v>
      </c>
      <c r="AS180" s="1792">
        <f t="shared" si="103"/>
        <v>0.78348634363426062</v>
      </c>
      <c r="AT180" s="1792">
        <f t="shared" si="103"/>
        <v>0.70838352257125592</v>
      </c>
      <c r="AU180" s="1792">
        <f t="shared" si="103"/>
        <v>0.6404798489821667</v>
      </c>
      <c r="AV180" s="1792">
        <f t="shared" si="103"/>
        <v>0.57908523261981404</v>
      </c>
      <c r="AW180" s="1792">
        <f t="shared" si="103"/>
        <v>0.52357573336812524</v>
      </c>
      <c r="AX180" s="1792">
        <f t="shared" si="103"/>
        <v>0.473387220274611</v>
      </c>
      <c r="AY180" s="1792">
        <f t="shared" si="103"/>
        <v>0.42800963841034617</v>
      </c>
      <c r="AZ180" s="1792">
        <f t="shared" si="103"/>
        <v>0.38698182529280317</v>
      </c>
      <c r="BA180" s="1792">
        <f t="shared" si="103"/>
        <v>0.34988682419197042</v>
      </c>
      <c r="BB180" s="1792">
        <f t="shared" si="103"/>
        <v>0.3163476466899065</v>
      </c>
      <c r="BC180" s="1792">
        <f t="shared" si="103"/>
        <v>0.28602344142954605</v>
      </c>
    </row>
    <row r="181" spans="2:55" s="203" customFormat="1" ht="17.149999999999999" customHeight="1" outlineLevel="1" x14ac:dyDescent="0.35">
      <c r="B181" s="293" t="s">
        <v>418</v>
      </c>
      <c r="C181" s="1792">
        <f>C180</f>
        <v>-65.462626417873636</v>
      </c>
      <c r="D181" s="1792">
        <f t="shared" ref="D181:BC181" si="104">C181+D180</f>
        <v>-387.50352140443806</v>
      </c>
      <c r="E181" s="1792">
        <f t="shared" si="104"/>
        <v>-635.99165246652979</v>
      </c>
      <c r="F181" s="1792">
        <f t="shared" si="104"/>
        <v>-630.89273096489887</v>
      </c>
      <c r="G181" s="1792">
        <f t="shared" si="104"/>
        <v>-625.07117046234214</v>
      </c>
      <c r="H181" s="1792">
        <f t="shared" si="104"/>
        <v>-638.51310124983274</v>
      </c>
      <c r="I181" s="1792">
        <f t="shared" si="104"/>
        <v>-649.26721190756098</v>
      </c>
      <c r="J181" s="1792">
        <f t="shared" si="104"/>
        <v>-657.72528374598721</v>
      </c>
      <c r="K181" s="1792">
        <f t="shared" si="104"/>
        <v>-664.22868526348634</v>
      </c>
      <c r="L181" s="1792">
        <f t="shared" si="104"/>
        <v>-669.07443708598316</v>
      </c>
      <c r="M181" s="1792">
        <f t="shared" si="104"/>
        <v>-672.52057739358611</v>
      </c>
      <c r="N181" s="1792">
        <f t="shared" si="104"/>
        <v>-674.79090621261867</v>
      </c>
      <c r="O181" s="1792">
        <f t="shared" si="104"/>
        <v>-676.07917835272497</v>
      </c>
      <c r="P181" s="1792">
        <f t="shared" si="104"/>
        <v>-676.55280709831709</v>
      </c>
      <c r="Q181" s="1792">
        <f t="shared" si="104"/>
        <v>-676.35613392257108</v>
      </c>
      <c r="R181" s="1792">
        <f t="shared" si="104"/>
        <v>-675.61331339195237</v>
      </c>
      <c r="S181" s="1792">
        <f t="shared" si="104"/>
        <v>-674.43085699068581</v>
      </c>
      <c r="T181" s="1792">
        <f t="shared" si="104"/>
        <v>-672.89987474688985</v>
      </c>
      <c r="U181" s="1792">
        <f t="shared" si="104"/>
        <v>-671.09804922195599</v>
      </c>
      <c r="V181" s="1792">
        <f t="shared" si="104"/>
        <v>-669.09137257558427</v>
      </c>
      <c r="W181" s="1792">
        <f t="shared" si="104"/>
        <v>-666.93567399007952</v>
      </c>
      <c r="X181" s="1792">
        <f t="shared" si="104"/>
        <v>-664.67796168385837</v>
      </c>
      <c r="Y181" s="1792">
        <f t="shared" si="104"/>
        <v>-662.35760102519146</v>
      </c>
      <c r="Z181" s="1792">
        <f t="shared" si="104"/>
        <v>-660.00734783689813</v>
      </c>
      <c r="AA181" s="1792">
        <f t="shared" si="104"/>
        <v>-657.65425382875469</v>
      </c>
      <c r="AB181" s="1792">
        <f t="shared" si="104"/>
        <v>-653.30913061139927</v>
      </c>
      <c r="AC181" s="1792">
        <f t="shared" si="104"/>
        <v>-649.3805188165353</v>
      </c>
      <c r="AD181" s="1792">
        <f t="shared" si="104"/>
        <v>-645.8284928180326</v>
      </c>
      <c r="AE181" s="1792">
        <f t="shared" si="104"/>
        <v>-642.61695414919961</v>
      </c>
      <c r="AF181" s="1792">
        <f t="shared" si="104"/>
        <v>-639.71326464192759</v>
      </c>
      <c r="AG181" s="1792">
        <f t="shared" si="104"/>
        <v>-637.0879147320959</v>
      </c>
      <c r="AH181" s="1792">
        <f t="shared" si="104"/>
        <v>-634.71422356029825</v>
      </c>
      <c r="AI181" s="1792">
        <f t="shared" si="104"/>
        <v>-632.56806782007868</v>
      </c>
      <c r="AJ181" s="1792">
        <f t="shared" si="104"/>
        <v>-630.62763659802158</v>
      </c>
      <c r="AK181" s="1792">
        <f t="shared" si="104"/>
        <v>-628.87320971418842</v>
      </c>
      <c r="AL181" s="1792">
        <f t="shared" si="104"/>
        <v>-627.28695731022367</v>
      </c>
      <c r="AM181" s="1792">
        <f t="shared" si="104"/>
        <v>-625.85275864838684</v>
      </c>
      <c r="AN181" s="1792">
        <f t="shared" si="104"/>
        <v>-624.55603828000574</v>
      </c>
      <c r="AO181" s="1792">
        <f t="shared" si="104"/>
        <v>-623.38361791836576</v>
      </c>
      <c r="AP181" s="1792">
        <f t="shared" si="104"/>
        <v>-622.32358251065159</v>
      </c>
      <c r="AQ181" s="1792">
        <f t="shared" si="104"/>
        <v>-621.3651591478606</v>
      </c>
      <c r="AR181" s="1792">
        <f t="shared" si="104"/>
        <v>-620.49860758207421</v>
      </c>
      <c r="AS181" s="1792">
        <f t="shared" si="104"/>
        <v>-619.71512123843991</v>
      </c>
      <c r="AT181" s="1792">
        <f t="shared" si="104"/>
        <v>-619.00673771586867</v>
      </c>
      <c r="AU181" s="1792">
        <f t="shared" si="104"/>
        <v>-618.36625786688649</v>
      </c>
      <c r="AV181" s="1792">
        <f t="shared" si="104"/>
        <v>-617.78717263426665</v>
      </c>
      <c r="AW181" s="1792">
        <f t="shared" si="104"/>
        <v>-617.26359690089851</v>
      </c>
      <c r="AX181" s="1792">
        <f t="shared" si="104"/>
        <v>-616.79020968062389</v>
      </c>
      <c r="AY181" s="1792">
        <f t="shared" si="104"/>
        <v>-616.36220004221354</v>
      </c>
      <c r="AZ181" s="1792">
        <f t="shared" si="104"/>
        <v>-615.97521821692078</v>
      </c>
      <c r="BA181" s="1792">
        <f t="shared" si="104"/>
        <v>-615.62533139272875</v>
      </c>
      <c r="BB181" s="1792">
        <f t="shared" si="104"/>
        <v>-615.30898374603885</v>
      </c>
      <c r="BC181" s="1792">
        <f t="shared" si="104"/>
        <v>-615.02296030460934</v>
      </c>
    </row>
    <row r="182" spans="2:55" s="203" customFormat="1" ht="17.149999999999999" customHeight="1" outlineLevel="1" x14ac:dyDescent="0.35">
      <c r="B182" s="293" t="s">
        <v>419</v>
      </c>
      <c r="C182" s="1792">
        <f t="shared" ref="C182:BC182" si="105">C167/(1+$C$28)^C32</f>
        <v>107.26921860109236</v>
      </c>
      <c r="D182" s="1792">
        <f t="shared" si="105"/>
        <v>205.89720335086304</v>
      </c>
      <c r="E182" s="1792">
        <f t="shared" si="105"/>
        <v>134.54054767745205</v>
      </c>
      <c r="F182" s="1792">
        <f t="shared" si="105"/>
        <v>2.3588581534516009</v>
      </c>
      <c r="G182" s="1792">
        <f t="shared" si="105"/>
        <v>1.5313069560236268</v>
      </c>
      <c r="H182" s="1792">
        <f t="shared" si="105"/>
        <v>1.384520131664551</v>
      </c>
      <c r="I182" s="1792">
        <f t="shared" si="105"/>
        <v>1.2518038838940986</v>
      </c>
      <c r="J182" s="1792">
        <f t="shared" si="105"/>
        <v>1.1318094463880386</v>
      </c>
      <c r="K182" s="1792">
        <f t="shared" si="105"/>
        <v>1.0233173418094055</v>
      </c>
      <c r="L182" s="1792">
        <f t="shared" si="105"/>
        <v>0.92522498852589063</v>
      </c>
      <c r="M182" s="1792">
        <f t="shared" si="105"/>
        <v>0.83653549531282501</v>
      </c>
      <c r="N182" s="1792">
        <f t="shared" si="105"/>
        <v>0.75634753016475731</v>
      </c>
      <c r="O182" s="1792">
        <f t="shared" si="105"/>
        <v>0.68384616025456801</v>
      </c>
      <c r="P182" s="1792">
        <f t="shared" si="105"/>
        <v>0.61829456994861587</v>
      </c>
      <c r="Q182" s="1792">
        <f t="shared" si="105"/>
        <v>0.55902657270991096</v>
      </c>
      <c r="R182" s="1792">
        <f t="shared" si="105"/>
        <v>0.50543984078941695</v>
      </c>
      <c r="S182" s="1792">
        <f t="shared" si="105"/>
        <v>0.45698978390030653</v>
      </c>
      <c r="T182" s="1792">
        <f t="shared" si="105"/>
        <v>0.41318401466547305</v>
      </c>
      <c r="U182" s="1792">
        <f t="shared" si="105"/>
        <v>0.37357734459184555</v>
      </c>
      <c r="V182" s="1792">
        <f t="shared" si="105"/>
        <v>0.33776725971668287</v>
      </c>
      <c r="W182" s="1792">
        <f t="shared" si="105"/>
        <v>0.30538982994582636</v>
      </c>
      <c r="X182" s="1792">
        <f t="shared" si="105"/>
        <v>0.276116010511407</v>
      </c>
      <c r="Y182" s="1792">
        <f t="shared" si="105"/>
        <v>0.24964829796152602</v>
      </c>
      <c r="Z182" s="1792">
        <f t="shared" si="105"/>
        <v>0.22571770669746116</v>
      </c>
      <c r="AA182" s="1792">
        <f t="shared" si="105"/>
        <v>0.20408103533160446</v>
      </c>
      <c r="AB182" s="1792">
        <f t="shared" si="105"/>
        <v>0.1845183950847222</v>
      </c>
      <c r="AC182" s="1792">
        <f t="shared" si="105"/>
        <v>0.16683097510417735</v>
      </c>
      <c r="AD182" s="1792">
        <f t="shared" si="105"/>
        <v>0.15083902199252935</v>
      </c>
      <c r="AE182" s="1792">
        <f t="shared" si="105"/>
        <v>0.13638001301290154</v>
      </c>
      <c r="AF182" s="1792">
        <f t="shared" si="105"/>
        <v>0.12330700440579877</v>
      </c>
      <c r="AG182" s="1792">
        <f t="shared" si="105"/>
        <v>0.11148713803168002</v>
      </c>
      <c r="AH182" s="1792">
        <f t="shared" si="105"/>
        <v>0.10080029116261914</v>
      </c>
      <c r="AI182" s="1792">
        <f t="shared" si="105"/>
        <v>9.1137855701180062E-2</v>
      </c>
      <c r="AJ182" s="1792">
        <f t="shared" si="105"/>
        <v>8.2401634419974362E-2</v>
      </c>
      <c r="AK182" s="1792">
        <f t="shared" si="105"/>
        <v>7.450284300462412E-2</v>
      </c>
      <c r="AL182" s="1792">
        <f t="shared" si="105"/>
        <v>6.7361207758109359E-2</v>
      </c>
      <c r="AM182" s="1792">
        <f t="shared" si="105"/>
        <v>6.0904149796666758E-2</v>
      </c>
      <c r="AN182" s="1792">
        <f t="shared" si="105"/>
        <v>5.5066047446399494E-2</v>
      </c>
      <c r="AO182" s="1792">
        <f t="shared" si="105"/>
        <v>4.9787569344496019E-2</v>
      </c>
      <c r="AP182" s="1792">
        <f t="shared" si="105"/>
        <v>4.5015071467510541E-2</v>
      </c>
      <c r="AQ182" s="1792">
        <f t="shared" si="105"/>
        <v>4.0700051958834874E-2</v>
      </c>
      <c r="AR182" s="1792">
        <f t="shared" si="105"/>
        <v>3.6798658214892019E-2</v>
      </c>
      <c r="AS182" s="1792">
        <f t="shared" si="105"/>
        <v>3.3271241220675957E-2</v>
      </c>
      <c r="AT182" s="1792">
        <f t="shared" si="105"/>
        <v>3.0081952605446514E-2</v>
      </c>
      <c r="AU182" s="1792">
        <f t="shared" si="105"/>
        <v>2.7198380323544345E-2</v>
      </c>
      <c r="AV182" s="1792">
        <f t="shared" si="105"/>
        <v>2.4591219257829287E-2</v>
      </c>
      <c r="AW182" s="1792">
        <f t="shared" si="105"/>
        <v>2.2233973398156706E-2</v>
      </c>
      <c r="AX182" s="1792">
        <f t="shared" si="105"/>
        <v>2.0102686568196512E-2</v>
      </c>
      <c r="AY182" s="1792">
        <f t="shared" si="105"/>
        <v>1.8175698964030047E-2</v>
      </c>
      <c r="AZ182" s="1792">
        <f t="shared" si="105"/>
        <v>1.6433427030279786E-2</v>
      </c>
      <c r="BA182" s="1792">
        <f t="shared" si="105"/>
        <v>1.4858164436700768E-2</v>
      </c>
      <c r="BB182" s="1792">
        <f t="shared" si="105"/>
        <v>1.3433902132602276E-2</v>
      </c>
      <c r="BC182" s="1792">
        <f t="shared" si="105"/>
        <v>1.2146165650351962E-2</v>
      </c>
    </row>
    <row r="183" spans="2:55" s="203" customFormat="1" ht="17.149999999999999" customHeight="1" outlineLevel="1" x14ac:dyDescent="0.35">
      <c r="B183" s="293" t="s">
        <v>420</v>
      </c>
      <c r="C183" s="1801">
        <f t="shared" ref="C183:L183" si="106">IF(C$32&lt;=3,1,IF(C176&lt;0,1,IF(B183=1,1-(C176/C175),0)))</f>
        <v>1</v>
      </c>
      <c r="D183" s="1801">
        <f t="shared" si="106"/>
        <v>1</v>
      </c>
      <c r="E183" s="1801">
        <f t="shared" si="106"/>
        <v>1</v>
      </c>
      <c r="F183" s="1801">
        <f t="shared" si="106"/>
        <v>1</v>
      </c>
      <c r="G183" s="1801">
        <f t="shared" si="106"/>
        <v>1</v>
      </c>
      <c r="H183" s="1801">
        <f t="shared" si="106"/>
        <v>1</v>
      </c>
      <c r="I183" s="1801">
        <f t="shared" si="106"/>
        <v>1</v>
      </c>
      <c r="J183" s="1801">
        <f t="shared" si="106"/>
        <v>1</v>
      </c>
      <c r="K183" s="1801">
        <f t="shared" si="106"/>
        <v>1</v>
      </c>
      <c r="L183" s="1801">
        <f t="shared" si="106"/>
        <v>1</v>
      </c>
      <c r="M183" s="1802">
        <f t="shared" ref="M183:BC183" si="107">IF(M$32&lt;=3,0,IF(M176&lt;0,1,IF(L183=1,1-(M176/M175),0)))</f>
        <v>1</v>
      </c>
      <c r="N183" s="1802">
        <f t="shared" si="107"/>
        <v>1</v>
      </c>
      <c r="O183" s="1802">
        <f t="shared" si="107"/>
        <v>1</v>
      </c>
      <c r="P183" s="1802">
        <f t="shared" si="107"/>
        <v>1</v>
      </c>
      <c r="Q183" s="1802">
        <f t="shared" si="107"/>
        <v>1</v>
      </c>
      <c r="R183" s="1802">
        <f t="shared" si="107"/>
        <v>1</v>
      </c>
      <c r="S183" s="1802">
        <f t="shared" si="107"/>
        <v>1</v>
      </c>
      <c r="T183" s="1802">
        <f t="shared" si="107"/>
        <v>1</v>
      </c>
      <c r="U183" s="1802">
        <f t="shared" si="107"/>
        <v>1</v>
      </c>
      <c r="V183" s="1802">
        <f t="shared" si="107"/>
        <v>1</v>
      </c>
      <c r="W183" s="1802">
        <f t="shared" si="107"/>
        <v>1</v>
      </c>
      <c r="X183" s="1802">
        <f t="shared" si="107"/>
        <v>1</v>
      </c>
      <c r="Y183" s="1802">
        <f t="shared" si="107"/>
        <v>1</v>
      </c>
      <c r="Z183" s="1802">
        <f t="shared" si="107"/>
        <v>1</v>
      </c>
      <c r="AA183" s="1802">
        <f t="shared" si="107"/>
        <v>1</v>
      </c>
      <c r="AB183" s="1802">
        <f t="shared" si="107"/>
        <v>1</v>
      </c>
      <c r="AC183" s="1802">
        <f t="shared" si="107"/>
        <v>1</v>
      </c>
      <c r="AD183" s="1802">
        <f t="shared" si="107"/>
        <v>1</v>
      </c>
      <c r="AE183" s="1802">
        <f t="shared" si="107"/>
        <v>1</v>
      </c>
      <c r="AF183" s="1802">
        <f t="shared" si="107"/>
        <v>1</v>
      </c>
      <c r="AG183" s="1802">
        <f t="shared" si="107"/>
        <v>1</v>
      </c>
      <c r="AH183" s="1802">
        <f t="shared" si="107"/>
        <v>1</v>
      </c>
      <c r="AI183" s="1802">
        <f t="shared" si="107"/>
        <v>1</v>
      </c>
      <c r="AJ183" s="1802">
        <f t="shared" si="107"/>
        <v>1</v>
      </c>
      <c r="AK183" s="1802">
        <f t="shared" si="107"/>
        <v>1</v>
      </c>
      <c r="AL183" s="1802">
        <f t="shared" si="107"/>
        <v>1</v>
      </c>
      <c r="AM183" s="1802">
        <f t="shared" si="107"/>
        <v>1</v>
      </c>
      <c r="AN183" s="1802">
        <f t="shared" si="107"/>
        <v>0.38438178921854926</v>
      </c>
      <c r="AO183" s="1802">
        <f t="shared" si="107"/>
        <v>0</v>
      </c>
      <c r="AP183" s="1802">
        <f t="shared" si="107"/>
        <v>0</v>
      </c>
      <c r="AQ183" s="1802">
        <f t="shared" si="107"/>
        <v>0</v>
      </c>
      <c r="AR183" s="1802">
        <f t="shared" si="107"/>
        <v>0</v>
      </c>
      <c r="AS183" s="1802">
        <f t="shared" si="107"/>
        <v>0</v>
      </c>
      <c r="AT183" s="1802">
        <f t="shared" si="107"/>
        <v>0</v>
      </c>
      <c r="AU183" s="1802">
        <f t="shared" si="107"/>
        <v>0</v>
      </c>
      <c r="AV183" s="1802">
        <f t="shared" si="107"/>
        <v>0</v>
      </c>
      <c r="AW183" s="1802">
        <f t="shared" si="107"/>
        <v>0</v>
      </c>
      <c r="AX183" s="1802">
        <f t="shared" si="107"/>
        <v>0</v>
      </c>
      <c r="AY183" s="1802">
        <f t="shared" si="107"/>
        <v>0</v>
      </c>
      <c r="AZ183" s="1802">
        <f t="shared" si="107"/>
        <v>0</v>
      </c>
      <c r="BA183" s="1802">
        <f t="shared" si="107"/>
        <v>0</v>
      </c>
      <c r="BB183" s="1802">
        <f t="shared" si="107"/>
        <v>0</v>
      </c>
      <c r="BC183" s="1802">
        <f t="shared" si="107"/>
        <v>0</v>
      </c>
    </row>
    <row r="184" spans="2:55" s="203" customFormat="1" ht="17.149999999999999" customHeight="1" outlineLevel="1" x14ac:dyDescent="0.35">
      <c r="B184" s="293" t="s">
        <v>421</v>
      </c>
      <c r="C184" s="1803" t="str">
        <f t="shared" ref="C184:BC184" si="108">IF(C31=1,IRR($C175:C175),"-")</f>
        <v>-</v>
      </c>
      <c r="D184" s="1803" t="str">
        <f t="shared" si="108"/>
        <v>-</v>
      </c>
      <c r="E184" s="1803" t="str">
        <f t="shared" si="108"/>
        <v>-</v>
      </c>
      <c r="F184" s="1803" t="str">
        <f t="shared" si="108"/>
        <v>-</v>
      </c>
      <c r="G184" s="1803" t="str">
        <f t="shared" si="108"/>
        <v>-</v>
      </c>
      <c r="H184" s="1803" t="str">
        <f t="shared" si="108"/>
        <v>-</v>
      </c>
      <c r="I184" s="1803" t="str">
        <f t="shared" si="108"/>
        <v>-</v>
      </c>
      <c r="J184" s="1803" t="str">
        <f t="shared" si="108"/>
        <v>-</v>
      </c>
      <c r="K184" s="1803" t="str">
        <f t="shared" si="108"/>
        <v>-</v>
      </c>
      <c r="L184" s="1803" t="str">
        <f t="shared" si="108"/>
        <v>-</v>
      </c>
      <c r="M184" s="1803" t="str">
        <f t="shared" si="108"/>
        <v>-</v>
      </c>
      <c r="N184" s="1803" t="str">
        <f t="shared" si="108"/>
        <v>-</v>
      </c>
      <c r="O184" s="1803" t="str">
        <f t="shared" si="108"/>
        <v>-</v>
      </c>
      <c r="P184" s="1803" t="str">
        <f t="shared" si="108"/>
        <v>-</v>
      </c>
      <c r="Q184" s="1803" t="str">
        <f t="shared" si="108"/>
        <v>-</v>
      </c>
      <c r="R184" s="1803" t="str">
        <f t="shared" si="108"/>
        <v>-</v>
      </c>
      <c r="S184" s="1803" t="str">
        <f t="shared" si="108"/>
        <v>-</v>
      </c>
      <c r="T184" s="1803" t="str">
        <f t="shared" si="108"/>
        <v>-</v>
      </c>
      <c r="U184" s="1803" t="str">
        <f t="shared" si="108"/>
        <v>-</v>
      </c>
      <c r="V184" s="1803" t="str">
        <f t="shared" si="108"/>
        <v>-</v>
      </c>
      <c r="W184" s="1803" t="str">
        <f t="shared" si="108"/>
        <v>-</v>
      </c>
      <c r="X184" s="1803" t="str">
        <f t="shared" si="108"/>
        <v>-</v>
      </c>
      <c r="Y184" s="1803" t="str">
        <f t="shared" si="108"/>
        <v>-</v>
      </c>
      <c r="Z184" s="1803" t="str">
        <f t="shared" si="108"/>
        <v>-</v>
      </c>
      <c r="AA184" s="1803" t="str">
        <f t="shared" si="108"/>
        <v>-</v>
      </c>
      <c r="AB184" s="1803">
        <f t="shared" si="108"/>
        <v>-6.7433930050979307E-2</v>
      </c>
      <c r="AC184" s="1803" t="str">
        <f t="shared" si="108"/>
        <v>-</v>
      </c>
      <c r="AD184" s="1803" t="str">
        <f t="shared" si="108"/>
        <v>-</v>
      </c>
      <c r="AE184" s="1803" t="str">
        <f t="shared" si="108"/>
        <v>-</v>
      </c>
      <c r="AF184" s="1803" t="str">
        <f t="shared" si="108"/>
        <v>-</v>
      </c>
      <c r="AG184" s="1803" t="str">
        <f t="shared" si="108"/>
        <v>-</v>
      </c>
      <c r="AH184" s="1803" t="str">
        <f t="shared" si="108"/>
        <v>-</v>
      </c>
      <c r="AI184" s="1803" t="str">
        <f t="shared" si="108"/>
        <v>-</v>
      </c>
      <c r="AJ184" s="1803" t="str">
        <f t="shared" si="108"/>
        <v>-</v>
      </c>
      <c r="AK184" s="1803" t="str">
        <f t="shared" si="108"/>
        <v>-</v>
      </c>
      <c r="AL184" s="1803" t="str">
        <f t="shared" si="108"/>
        <v>-</v>
      </c>
      <c r="AM184" s="1803" t="str">
        <f t="shared" si="108"/>
        <v>-</v>
      </c>
      <c r="AN184" s="1803" t="str">
        <f t="shared" si="108"/>
        <v>-</v>
      </c>
      <c r="AO184" s="1803" t="str">
        <f t="shared" si="108"/>
        <v>-</v>
      </c>
      <c r="AP184" s="1803" t="str">
        <f t="shared" si="108"/>
        <v>-</v>
      </c>
      <c r="AQ184" s="1803" t="str">
        <f t="shared" si="108"/>
        <v>-</v>
      </c>
      <c r="AR184" s="1803" t="str">
        <f t="shared" si="108"/>
        <v>-</v>
      </c>
      <c r="AS184" s="1803" t="str">
        <f t="shared" si="108"/>
        <v>-</v>
      </c>
      <c r="AT184" s="1803" t="str">
        <f t="shared" si="108"/>
        <v>-</v>
      </c>
      <c r="AU184" s="1803" t="str">
        <f t="shared" si="108"/>
        <v>-</v>
      </c>
      <c r="AV184" s="1803" t="str">
        <f t="shared" si="108"/>
        <v>-</v>
      </c>
      <c r="AW184" s="1803" t="str">
        <f t="shared" si="108"/>
        <v>-</v>
      </c>
      <c r="AX184" s="1803" t="str">
        <f t="shared" si="108"/>
        <v>-</v>
      </c>
      <c r="AY184" s="1803" t="str">
        <f t="shared" si="108"/>
        <v>-</v>
      </c>
      <c r="AZ184" s="1803" t="str">
        <f t="shared" si="108"/>
        <v>-</v>
      </c>
      <c r="BA184" s="1803" t="str">
        <f t="shared" si="108"/>
        <v>-</v>
      </c>
      <c r="BB184" s="1803" t="str">
        <f t="shared" si="108"/>
        <v>-</v>
      </c>
      <c r="BC184" s="1803" t="str">
        <f t="shared" si="108"/>
        <v>-</v>
      </c>
    </row>
    <row r="185" spans="2:55" ht="14.25" customHeight="1" outlineLevel="1" x14ac:dyDescent="0.35">
      <c r="C185" s="1804"/>
      <c r="D185" s="1804"/>
      <c r="E185" s="1804"/>
      <c r="F185" s="1805"/>
      <c r="G185" s="1805"/>
      <c r="H185" s="1805"/>
      <c r="I185" s="1805"/>
      <c r="J185" s="1805"/>
      <c r="K185" s="1805"/>
      <c r="L185" s="1805"/>
      <c r="M185" s="1805"/>
      <c r="N185" s="1805"/>
      <c r="O185" s="1805"/>
      <c r="P185" s="1805"/>
      <c r="Q185" s="1805"/>
      <c r="R185" s="1805"/>
      <c r="S185" s="1805"/>
      <c r="T185" s="1805"/>
      <c r="U185" s="1805"/>
      <c r="V185" s="1805"/>
      <c r="W185" s="1805"/>
      <c r="X185" s="1805"/>
      <c r="Y185" s="1805"/>
      <c r="Z185" s="1805"/>
      <c r="AA185" s="1805"/>
      <c r="AB185" s="1805"/>
      <c r="AC185" s="1805"/>
      <c r="AD185" s="1805"/>
      <c r="AE185" s="1805"/>
      <c r="AF185" s="1805"/>
      <c r="AG185" s="1805"/>
      <c r="AH185" s="1805"/>
      <c r="AI185" s="1805"/>
      <c r="AJ185" s="1805"/>
      <c r="AK185" s="1805"/>
      <c r="AL185" s="1805"/>
      <c r="AM185" s="1805"/>
      <c r="AN185" s="1805"/>
      <c r="AO185" s="1805"/>
      <c r="AP185" s="1805"/>
      <c r="AQ185" s="1805"/>
      <c r="AR185" s="1805"/>
      <c r="AS185" s="1805"/>
      <c r="AT185" s="1805"/>
      <c r="AU185" s="1805"/>
      <c r="AV185" s="1805"/>
      <c r="AW185" s="1805"/>
      <c r="AX185" s="1805"/>
      <c r="AY185" s="1805"/>
      <c r="AZ185" s="1805"/>
      <c r="BA185" s="1805"/>
      <c r="BB185" s="1805"/>
      <c r="BC185" s="1805"/>
    </row>
    <row r="186" spans="2:55" ht="14.25" customHeight="1" x14ac:dyDescent="0.35">
      <c r="C186" s="1805"/>
      <c r="D186" s="1805"/>
      <c r="E186" s="1805"/>
      <c r="F186" s="1805"/>
      <c r="G186" s="1805"/>
      <c r="H186" s="1805"/>
      <c r="I186" s="1805"/>
      <c r="J186" s="1805"/>
      <c r="K186" s="1805"/>
      <c r="L186" s="1805"/>
      <c r="M186" s="1805"/>
      <c r="N186" s="1805"/>
      <c r="O186" s="1805"/>
      <c r="P186" s="1805"/>
      <c r="Q186" s="1805"/>
      <c r="R186" s="1805"/>
      <c r="S186" s="1805"/>
      <c r="T186" s="1805"/>
      <c r="U186" s="1805"/>
      <c r="V186" s="1805"/>
      <c r="W186" s="1805"/>
      <c r="X186" s="1805"/>
      <c r="Y186" s="1805"/>
      <c r="Z186" s="1805"/>
      <c r="AA186" s="1805"/>
      <c r="AB186" s="1805"/>
      <c r="AC186" s="1805"/>
      <c r="AD186" s="1805"/>
      <c r="AE186" s="1805"/>
      <c r="AF186" s="1805"/>
      <c r="AG186" s="1805"/>
      <c r="AH186" s="1805"/>
      <c r="AI186" s="1805"/>
      <c r="AJ186" s="1805"/>
      <c r="AK186" s="1805"/>
      <c r="AL186" s="1805"/>
      <c r="AM186" s="1805"/>
      <c r="AN186" s="1805"/>
      <c r="AO186" s="1805"/>
      <c r="AP186" s="1805"/>
      <c r="AQ186" s="1805"/>
      <c r="AR186" s="1805"/>
      <c r="AS186" s="1805"/>
      <c r="AT186" s="1805"/>
      <c r="AU186" s="1805"/>
      <c r="AV186" s="1805"/>
      <c r="AW186" s="1805"/>
      <c r="AX186" s="1805"/>
      <c r="AY186" s="1805"/>
      <c r="AZ186" s="1805"/>
      <c r="BA186" s="1805"/>
      <c r="BB186" s="1805"/>
      <c r="BC186" s="1805"/>
    </row>
    <row r="187" spans="2:55" ht="14.25" customHeight="1" x14ac:dyDescent="0.35">
      <c r="C187" s="1805"/>
      <c r="D187" s="1805"/>
      <c r="E187" s="1805"/>
      <c r="F187" s="1805"/>
      <c r="G187" s="1805"/>
      <c r="H187" s="1805"/>
      <c r="I187" s="1805"/>
      <c r="J187" s="1805"/>
      <c r="K187" s="1805"/>
      <c r="L187" s="1805"/>
      <c r="M187" s="1805"/>
      <c r="N187" s="1805"/>
      <c r="O187" s="1805"/>
      <c r="P187" s="1805"/>
      <c r="Q187" s="1805"/>
      <c r="R187" s="1806"/>
      <c r="S187" s="1805"/>
      <c r="T187" s="1805"/>
      <c r="U187" s="1805"/>
      <c r="V187" s="1805"/>
      <c r="W187" s="1805"/>
      <c r="X187" s="1805"/>
      <c r="Y187" s="1805"/>
      <c r="Z187" s="1805"/>
      <c r="AA187" s="1805"/>
      <c r="AB187" s="1805"/>
      <c r="AC187" s="1805"/>
      <c r="AD187" s="1805"/>
      <c r="AE187" s="1805"/>
      <c r="AF187" s="1805"/>
      <c r="AG187" s="1805"/>
      <c r="AH187" s="1805"/>
      <c r="AI187" s="1805"/>
      <c r="AJ187" s="1805"/>
      <c r="AK187" s="1805"/>
      <c r="AL187" s="1805"/>
      <c r="AM187" s="1805"/>
      <c r="AN187" s="1805"/>
      <c r="AO187" s="1805"/>
      <c r="AP187" s="1805"/>
      <c r="AQ187" s="1805"/>
      <c r="AR187" s="1805"/>
      <c r="AS187" s="1805"/>
      <c r="AT187" s="1805"/>
      <c r="AU187" s="1805"/>
      <c r="AV187" s="1805"/>
      <c r="AW187" s="1805"/>
      <c r="AX187" s="1805"/>
      <c r="AY187" s="1805"/>
      <c r="AZ187" s="1805"/>
      <c r="BA187" s="1805"/>
      <c r="BB187" s="1805"/>
      <c r="BC187" s="1805"/>
    </row>
    <row r="188" spans="2:55" ht="14.25" customHeight="1" x14ac:dyDescent="0.35">
      <c r="C188" s="1805"/>
      <c r="D188" s="1805"/>
      <c r="E188" s="1805"/>
      <c r="F188" s="1805"/>
      <c r="G188" s="1805"/>
      <c r="H188" s="1805"/>
      <c r="I188" s="1805"/>
      <c r="J188" s="1805"/>
      <c r="K188" s="1805"/>
      <c r="L188" s="1805"/>
      <c r="M188" s="1805"/>
      <c r="N188" s="1805"/>
      <c r="O188" s="1805"/>
      <c r="P188" s="1805"/>
      <c r="Q188" s="1805"/>
      <c r="R188" s="1806"/>
      <c r="S188" s="1805"/>
      <c r="T188" s="1805"/>
      <c r="U188" s="1805"/>
      <c r="V188" s="1805"/>
      <c r="W188" s="1805"/>
      <c r="X188" s="1805"/>
      <c r="Y188" s="1805"/>
      <c r="Z188" s="1805"/>
      <c r="AA188" s="1805"/>
      <c r="AB188" s="1805"/>
      <c r="AC188" s="1805"/>
      <c r="AD188" s="1805"/>
      <c r="AE188" s="1805"/>
      <c r="AF188" s="1805"/>
      <c r="AG188" s="1805"/>
      <c r="AH188" s="1805"/>
      <c r="AI188" s="1805"/>
      <c r="AJ188" s="1805"/>
      <c r="AK188" s="1805"/>
      <c r="AL188" s="1805"/>
      <c r="AM188" s="1805"/>
      <c r="AN188" s="1805"/>
      <c r="AO188" s="1805"/>
      <c r="AP188" s="1805"/>
      <c r="AQ188" s="1805"/>
      <c r="AR188" s="1805"/>
      <c r="AS188" s="1805"/>
      <c r="AT188" s="1805"/>
      <c r="AU188" s="1805"/>
      <c r="AV188" s="1805"/>
      <c r="AW188" s="1805"/>
      <c r="AX188" s="1805"/>
      <c r="AY188" s="1805"/>
      <c r="AZ188" s="1805"/>
      <c r="BA188" s="1805"/>
      <c r="BB188" s="1805"/>
      <c r="BC188" s="1805"/>
    </row>
    <row r="189" spans="2:55" ht="14.25" customHeight="1" x14ac:dyDescent="0.35">
      <c r="C189" s="1805"/>
      <c r="D189" s="1805"/>
      <c r="E189" s="1805"/>
      <c r="F189" s="1805"/>
      <c r="G189" s="1805"/>
      <c r="H189" s="1805"/>
      <c r="I189" s="1805"/>
      <c r="J189" s="1805"/>
      <c r="K189" s="1805"/>
      <c r="L189" s="1805"/>
      <c r="M189" s="1805"/>
      <c r="N189" s="1805"/>
      <c r="O189" s="1805"/>
      <c r="P189" s="1805"/>
      <c r="Q189" s="1805"/>
      <c r="R189" s="1806"/>
      <c r="S189" s="1805"/>
      <c r="T189" s="1805"/>
      <c r="U189" s="1805"/>
      <c r="V189" s="1805"/>
      <c r="W189" s="1805"/>
      <c r="X189" s="1805"/>
      <c r="Y189" s="1805"/>
      <c r="Z189" s="1805"/>
      <c r="AA189" s="1805"/>
      <c r="AB189" s="1805"/>
      <c r="AC189" s="1805"/>
      <c r="AD189" s="1805"/>
      <c r="AE189" s="1805"/>
      <c r="AF189" s="1805"/>
      <c r="AG189" s="1805"/>
      <c r="AH189" s="1805"/>
      <c r="AI189" s="1805"/>
      <c r="AJ189" s="1805"/>
      <c r="AK189" s="1805"/>
      <c r="AL189" s="1805"/>
      <c r="AM189" s="1805"/>
      <c r="AN189" s="1805"/>
      <c r="AO189" s="1805"/>
      <c r="AP189" s="1805"/>
      <c r="AQ189" s="1805"/>
      <c r="AR189" s="1805"/>
      <c r="AS189" s="1805"/>
      <c r="AT189" s="1805"/>
      <c r="AU189" s="1805"/>
      <c r="AV189" s="1805"/>
      <c r="AW189" s="1805"/>
      <c r="AX189" s="1805"/>
      <c r="AY189" s="1805"/>
      <c r="AZ189" s="1805"/>
      <c r="BA189" s="1805"/>
      <c r="BB189" s="1805"/>
      <c r="BC189" s="1805"/>
    </row>
    <row r="190" spans="2:55" ht="14.25" customHeight="1" x14ac:dyDescent="0.35">
      <c r="R190" s="1807"/>
    </row>
    <row r="191" spans="2:55" ht="14.25" customHeight="1" x14ac:dyDescent="0.35">
      <c r="C191" s="1805"/>
      <c r="D191" s="1805"/>
      <c r="E191" s="1805"/>
      <c r="F191" s="1805"/>
      <c r="G191" s="1805"/>
      <c r="H191" s="1805"/>
      <c r="I191" s="1805"/>
      <c r="J191" s="1805"/>
      <c r="K191" s="1805"/>
      <c r="L191" s="1805"/>
      <c r="M191" s="1805"/>
      <c r="N191" s="1805"/>
      <c r="O191" s="1805"/>
      <c r="P191" s="1805"/>
      <c r="Q191" s="1805"/>
      <c r="R191" s="1806"/>
      <c r="S191" s="1805"/>
      <c r="T191" s="1805"/>
      <c r="U191" s="1805"/>
      <c r="V191" s="1805"/>
      <c r="W191" s="1805"/>
      <c r="X191" s="1805"/>
      <c r="Y191" s="1805"/>
      <c r="Z191" s="1805"/>
      <c r="AA191" s="1805"/>
      <c r="AB191" s="1805"/>
      <c r="AC191" s="1805"/>
      <c r="AD191" s="1805"/>
      <c r="AE191" s="1805"/>
      <c r="AF191" s="1805"/>
      <c r="AG191" s="1805"/>
      <c r="AH191" s="1805"/>
      <c r="AI191" s="1805"/>
      <c r="AJ191" s="1805"/>
      <c r="AK191" s="1805"/>
      <c r="AL191" s="1805"/>
      <c r="AM191" s="1805"/>
      <c r="AN191" s="1805"/>
      <c r="AO191" s="1805"/>
      <c r="AP191" s="1805"/>
      <c r="AQ191" s="1805"/>
      <c r="AR191" s="1805"/>
      <c r="AS191" s="1805"/>
      <c r="AT191" s="1805"/>
      <c r="AU191" s="1805"/>
      <c r="AV191" s="1805"/>
      <c r="AW191" s="1805"/>
      <c r="AX191" s="1805"/>
      <c r="AY191" s="1805"/>
      <c r="AZ191" s="1805"/>
      <c r="BA191" s="1805"/>
      <c r="BB191" s="1805"/>
      <c r="BC191" s="1805"/>
    </row>
    <row r="192" spans="2:55" ht="14.25" customHeight="1" x14ac:dyDescent="0.35">
      <c r="C192" s="1805"/>
      <c r="D192" s="1805"/>
      <c r="E192" s="1805"/>
      <c r="F192" s="1805"/>
      <c r="G192" s="1805"/>
      <c r="H192" s="1805"/>
      <c r="I192" s="1805"/>
      <c r="J192" s="1805"/>
      <c r="K192" s="1805"/>
      <c r="L192" s="1805"/>
      <c r="M192" s="1805"/>
      <c r="N192" s="1805"/>
      <c r="O192" s="1805"/>
      <c r="P192" s="1805"/>
      <c r="Q192" s="1805"/>
      <c r="R192" s="1806"/>
      <c r="S192" s="1805"/>
      <c r="T192" s="1805"/>
      <c r="U192" s="1805"/>
      <c r="V192" s="1805"/>
      <c r="W192" s="1805"/>
      <c r="X192" s="1805"/>
      <c r="Y192" s="1805"/>
      <c r="Z192" s="1805"/>
      <c r="AA192" s="1805"/>
      <c r="AB192" s="1805"/>
      <c r="AC192" s="1805"/>
      <c r="AD192" s="1805"/>
      <c r="AE192" s="1805"/>
      <c r="AF192" s="1805"/>
      <c r="AG192" s="1805"/>
      <c r="AH192" s="1805"/>
      <c r="AI192" s="1805"/>
      <c r="AJ192" s="1805"/>
      <c r="AK192" s="1805"/>
      <c r="AL192" s="1805"/>
      <c r="AM192" s="1805"/>
      <c r="AN192" s="1805"/>
      <c r="AO192" s="1805"/>
      <c r="AP192" s="1805"/>
      <c r="AQ192" s="1805"/>
      <c r="AR192" s="1805"/>
      <c r="AS192" s="1805"/>
      <c r="AT192" s="1805"/>
      <c r="AU192" s="1805"/>
      <c r="AV192" s="1805"/>
      <c r="AW192" s="1805"/>
      <c r="AX192" s="1805"/>
      <c r="AY192" s="1805"/>
      <c r="AZ192" s="1805"/>
      <c r="BA192" s="1805"/>
      <c r="BB192" s="1805"/>
      <c r="BC192" s="1805"/>
    </row>
    <row r="193" spans="18:18" ht="14.25" customHeight="1" x14ac:dyDescent="0.35">
      <c r="R193" s="1807"/>
    </row>
    <row r="194" spans="18:18" ht="14.25" customHeight="1" x14ac:dyDescent="0.35">
      <c r="R194" s="1807"/>
    </row>
  </sheetData>
  <sheetProtection algorithmName="SHA-512" hashValue="jZBTFqH9fSpGu5UJoK6ab/PmxLYgGdYkryjz/7m6V4a7ptvScTlO1N7JRmr96dESMT9qngpoE26olcILhlb4eg==" saltValue="FSFQfk87eG9nyj3hXmkI8w==" spinCount="100000" sheet="1" formatRows="0" pivotTables="0"/>
  <mergeCells count="17">
    <mergeCell ref="E28:F28"/>
    <mergeCell ref="J28:K28"/>
    <mergeCell ref="N26:P26"/>
    <mergeCell ref="E25:R25"/>
    <mergeCell ref="B2:C4"/>
    <mergeCell ref="J27:K27"/>
    <mergeCell ref="E6:G6"/>
    <mergeCell ref="G17:G19"/>
    <mergeCell ref="F17:F19"/>
    <mergeCell ref="E16:E23"/>
    <mergeCell ref="B11:C11"/>
    <mergeCell ref="E26:F26"/>
    <mergeCell ref="E27:F27"/>
    <mergeCell ref="J26:K26"/>
    <mergeCell ref="B6:C6"/>
    <mergeCell ref="H2:J2"/>
    <mergeCell ref="H3:J3"/>
  </mergeCells>
  <pageMargins left="0.511811024" right="0.511811024" top="0.78740157499999996" bottom="0.78740157499999996" header="0" footer="0"/>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AZ100"/>
  <sheetViews>
    <sheetView showGridLines="0" zoomScale="75" zoomScaleNormal="75" workbookViewId="0">
      <selection activeCell="C2" sqref="C2:E2"/>
    </sheetView>
  </sheetViews>
  <sheetFormatPr defaultColWidth="14.453125" defaultRowHeight="15" customHeight="1" x14ac:dyDescent="0.35"/>
  <cols>
    <col min="1" max="1" width="1.7265625" customWidth="1"/>
    <col min="2" max="2" width="2.453125" customWidth="1"/>
    <col min="3" max="3" width="43.26953125" customWidth="1"/>
    <col min="4" max="20" width="10.7265625" customWidth="1"/>
    <col min="21" max="21" width="43.26953125" customWidth="1"/>
    <col min="22" max="30" width="10.7265625" customWidth="1"/>
    <col min="31" max="33" width="0.7265625" customWidth="1"/>
    <col min="34" max="34" width="38.453125" bestFit="1" customWidth="1"/>
    <col min="35" max="35" width="23" bestFit="1" customWidth="1"/>
    <col min="36" max="36" width="17.453125" bestFit="1" customWidth="1"/>
    <col min="37" max="37" width="25.453125" bestFit="1" customWidth="1"/>
    <col min="38" max="38" width="32.26953125" bestFit="1" customWidth="1"/>
    <col min="39" max="39" width="25" bestFit="1" customWidth="1"/>
    <col min="40" max="40" width="19.453125" bestFit="1" customWidth="1"/>
    <col min="41" max="41" width="27.7265625" bestFit="1" customWidth="1"/>
    <col min="42" max="42" width="34.453125" bestFit="1" customWidth="1"/>
    <col min="43" max="43" width="6.26953125" customWidth="1"/>
    <col min="44" max="44" width="14.453125" customWidth="1"/>
    <col min="45" max="45" width="23" bestFit="1" customWidth="1"/>
    <col min="46" max="46" width="17.453125" bestFit="1" customWidth="1"/>
    <col min="47" max="47" width="25.453125" bestFit="1" customWidth="1"/>
    <col min="48" max="48" width="32.26953125" bestFit="1" customWidth="1"/>
    <col min="49" max="49" width="25" bestFit="1" customWidth="1"/>
    <col min="50" max="50" width="19.453125" bestFit="1" customWidth="1"/>
    <col min="51" max="51" width="27.7265625" bestFit="1" customWidth="1"/>
    <col min="52" max="52" width="34.453125" bestFit="1" customWidth="1"/>
  </cols>
  <sheetData>
    <row r="1" spans="1:52" ht="5.15" customHeight="1" thickBot="1" x14ac:dyDescent="0.4">
      <c r="A1" s="1254"/>
      <c r="B1" s="25"/>
      <c r="C1" s="25"/>
      <c r="D1" s="25"/>
      <c r="E1" s="25"/>
      <c r="F1" s="25"/>
      <c r="G1" s="25"/>
      <c r="H1" s="25"/>
      <c r="I1" s="25"/>
      <c r="J1" s="25"/>
      <c r="K1" s="25"/>
      <c r="L1" s="25"/>
      <c r="M1" s="25"/>
      <c r="N1" s="25"/>
      <c r="O1" s="81"/>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row>
    <row r="2" spans="1:52" ht="25.4" customHeight="1" thickTop="1" thickBot="1" x14ac:dyDescent="0.4">
      <c r="A2" s="1254"/>
      <c r="B2" s="306"/>
      <c r="C2" s="2199" t="s">
        <v>884</v>
      </c>
      <c r="D2" s="2200"/>
      <c r="E2" s="2201"/>
      <c r="F2" s="306"/>
      <c r="G2" s="81"/>
      <c r="H2" s="81"/>
      <c r="I2" s="81"/>
      <c r="J2" s="81"/>
      <c r="K2" s="81"/>
      <c r="L2" s="2208" t="s">
        <v>474</v>
      </c>
      <c r="M2" s="2208"/>
      <c r="N2" s="2208"/>
      <c r="O2" s="81"/>
      <c r="P2" s="81"/>
      <c r="Q2" s="81"/>
      <c r="R2" s="81"/>
      <c r="S2" s="81"/>
      <c r="T2" s="306"/>
      <c r="U2" s="2199" t="s">
        <v>885</v>
      </c>
      <c r="V2" s="2200"/>
      <c r="W2" s="2201"/>
      <c r="X2" s="279"/>
      <c r="Y2" s="81"/>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row>
    <row r="3" spans="1:52" ht="17.899999999999999" customHeight="1" thickTop="1" thickBot="1" x14ac:dyDescent="0.4">
      <c r="A3" s="1254"/>
      <c r="B3" s="306"/>
      <c r="C3" s="1274" t="s">
        <v>661</v>
      </c>
      <c r="D3" s="1275">
        <v>335</v>
      </c>
      <c r="E3" s="1276" t="s">
        <v>288</v>
      </c>
      <c r="F3" s="279"/>
      <c r="G3" s="268"/>
      <c r="H3" s="268"/>
      <c r="I3" s="268"/>
      <c r="J3" s="81"/>
      <c r="K3" s="81"/>
      <c r="L3" s="1941" t="str">
        <f>'C-FCL Real'!H3</f>
        <v>Versão 1.01   -   Maio de 2022</v>
      </c>
      <c r="M3" s="1941"/>
      <c r="N3" s="1941"/>
      <c r="O3" s="81"/>
      <c r="P3" s="81"/>
      <c r="Q3" s="81"/>
      <c r="R3" s="81"/>
      <c r="S3" s="81"/>
      <c r="T3" s="306"/>
      <c r="U3" s="1272" t="s">
        <v>656</v>
      </c>
      <c r="V3" s="1265">
        <v>335</v>
      </c>
      <c r="W3" s="1266" t="s">
        <v>288</v>
      </c>
      <c r="X3" s="279"/>
      <c r="Y3" s="81"/>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row>
    <row r="4" spans="1:52" ht="17.899999999999999" customHeight="1" thickBot="1" x14ac:dyDescent="0.4">
      <c r="A4" s="25"/>
      <c r="B4" s="306"/>
      <c r="C4" s="1277" t="s">
        <v>485</v>
      </c>
      <c r="D4" s="1278">
        <v>1</v>
      </c>
      <c r="E4" s="1279"/>
      <c r="F4" s="306"/>
      <c r="G4" s="81"/>
      <c r="H4" s="81"/>
      <c r="I4" s="81"/>
      <c r="J4" s="81"/>
      <c r="K4" s="81"/>
      <c r="L4" s="81"/>
      <c r="M4" s="81"/>
      <c r="N4" s="81"/>
      <c r="O4" s="81"/>
      <c r="P4" s="81"/>
      <c r="Q4" s="81"/>
      <c r="R4" s="81"/>
      <c r="S4" s="81"/>
      <c r="T4" s="306"/>
      <c r="U4" s="1280" t="s">
        <v>683</v>
      </c>
      <c r="V4" s="1281">
        <v>25</v>
      </c>
      <c r="W4" s="1282" t="s">
        <v>389</v>
      </c>
      <c r="X4" s="279"/>
      <c r="Y4" s="81"/>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row>
    <row r="5" spans="1:52" ht="17.899999999999999" customHeight="1" thickBot="1" x14ac:dyDescent="0.4">
      <c r="A5" s="25"/>
      <c r="B5" s="306"/>
      <c r="C5" s="1269" t="s">
        <v>683</v>
      </c>
      <c r="D5" s="1271">
        <v>25</v>
      </c>
      <c r="E5" s="1270" t="s">
        <v>389</v>
      </c>
      <c r="F5" s="306"/>
      <c r="G5" s="81"/>
      <c r="H5" s="81"/>
      <c r="I5" s="81"/>
      <c r="J5" s="81"/>
      <c r="K5" s="81"/>
      <c r="L5" s="81"/>
      <c r="M5" s="81"/>
      <c r="N5" s="81"/>
      <c r="O5" s="81"/>
      <c r="P5" s="81"/>
      <c r="Q5" s="81"/>
      <c r="R5" s="81"/>
      <c r="S5" s="81"/>
      <c r="T5" s="306"/>
      <c r="U5" s="1273" t="s">
        <v>485</v>
      </c>
      <c r="V5" s="1267">
        <v>1</v>
      </c>
      <c r="W5" s="1268"/>
      <c r="X5" s="279"/>
      <c r="Y5" s="81"/>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row>
    <row r="6" spans="1:52" ht="17.149999999999999" customHeight="1" thickTop="1" x14ac:dyDescent="0.35">
      <c r="A6" s="25"/>
      <c r="B6" s="306"/>
      <c r="C6" s="280"/>
      <c r="D6" s="279"/>
      <c r="E6" s="306"/>
      <c r="F6" s="306"/>
      <c r="G6" s="81"/>
      <c r="H6" s="81"/>
      <c r="I6" s="81"/>
      <c r="J6" s="81"/>
      <c r="K6" s="81"/>
      <c r="L6" s="81"/>
      <c r="M6" s="81"/>
      <c r="N6" s="81"/>
      <c r="O6" s="81"/>
      <c r="P6" s="81"/>
      <c r="Q6" s="81"/>
      <c r="R6" s="81"/>
      <c r="S6" s="81"/>
      <c r="T6" s="306"/>
      <c r="U6" s="280"/>
      <c r="V6" s="279"/>
      <c r="W6" s="279"/>
      <c r="X6" s="279"/>
      <c r="Y6" s="81"/>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row>
    <row r="7" spans="1:52" ht="20.149999999999999" customHeight="1" x14ac:dyDescent="0.35">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ht="20.149999999999999" customHeight="1" x14ac:dyDescent="0.5">
      <c r="A8" s="25"/>
      <c r="B8" s="25"/>
      <c r="C8" s="25"/>
      <c r="D8" s="25"/>
      <c r="E8" s="25"/>
      <c r="F8" s="25"/>
      <c r="G8" s="25"/>
      <c r="H8" s="25"/>
      <c r="I8" s="25"/>
      <c r="J8" s="25"/>
      <c r="K8" s="25"/>
      <c r="L8" s="25"/>
      <c r="M8" s="25"/>
      <c r="N8" s="865"/>
      <c r="O8" s="25"/>
      <c r="P8" s="25"/>
      <c r="Q8" s="25"/>
      <c r="R8" s="25"/>
      <c r="S8" s="25"/>
      <c r="T8" s="25"/>
      <c r="U8" s="25"/>
      <c r="V8" s="25"/>
      <c r="W8" s="25"/>
      <c r="X8" s="25"/>
      <c r="Y8" s="25"/>
      <c r="Z8" s="25"/>
      <c r="AA8" s="25"/>
      <c r="AB8" s="25"/>
      <c r="AC8" s="25"/>
      <c r="AD8" s="25"/>
      <c r="AE8" s="25"/>
      <c r="AF8" s="25"/>
      <c r="AG8" s="25"/>
      <c r="AH8" s="2206" t="s">
        <v>956</v>
      </c>
      <c r="AI8" s="2207"/>
      <c r="AJ8" s="2207"/>
      <c r="AK8" s="2207"/>
      <c r="AL8" s="2207"/>
      <c r="AM8" s="2207"/>
      <c r="AN8" s="2207"/>
      <c r="AO8" s="2207"/>
      <c r="AP8" s="2207"/>
      <c r="AQ8" s="65"/>
      <c r="AR8" s="2202" t="s">
        <v>1020</v>
      </c>
      <c r="AS8" s="2203"/>
      <c r="AT8" s="2203"/>
      <c r="AU8" s="2203"/>
      <c r="AV8" s="2203"/>
      <c r="AW8" s="2203"/>
      <c r="AX8" s="2203"/>
      <c r="AY8" s="2203"/>
      <c r="AZ8" s="2203"/>
    </row>
    <row r="9" spans="1:52" ht="20.149999999999999" customHeight="1" x14ac:dyDescent="0.5">
      <c r="A9" s="25"/>
      <c r="B9" s="25"/>
      <c r="C9" s="25"/>
      <c r="D9" s="25"/>
      <c r="E9" s="25"/>
      <c r="F9" s="25"/>
      <c r="G9" s="25"/>
      <c r="H9" s="25"/>
      <c r="I9" s="25"/>
      <c r="J9" s="25"/>
      <c r="K9" s="25"/>
      <c r="L9" s="25"/>
      <c r="M9" s="25"/>
      <c r="N9" s="865"/>
      <c r="O9" s="25"/>
      <c r="P9" s="25"/>
      <c r="Q9" s="25"/>
      <c r="R9" s="25"/>
      <c r="S9" s="25"/>
      <c r="T9" s="25"/>
      <c r="U9" s="25"/>
      <c r="V9" s="25"/>
      <c r="W9" s="25"/>
      <c r="X9" s="25"/>
      <c r="Y9" s="25"/>
      <c r="Z9" s="25"/>
      <c r="AA9" s="25"/>
      <c r="AB9" s="25"/>
      <c r="AC9" s="25"/>
      <c r="AD9" s="25"/>
      <c r="AE9" s="25"/>
      <c r="AF9" s="25"/>
      <c r="AG9" s="25"/>
      <c r="AH9" s="862"/>
      <c r="AI9" s="2204" t="s">
        <v>391</v>
      </c>
      <c r="AJ9" s="2205"/>
      <c r="AK9" s="2205"/>
      <c r="AL9" s="2205"/>
      <c r="AM9" s="2204" t="s">
        <v>392</v>
      </c>
      <c r="AN9" s="2205"/>
      <c r="AO9" s="2205"/>
      <c r="AP9" s="2205"/>
      <c r="AQ9" s="65"/>
      <c r="AR9" s="864"/>
      <c r="AS9" s="2204" t="s">
        <v>391</v>
      </c>
      <c r="AT9" s="2205"/>
      <c r="AU9" s="2205"/>
      <c r="AV9" s="2205"/>
      <c r="AW9" s="2204" t="s">
        <v>392</v>
      </c>
      <c r="AX9" s="2205"/>
      <c r="AY9" s="2205"/>
      <c r="AZ9" s="2205"/>
    </row>
    <row r="10" spans="1:52" ht="20.149999999999999" customHeight="1" x14ac:dyDescent="0.35">
      <c r="A10" s="25"/>
      <c r="B10" s="25"/>
      <c r="C10" s="25"/>
      <c r="D10" s="25"/>
      <c r="E10" s="25"/>
      <c r="F10" s="25"/>
      <c r="G10" s="25"/>
      <c r="H10" s="25"/>
      <c r="I10" s="25"/>
      <c r="J10" s="25"/>
      <c r="K10" s="25"/>
      <c r="L10" s="25"/>
      <c r="M10" s="25"/>
      <c r="N10" s="865"/>
      <c r="O10" s="25"/>
      <c r="P10" s="25"/>
      <c r="Q10" s="25"/>
      <c r="R10" s="25"/>
      <c r="S10" s="25"/>
      <c r="T10" s="25"/>
      <c r="U10" s="25"/>
      <c r="V10" s="25"/>
      <c r="W10" s="25"/>
      <c r="X10" s="25"/>
      <c r="Y10" s="25"/>
      <c r="Z10" s="25"/>
      <c r="AA10" s="25"/>
      <c r="AB10" s="25"/>
      <c r="AC10" s="25"/>
      <c r="AD10" s="25"/>
      <c r="AE10" s="25"/>
      <c r="AF10" s="25"/>
      <c r="AG10" s="25"/>
      <c r="AH10" s="310" t="s">
        <v>656</v>
      </c>
      <c r="AI10" s="310" t="s">
        <v>491</v>
      </c>
      <c r="AJ10" s="310" t="s">
        <v>490</v>
      </c>
      <c r="AK10" s="310" t="s">
        <v>489</v>
      </c>
      <c r="AL10" s="310" t="s">
        <v>777</v>
      </c>
      <c r="AM10" s="310" t="s">
        <v>488</v>
      </c>
      <c r="AN10" s="310" t="s">
        <v>487</v>
      </c>
      <c r="AO10" s="310" t="s">
        <v>486</v>
      </c>
      <c r="AP10" s="310" t="s">
        <v>778</v>
      </c>
      <c r="AQ10" s="66"/>
      <c r="AR10" s="310" t="s">
        <v>426</v>
      </c>
      <c r="AS10" s="310" t="s">
        <v>491</v>
      </c>
      <c r="AT10" s="310" t="s">
        <v>490</v>
      </c>
      <c r="AU10" s="310" t="s">
        <v>489</v>
      </c>
      <c r="AV10" s="310" t="s">
        <v>777</v>
      </c>
      <c r="AW10" s="310" t="s">
        <v>488</v>
      </c>
      <c r="AX10" s="310" t="s">
        <v>487</v>
      </c>
      <c r="AY10" s="310" t="s">
        <v>486</v>
      </c>
      <c r="AZ10" s="310" t="s">
        <v>778</v>
      </c>
    </row>
    <row r="11" spans="1:52" ht="20.149999999999999" customHeight="1" x14ac:dyDescent="0.35">
      <c r="A11" s="25"/>
      <c r="B11" s="25"/>
      <c r="C11" s="25"/>
      <c r="D11" s="25"/>
      <c r="E11" s="25"/>
      <c r="F11" s="25"/>
      <c r="G11" s="25"/>
      <c r="H11" s="25"/>
      <c r="I11" s="25"/>
      <c r="J11" s="25"/>
      <c r="K11" s="25"/>
      <c r="L11" s="25"/>
      <c r="M11" s="25"/>
      <c r="N11" s="865"/>
      <c r="O11" s="25"/>
      <c r="P11" s="25"/>
      <c r="Q11" s="25"/>
      <c r="R11" s="25"/>
      <c r="S11" s="25"/>
      <c r="T11" s="25"/>
      <c r="U11" s="25"/>
      <c r="V11" s="25"/>
      <c r="W11" s="25"/>
      <c r="X11" s="25"/>
      <c r="Y11" s="25"/>
      <c r="Z11" s="25"/>
      <c r="AA11" s="25"/>
      <c r="AB11" s="25"/>
      <c r="AC11" s="25"/>
      <c r="AD11" s="25"/>
      <c r="AE11" s="25"/>
      <c r="AF11" s="25"/>
      <c r="AG11" s="25"/>
      <c r="AH11" s="863">
        <v>325</v>
      </c>
      <c r="AI11" s="307">
        <v>-151.11140148446833</v>
      </c>
      <c r="AJ11" s="308">
        <v>-1.1352795657674775E-2</v>
      </c>
      <c r="AK11" s="307">
        <v>29.687424426859124</v>
      </c>
      <c r="AL11" s="309">
        <v>0.91820263960237181</v>
      </c>
      <c r="AM11" s="307">
        <v>-707.45329072047286</v>
      </c>
      <c r="AN11" s="308">
        <v>-9.1650444106812889E-2</v>
      </c>
      <c r="AO11" s="307">
        <v>42.428997656470976</v>
      </c>
      <c r="AP11" s="309">
        <v>-0.27649339531578349</v>
      </c>
      <c r="AQ11" s="66"/>
      <c r="AR11" s="863">
        <v>15</v>
      </c>
      <c r="AS11" s="307">
        <v>-471.26007962275366</v>
      </c>
      <c r="AT11" s="308">
        <v>-6.7463586682894539E-2</v>
      </c>
      <c r="AU11" s="307">
        <v>26.116451118514554</v>
      </c>
      <c r="AV11" s="309">
        <v>0.73385126294371339</v>
      </c>
      <c r="AW11" s="307">
        <v>-740.41452577467135</v>
      </c>
      <c r="AX11" s="308" t="e">
        <v>#NUM!</v>
      </c>
      <c r="AY11" s="307">
        <v>37.543641422648562</v>
      </c>
      <c r="AZ11" s="309">
        <v>-0.39385447267820278</v>
      </c>
    </row>
    <row r="12" spans="1:52" ht="20.149999999999999" customHeight="1" x14ac:dyDescent="0.35">
      <c r="A12" s="25"/>
      <c r="B12" s="25"/>
      <c r="C12" s="25"/>
      <c r="D12" s="25"/>
      <c r="E12" s="25"/>
      <c r="F12" s="25"/>
      <c r="G12" s="25"/>
      <c r="H12" s="25"/>
      <c r="I12" s="25"/>
      <c r="J12" s="25"/>
      <c r="K12" s="25"/>
      <c r="L12" s="25"/>
      <c r="M12" s="25"/>
      <c r="N12" s="865"/>
      <c r="O12" s="25"/>
      <c r="P12" s="25"/>
      <c r="Q12" s="25"/>
      <c r="R12" s="25"/>
      <c r="S12" s="25"/>
      <c r="T12" s="25"/>
      <c r="U12" s="25"/>
      <c r="V12" s="25"/>
      <c r="W12" s="25"/>
      <c r="X12" s="25"/>
      <c r="Y12" s="25"/>
      <c r="Z12" s="25"/>
      <c r="AA12" s="25"/>
      <c r="AB12" s="25"/>
      <c r="AC12" s="25"/>
      <c r="AD12" s="25"/>
      <c r="AE12" s="25"/>
      <c r="AF12" s="25"/>
      <c r="AG12" s="25"/>
      <c r="AH12" s="863">
        <v>326</v>
      </c>
      <c r="AI12" s="307">
        <v>-136.54273184015744</v>
      </c>
      <c r="AJ12" s="308">
        <v>-1.0224046088343708E-2</v>
      </c>
      <c r="AK12" s="307">
        <v>29.286975652775681</v>
      </c>
      <c r="AL12" s="309">
        <v>0.92608873363434452</v>
      </c>
      <c r="AM12" s="307">
        <v>-692.88462107616328</v>
      </c>
      <c r="AN12" s="308">
        <v>-8.9110295698342168E-2</v>
      </c>
      <c r="AO12" s="307">
        <v>41.883983449303727</v>
      </c>
      <c r="AP12" s="309">
        <v>-0.25020641520921039</v>
      </c>
      <c r="AQ12" s="66"/>
      <c r="AR12" s="863">
        <v>16</v>
      </c>
      <c r="AS12" s="307">
        <v>-424.67654216461483</v>
      </c>
      <c r="AT12" s="308">
        <v>-5.5870723216945084E-2</v>
      </c>
      <c r="AU12" s="307">
        <v>26.116451118514554</v>
      </c>
      <c r="AV12" s="309">
        <v>0.76119451565632201</v>
      </c>
      <c r="AW12" s="307">
        <v>-735.2537752788088</v>
      </c>
      <c r="AX12" s="308" t="e">
        <v>#NUM!</v>
      </c>
      <c r="AY12" s="307">
        <v>37.543641422648562</v>
      </c>
      <c r="AZ12" s="309">
        <v>-0.378167589431816</v>
      </c>
    </row>
    <row r="13" spans="1:52" ht="20.149999999999999" customHeight="1" x14ac:dyDescent="0.35">
      <c r="A13" s="25"/>
      <c r="B13" s="25"/>
      <c r="C13" s="25"/>
      <c r="D13" s="25"/>
      <c r="E13" s="25"/>
      <c r="F13" s="25"/>
      <c r="G13" s="25"/>
      <c r="H13" s="25"/>
      <c r="I13" s="25"/>
      <c r="J13" s="25"/>
      <c r="K13" s="25"/>
      <c r="L13" s="25"/>
      <c r="M13" s="25"/>
      <c r="N13" s="865"/>
      <c r="O13" s="25"/>
      <c r="P13" s="25"/>
      <c r="Q13" s="25"/>
      <c r="R13" s="25"/>
      <c r="S13" s="25"/>
      <c r="T13" s="25"/>
      <c r="U13" s="25"/>
      <c r="V13" s="25"/>
      <c r="W13" s="25"/>
      <c r="X13" s="25"/>
      <c r="Y13" s="25"/>
      <c r="Z13" s="25"/>
      <c r="AA13" s="25"/>
      <c r="AB13" s="25"/>
      <c r="AC13" s="25"/>
      <c r="AD13" s="25"/>
      <c r="AE13" s="25"/>
      <c r="AF13" s="25"/>
      <c r="AG13" s="25"/>
      <c r="AH13" s="863">
        <v>327</v>
      </c>
      <c r="AI13" s="307">
        <v>-121.97406219584718</v>
      </c>
      <c r="AJ13" s="308">
        <v>-9.1032092127221187E-3</v>
      </c>
      <c r="AK13" s="307">
        <v>28.897186270906072</v>
      </c>
      <c r="AL13" s="309">
        <v>0.93397482766631668</v>
      </c>
      <c r="AM13" s="307">
        <v>-678.3159514318528</v>
      </c>
      <c r="AN13" s="308">
        <v>-8.6620221790744356E-2</v>
      </c>
      <c r="AO13" s="307">
        <v>41.352793433694679</v>
      </c>
      <c r="AP13" s="309">
        <v>-0.22391943510263571</v>
      </c>
      <c r="AQ13" s="66"/>
      <c r="AR13" s="863">
        <v>17</v>
      </c>
      <c r="AS13" s="307">
        <v>-378.09300470647599</v>
      </c>
      <c r="AT13" s="308">
        <v>-4.5934059310448472E-2</v>
      </c>
      <c r="AU13" s="307">
        <v>26.116451118514554</v>
      </c>
      <c r="AV13" s="309">
        <v>0.78830284748273305</v>
      </c>
      <c r="AW13" s="307">
        <v>-727.77256407370578</v>
      </c>
      <c r="AX13" s="308" t="e">
        <v>#NUM!</v>
      </c>
      <c r="AY13" s="307">
        <v>37.543641422648562</v>
      </c>
      <c r="AZ13" s="309">
        <v>-0.35828466873470827</v>
      </c>
    </row>
    <row r="14" spans="1:52" ht="20.149999999999999" customHeight="1" x14ac:dyDescent="0.35">
      <c r="A14" s="25"/>
      <c r="B14" s="25"/>
      <c r="C14" s="25"/>
      <c r="D14" s="25"/>
      <c r="E14" s="25"/>
      <c r="F14" s="25"/>
      <c r="G14" s="25"/>
      <c r="H14" s="25"/>
      <c r="I14" s="25"/>
      <c r="J14" s="25"/>
      <c r="K14" s="25"/>
      <c r="L14" s="25"/>
      <c r="M14" s="25"/>
      <c r="N14" s="865"/>
      <c r="O14" s="25"/>
      <c r="P14" s="25"/>
      <c r="Q14" s="25"/>
      <c r="R14" s="25"/>
      <c r="S14" s="25"/>
      <c r="T14" s="25"/>
      <c r="U14" s="25"/>
      <c r="V14" s="25"/>
      <c r="W14" s="25"/>
      <c r="X14" s="25"/>
      <c r="Y14" s="25"/>
      <c r="Z14" s="25"/>
      <c r="AA14" s="25"/>
      <c r="AB14" s="25"/>
      <c r="AC14" s="25"/>
      <c r="AD14" s="25"/>
      <c r="AE14" s="25"/>
      <c r="AF14" s="25"/>
      <c r="AG14" s="25"/>
      <c r="AH14" s="863">
        <v>328</v>
      </c>
      <c r="AI14" s="307">
        <v>-107.40539255153703</v>
      </c>
      <c r="AJ14" s="308">
        <v>-7.9900518640394491E-3</v>
      </c>
      <c r="AK14" s="307">
        <v>28.517636263984571</v>
      </c>
      <c r="AL14" s="309">
        <v>0.94186092169828894</v>
      </c>
      <c r="AM14" s="307">
        <v>-663.74728178754219</v>
      </c>
      <c r="AN14" s="308">
        <v>-8.4177685514567946E-2</v>
      </c>
      <c r="AO14" s="307">
        <v>40.834908224343984</v>
      </c>
      <c r="AP14" s="309">
        <v>-0.19763245499606077</v>
      </c>
      <c r="AQ14" s="66"/>
      <c r="AR14" s="863">
        <v>18</v>
      </c>
      <c r="AS14" s="307">
        <v>-331.50946724833716</v>
      </c>
      <c r="AT14" s="308">
        <v>-3.7352091233017859E-2</v>
      </c>
      <c r="AU14" s="307">
        <v>26.116451118514554</v>
      </c>
      <c r="AV14" s="309">
        <v>0.81517927297445092</v>
      </c>
      <c r="AW14" s="307">
        <v>-717.97089215936228</v>
      </c>
      <c r="AX14" s="308" t="e">
        <v>#NUM!</v>
      </c>
      <c r="AY14" s="307">
        <v>37.543641422648562</v>
      </c>
      <c r="AZ14" s="309">
        <v>-0.33425955497345039</v>
      </c>
    </row>
    <row r="15" spans="1:52" ht="20.149999999999999" customHeight="1" x14ac:dyDescent="0.35">
      <c r="A15" s="25"/>
      <c r="B15" s="25"/>
      <c r="C15" s="25"/>
      <c r="D15" s="25"/>
      <c r="E15" s="25"/>
      <c r="F15" s="25"/>
      <c r="G15" s="25"/>
      <c r="H15" s="25"/>
      <c r="I15" s="25"/>
      <c r="J15" s="25"/>
      <c r="K15" s="25"/>
      <c r="L15" s="25"/>
      <c r="M15" s="25"/>
      <c r="N15" s="865"/>
      <c r="O15" s="25"/>
      <c r="P15" s="25"/>
      <c r="Q15" s="25"/>
      <c r="R15" s="25"/>
      <c r="S15" s="25"/>
      <c r="T15" s="25"/>
      <c r="U15" s="25"/>
      <c r="V15" s="25"/>
      <c r="W15" s="25"/>
      <c r="X15" s="25"/>
      <c r="Y15" s="25"/>
      <c r="Z15" s="25"/>
      <c r="AA15" s="25"/>
      <c r="AB15" s="25"/>
      <c r="AC15" s="25"/>
      <c r="AD15" s="25"/>
      <c r="AE15" s="25"/>
      <c r="AF15" s="25"/>
      <c r="AG15" s="25"/>
      <c r="AH15" s="863">
        <v>329</v>
      </c>
      <c r="AI15" s="307">
        <v>-92.836722907227568</v>
      </c>
      <c r="AJ15" s="308">
        <v>-6.8843494851573706E-3</v>
      </c>
      <c r="AK15" s="307">
        <v>28.147927395527926</v>
      </c>
      <c r="AL15" s="309">
        <v>0.94974701573026077</v>
      </c>
      <c r="AM15" s="307">
        <v>-649.17861214323261</v>
      </c>
      <c r="AN15" s="308">
        <v>-8.1780314562026502E-2</v>
      </c>
      <c r="AO15" s="307">
        <v>40.329834132403228</v>
      </c>
      <c r="AP15" s="309">
        <v>-0.1713454748894877</v>
      </c>
      <c r="AQ15" s="66"/>
      <c r="AR15" s="863">
        <v>19</v>
      </c>
      <c r="AS15" s="307">
        <v>-284.92592979019832</v>
      </c>
      <c r="AT15" s="308">
        <v>-2.9889519946278753E-2</v>
      </c>
      <c r="AU15" s="307">
        <v>26.116451118514554</v>
      </c>
      <c r="AV15" s="309">
        <v>0.84182675532489371</v>
      </c>
      <c r="AW15" s="307">
        <v>-705.84875953577819</v>
      </c>
      <c r="AX15" s="308">
        <v>-0.18236713714822428</v>
      </c>
      <c r="AY15" s="307">
        <v>37.543641422648562</v>
      </c>
      <c r="AZ15" s="309">
        <v>-0.306145175202581</v>
      </c>
    </row>
    <row r="16" spans="1:52" ht="20.149999999999999" customHeight="1" x14ac:dyDescent="0.35">
      <c r="A16" s="25"/>
      <c r="B16" s="25"/>
      <c r="C16" s="25"/>
      <c r="D16" s="25"/>
      <c r="E16" s="25"/>
      <c r="F16" s="25"/>
      <c r="G16" s="25"/>
      <c r="H16" s="25"/>
      <c r="I16" s="25"/>
      <c r="J16" s="25"/>
      <c r="K16" s="25"/>
      <c r="L16" s="25"/>
      <c r="M16" s="25"/>
      <c r="N16" s="865"/>
      <c r="O16" s="25"/>
      <c r="P16" s="25"/>
      <c r="Q16" s="25"/>
      <c r="R16" s="25"/>
      <c r="S16" s="25"/>
      <c r="T16" s="25"/>
      <c r="U16" s="25"/>
      <c r="V16" s="25"/>
      <c r="W16" s="25"/>
      <c r="X16" s="25"/>
      <c r="Y16" s="25"/>
      <c r="Z16" s="25"/>
      <c r="AA16" s="25"/>
      <c r="AB16" s="25"/>
      <c r="AC16" s="25"/>
      <c r="AD16" s="25"/>
      <c r="AE16" s="25"/>
      <c r="AF16" s="25"/>
      <c r="AG16" s="25"/>
      <c r="AH16" s="863">
        <v>330</v>
      </c>
      <c r="AI16" s="307">
        <v>-78.268053262916482</v>
      </c>
      <c r="AJ16" s="308">
        <v>-5.7858856166388417E-3</v>
      </c>
      <c r="AK16" s="307">
        <v>27.787681816050451</v>
      </c>
      <c r="AL16" s="309">
        <v>0.95763310976223348</v>
      </c>
      <c r="AM16" s="307">
        <v>-634.6099424989219</v>
      </c>
      <c r="AN16" s="308">
        <v>-7.9425887957161878E-2</v>
      </c>
      <c r="AO16" s="307">
        <v>39.837101595734417</v>
      </c>
      <c r="AP16" s="309">
        <v>-0.14505849478291261</v>
      </c>
      <c r="AQ16" s="66"/>
      <c r="AR16" s="863">
        <v>20</v>
      </c>
      <c r="AS16" s="307">
        <v>-238.34239233205949</v>
      </c>
      <c r="AT16" s="308">
        <v>-2.3360418513276415E-2</v>
      </c>
      <c r="AU16" s="307">
        <v>26.116451118514554</v>
      </c>
      <c r="AV16" s="309">
        <v>0.86824820745847153</v>
      </c>
      <c r="AW16" s="307">
        <v>-691.40616620295361</v>
      </c>
      <c r="AX16" s="308">
        <v>-0.15592682442771466</v>
      </c>
      <c r="AY16" s="307">
        <v>37.543641422648562</v>
      </c>
      <c r="AZ16" s="309">
        <v>-0.273993558597173</v>
      </c>
    </row>
    <row r="17" spans="1:52" ht="20.149999999999999" customHeight="1" x14ac:dyDescent="0.35">
      <c r="A17" s="25"/>
      <c r="B17" s="25"/>
      <c r="C17" s="25"/>
      <c r="D17" s="25"/>
      <c r="E17" s="25"/>
      <c r="F17" s="25"/>
      <c r="G17" s="25"/>
      <c r="H17" s="25"/>
      <c r="I17" s="25"/>
      <c r="J17" s="25"/>
      <c r="K17" s="25"/>
      <c r="L17" s="25"/>
      <c r="M17" s="25"/>
      <c r="N17" s="865"/>
      <c r="O17" s="25"/>
      <c r="P17" s="25"/>
      <c r="Q17" s="25"/>
      <c r="R17" s="25"/>
      <c r="S17" s="25"/>
      <c r="T17" s="25"/>
      <c r="U17" s="25"/>
      <c r="V17" s="25"/>
      <c r="W17" s="25"/>
      <c r="X17" s="25"/>
      <c r="Y17" s="25"/>
      <c r="Z17" s="25"/>
      <c r="AA17" s="25"/>
      <c r="AB17" s="25"/>
      <c r="AC17" s="25"/>
      <c r="AD17" s="25"/>
      <c r="AE17" s="25"/>
      <c r="AF17" s="25"/>
      <c r="AG17" s="25"/>
      <c r="AH17" s="863">
        <v>331</v>
      </c>
      <c r="AI17" s="307">
        <v>-63.699383618606355</v>
      </c>
      <c r="AJ17" s="308">
        <v>-4.6944515542332033E-3</v>
      </c>
      <c r="AK17" s="307">
        <v>27.436540774955521</v>
      </c>
      <c r="AL17" s="309">
        <v>0.96551920379420564</v>
      </c>
      <c r="AM17" s="307">
        <v>-620.04127285461118</v>
      </c>
      <c r="AN17" s="308">
        <v>-7.7112324029423696E-2</v>
      </c>
      <c r="AO17" s="307">
        <v>39.356263722850983</v>
      </c>
      <c r="AP17" s="309">
        <v>-0.11877151467633748</v>
      </c>
      <c r="AQ17" s="66"/>
      <c r="AR17" s="863">
        <v>21</v>
      </c>
      <c r="AS17" s="307">
        <v>-191.75885487392065</v>
      </c>
      <c r="AT17" s="308">
        <v>-1.7616213364513467E-2</v>
      </c>
      <c r="AU17" s="307">
        <v>26.116451118514554</v>
      </c>
      <c r="AV17" s="309">
        <v>0.8944464930920687</v>
      </c>
      <c r="AW17" s="307">
        <v>-674.64311216088856</v>
      </c>
      <c r="AX17" s="308">
        <v>-0.13430351239291871</v>
      </c>
      <c r="AY17" s="307">
        <v>37.543641422648562</v>
      </c>
      <c r="AZ17" s="309">
        <v>-0.23785585541248497</v>
      </c>
    </row>
    <row r="18" spans="1:52" ht="20.149999999999999" customHeight="1" x14ac:dyDescent="0.35">
      <c r="A18" s="25"/>
      <c r="B18" s="25"/>
      <c r="C18" s="25"/>
      <c r="D18" s="25"/>
      <c r="E18" s="25"/>
      <c r="F18" s="25"/>
      <c r="G18" s="25"/>
      <c r="H18" s="25"/>
      <c r="I18" s="25"/>
      <c r="J18" s="25"/>
      <c r="K18" s="25"/>
      <c r="L18" s="25"/>
      <c r="M18" s="25"/>
      <c r="N18" s="865"/>
      <c r="O18" s="25"/>
      <c r="P18" s="25"/>
      <c r="Q18" s="25"/>
      <c r="R18" s="25"/>
      <c r="S18" s="25"/>
      <c r="T18" s="25"/>
      <c r="U18" s="25"/>
      <c r="V18" s="25"/>
      <c r="W18" s="25"/>
      <c r="X18" s="25"/>
      <c r="Y18" s="25"/>
      <c r="Z18" s="25"/>
      <c r="AA18" s="25"/>
      <c r="AB18" s="25"/>
      <c r="AC18" s="25"/>
      <c r="AD18" s="25"/>
      <c r="AE18" s="25"/>
      <c r="AF18" s="25"/>
      <c r="AG18" s="25"/>
      <c r="AH18" s="863">
        <v>332</v>
      </c>
      <c r="AI18" s="307">
        <v>-49.130713974296533</v>
      </c>
      <c r="AJ18" s="308">
        <v>-3.6098459333822053E-3</v>
      </c>
      <c r="AK18" s="307">
        <v>27.094163428871372</v>
      </c>
      <c r="AL18" s="309">
        <v>0.9734052978261778</v>
      </c>
      <c r="AM18" s="307">
        <v>-605.47260321030137</v>
      </c>
      <c r="AN18" s="308">
        <v>-7.4837669504062121E-2</v>
      </c>
      <c r="AO18" s="307">
        <v>38.88689494104942</v>
      </c>
      <c r="AP18" s="309">
        <v>-9.2484534569763993E-2</v>
      </c>
      <c r="AQ18" s="66"/>
      <c r="AR18" s="863">
        <v>22</v>
      </c>
      <c r="AS18" s="307">
        <v>-145.17531741578182</v>
      </c>
      <c r="AT18" s="308">
        <v>-1.2536963084547659E-2</v>
      </c>
      <c r="AU18" s="307">
        <v>26.116451118514554</v>
      </c>
      <c r="AV18" s="309">
        <v>0.92042442776974165</v>
      </c>
      <c r="AW18" s="307">
        <v>-655.55959740958303</v>
      </c>
      <c r="AX18" s="308">
        <v>-0.11620978540358207</v>
      </c>
      <c r="AY18" s="307">
        <v>37.543641422648562</v>
      </c>
      <c r="AZ18" s="309">
        <v>-0.19778235546521097</v>
      </c>
    </row>
    <row r="19" spans="1:52" ht="20.149999999999999" customHeight="1" x14ac:dyDescent="0.35">
      <c r="A19" s="25"/>
      <c r="B19" s="25"/>
      <c r="C19" s="25"/>
      <c r="D19" s="25"/>
      <c r="E19" s="25"/>
      <c r="F19" s="25"/>
      <c r="G19" s="25"/>
      <c r="H19" s="25"/>
      <c r="I19" s="25"/>
      <c r="J19" s="25"/>
      <c r="K19" s="25"/>
      <c r="L19" s="25"/>
      <c r="M19" s="25"/>
      <c r="N19" s="865"/>
      <c r="O19" s="25"/>
      <c r="P19" s="25"/>
      <c r="Q19" s="25"/>
      <c r="R19" s="25"/>
      <c r="S19" s="25"/>
      <c r="T19" s="25"/>
      <c r="U19" s="25"/>
      <c r="V19" s="25"/>
      <c r="W19" s="25"/>
      <c r="X19" s="25"/>
      <c r="Y19" s="25"/>
      <c r="Z19" s="25"/>
      <c r="AA19" s="25"/>
      <c r="AB19" s="25"/>
      <c r="AC19" s="25"/>
      <c r="AD19" s="25"/>
      <c r="AE19" s="25"/>
      <c r="AF19" s="25"/>
      <c r="AG19" s="25"/>
      <c r="AH19" s="863">
        <v>333</v>
      </c>
      <c r="AI19" s="307">
        <v>-34.562044329985326</v>
      </c>
      <c r="AJ19" s="308">
        <v>-2.5318743870719196E-3</v>
      </c>
      <c r="AK19" s="307">
        <v>26.760225738111508</v>
      </c>
      <c r="AL19" s="309">
        <v>0.98129139185815051</v>
      </c>
      <c r="AM19" s="307">
        <v>-590.90393356599122</v>
      </c>
      <c r="AN19" s="308">
        <v>-7.2600089542928403E-2</v>
      </c>
      <c r="AO19" s="307">
        <v>38.428589740136552</v>
      </c>
      <c r="AP19" s="309">
        <v>-6.6197554463189909E-2</v>
      </c>
      <c r="AQ19" s="66"/>
      <c r="AR19" s="863">
        <v>23</v>
      </c>
      <c r="AS19" s="307">
        <v>-98.591779957642984</v>
      </c>
      <c r="AT19" s="308">
        <v>-8.0249362006526992E-3</v>
      </c>
      <c r="AU19" s="307">
        <v>26.116451118514554</v>
      </c>
      <c r="AV19" s="309">
        <v>0.94618477987141769</v>
      </c>
      <c r="AW19" s="307">
        <v>-634.15562194903703</v>
      </c>
      <c r="AX19" s="308">
        <v>-0.10081677851818283</v>
      </c>
      <c r="AY19" s="307">
        <v>37.543641422648562</v>
      </c>
      <c r="AZ19" s="309">
        <v>-0.15382250615035153</v>
      </c>
    </row>
    <row r="20" spans="1:52" ht="20.149999999999999" customHeight="1" x14ac:dyDescent="0.35">
      <c r="A20" s="25"/>
      <c r="B20" s="25"/>
      <c r="C20" s="25"/>
      <c r="D20" s="25"/>
      <c r="E20" s="25"/>
      <c r="F20" s="25"/>
      <c r="G20" s="25"/>
      <c r="H20" s="25"/>
      <c r="I20" s="25"/>
      <c r="J20" s="25"/>
      <c r="K20" s="25"/>
      <c r="L20" s="25"/>
      <c r="M20" s="25"/>
      <c r="N20" s="865"/>
      <c r="O20" s="25"/>
      <c r="P20" s="25"/>
      <c r="Q20" s="25"/>
      <c r="R20" s="25"/>
      <c r="S20" s="25"/>
      <c r="T20" s="25"/>
      <c r="U20" s="25"/>
      <c r="V20" s="25"/>
      <c r="W20" s="25"/>
      <c r="X20" s="25"/>
      <c r="Y20" s="25"/>
      <c r="Z20" s="25"/>
      <c r="AA20" s="25"/>
      <c r="AB20" s="25"/>
      <c r="AC20" s="25"/>
      <c r="AD20" s="25"/>
      <c r="AE20" s="25"/>
      <c r="AF20" s="25"/>
      <c r="AG20" s="25"/>
      <c r="AH20" s="863">
        <v>334</v>
      </c>
      <c r="AI20" s="307">
        <v>-19.993374685675818</v>
      </c>
      <c r="AJ20" s="308">
        <v>-1.4603491958589121E-3</v>
      </c>
      <c r="AK20" s="307">
        <v>26.434419443748641</v>
      </c>
      <c r="AL20" s="309">
        <v>0.98917748589012233</v>
      </c>
      <c r="AM20" s="307">
        <v>-576.33526392168119</v>
      </c>
      <c r="AN20" s="308">
        <v>-7.0397858698543425E-2</v>
      </c>
      <c r="AO20" s="307">
        <v>37.980961503957708</v>
      </c>
      <c r="AP20" s="309">
        <v>-3.9910574356616019E-2</v>
      </c>
      <c r="AQ20" s="66"/>
      <c r="AR20" s="863">
        <v>24</v>
      </c>
      <c r="AS20" s="307">
        <v>-52.008242499504149</v>
      </c>
      <c r="AT20" s="308">
        <v>-3.9998180268847605E-3</v>
      </c>
      <c r="AU20" s="307">
        <v>26.116451118514554</v>
      </c>
      <c r="AV20" s="309">
        <v>0.97173027159635494</v>
      </c>
      <c r="AW20" s="307">
        <v>-610.43118577925043</v>
      </c>
      <c r="AX20" s="308">
        <v>-8.7554879994907298E-2</v>
      </c>
      <c r="AY20" s="307">
        <v>37.543641422648562</v>
      </c>
      <c r="AZ20" s="309">
        <v>-0.10602493000726242</v>
      </c>
    </row>
    <row r="21" spans="1:52" ht="20.149999999999999" customHeight="1" x14ac:dyDescent="0.35">
      <c r="A21" s="25"/>
      <c r="B21" s="25"/>
      <c r="C21" s="25"/>
      <c r="D21" s="25"/>
      <c r="E21" s="25"/>
      <c r="F21" s="25"/>
      <c r="G21" s="25"/>
      <c r="H21" s="25"/>
      <c r="I21" s="25"/>
      <c r="J21" s="25"/>
      <c r="K21" s="25"/>
      <c r="L21" s="25"/>
      <c r="M21" s="25"/>
      <c r="N21" s="865"/>
      <c r="O21" s="25"/>
      <c r="P21" s="25"/>
      <c r="Q21" s="25"/>
      <c r="R21" s="25"/>
      <c r="S21" s="25"/>
      <c r="T21" s="25"/>
      <c r="U21" s="25"/>
      <c r="V21" s="25"/>
      <c r="W21" s="25"/>
      <c r="X21" s="25"/>
      <c r="Y21" s="25"/>
      <c r="Z21" s="25"/>
      <c r="AA21" s="25"/>
      <c r="AB21" s="25"/>
      <c r="AC21" s="25"/>
      <c r="AD21" s="25"/>
      <c r="AE21" s="25"/>
      <c r="AF21" s="25"/>
      <c r="AG21" s="25"/>
      <c r="AH21" s="863">
        <v>335</v>
      </c>
      <c r="AI21" s="307">
        <v>-5.4247050413653142</v>
      </c>
      <c r="AJ21" s="308">
        <v>-3.950889933029833E-4</v>
      </c>
      <c r="AK21" s="307">
        <v>26.116451118514554</v>
      </c>
      <c r="AL21" s="309">
        <v>0.99706357992209482</v>
      </c>
      <c r="AM21" s="307">
        <v>-561.7665942773707</v>
      </c>
      <c r="AN21" s="308">
        <v>-6.8229352657547482E-2</v>
      </c>
      <c r="AO21" s="307">
        <v>37.543641422648562</v>
      </c>
      <c r="AP21" s="309">
        <v>-1.362359425004131E-2</v>
      </c>
      <c r="AQ21" s="66"/>
      <c r="AR21" s="863">
        <v>25</v>
      </c>
      <c r="AS21" s="307">
        <v>-5.4247050413653142</v>
      </c>
      <c r="AT21" s="308">
        <v>-3.950889933029833E-4</v>
      </c>
      <c r="AU21" s="307">
        <v>26.116451118514554</v>
      </c>
      <c r="AV21" s="309">
        <v>0.99706357992209482</v>
      </c>
      <c r="AW21" s="307">
        <v>-561.7665942773707</v>
      </c>
      <c r="AX21" s="308">
        <v>-6.8229352657547482E-2</v>
      </c>
      <c r="AY21" s="307">
        <v>37.543641422648562</v>
      </c>
      <c r="AZ21" s="309">
        <v>-1.362359425004131E-2</v>
      </c>
    </row>
    <row r="22" spans="1:52" ht="20.149999999999999" customHeight="1" x14ac:dyDescent="0.35">
      <c r="A22" s="25"/>
      <c r="B22" s="25"/>
      <c r="C22" s="25"/>
      <c r="D22" s="25"/>
      <c r="E22" s="25"/>
      <c r="F22" s="25"/>
      <c r="G22" s="25"/>
      <c r="H22" s="25"/>
      <c r="I22" s="25"/>
      <c r="J22" s="25"/>
      <c r="K22" s="25"/>
      <c r="L22" s="25"/>
      <c r="M22" s="25"/>
      <c r="N22" s="865"/>
      <c r="O22" s="25"/>
      <c r="P22" s="25"/>
      <c r="Q22" s="25"/>
      <c r="R22" s="25"/>
      <c r="S22" s="25"/>
      <c r="T22" s="25"/>
      <c r="U22" s="25"/>
      <c r="V22" s="25"/>
      <c r="W22" s="25"/>
      <c r="X22" s="25"/>
      <c r="Y22" s="25"/>
      <c r="Z22" s="25"/>
      <c r="AA22" s="25"/>
      <c r="AB22" s="25"/>
      <c r="AC22" s="25"/>
      <c r="AD22" s="25"/>
      <c r="AE22" s="25"/>
      <c r="AF22" s="25"/>
      <c r="AG22" s="25"/>
      <c r="AH22" s="863">
        <v>336</v>
      </c>
      <c r="AI22" s="307">
        <v>9.1439646029447914</v>
      </c>
      <c r="AJ22" s="308">
        <v>6.6408156664254925E-4</v>
      </c>
      <c r="AK22" s="307">
        <v>25.806041285384101</v>
      </c>
      <c r="AL22" s="309">
        <v>1.0049496739540671</v>
      </c>
      <c r="AM22" s="307">
        <v>-547.19792463306021</v>
      </c>
      <c r="AN22" s="308">
        <v>-6.6093040707804973E-2</v>
      </c>
      <c r="AO22" s="307">
        <v>37.116277479179253</v>
      </c>
      <c r="AP22" s="309">
        <v>1.2663385856533397E-2</v>
      </c>
      <c r="AQ22" s="66"/>
      <c r="AR22" s="863">
        <v>26</v>
      </c>
      <c r="AS22" s="307">
        <v>41.158832416773521</v>
      </c>
      <c r="AT22" s="308">
        <v>2.8447430325317935E-3</v>
      </c>
      <c r="AU22" s="307">
        <v>26.116451118514554</v>
      </c>
      <c r="AV22" s="309">
        <v>1.0221873375396187</v>
      </c>
      <c r="AW22" s="307">
        <v>-513.10200277549097</v>
      </c>
      <c r="AX22" s="308">
        <v>-5.4768354019667953E-2</v>
      </c>
      <c r="AY22" s="307">
        <v>37.543641422648562</v>
      </c>
      <c r="AZ22" s="309">
        <v>7.8013421067896854E-2</v>
      </c>
    </row>
    <row r="23" spans="1:52" ht="20.149999999999999" customHeight="1" x14ac:dyDescent="0.35">
      <c r="A23" s="25"/>
      <c r="B23" s="25"/>
      <c r="C23" s="25"/>
      <c r="D23" s="25"/>
      <c r="E23" s="25"/>
      <c r="F23" s="25"/>
      <c r="G23" s="25"/>
      <c r="H23" s="25"/>
      <c r="I23" s="25"/>
      <c r="J23" s="25"/>
      <c r="K23" s="25"/>
      <c r="L23" s="25"/>
      <c r="M23" s="25"/>
      <c r="N23" s="865"/>
      <c r="O23" s="25"/>
      <c r="P23" s="25"/>
      <c r="Q23" s="25"/>
      <c r="R23" s="25"/>
      <c r="S23" s="25"/>
      <c r="T23" s="25"/>
      <c r="U23" s="25"/>
      <c r="V23" s="25"/>
      <c r="W23" s="25"/>
      <c r="X23" s="25"/>
      <c r="Y23" s="25"/>
      <c r="Z23" s="25"/>
      <c r="AA23" s="25"/>
      <c r="AB23" s="25"/>
      <c r="AC23" s="25"/>
      <c r="AD23" s="25"/>
      <c r="AE23" s="25"/>
      <c r="AF23" s="25"/>
      <c r="AG23" s="25"/>
      <c r="AH23" s="863">
        <v>337</v>
      </c>
      <c r="AI23" s="307">
        <v>23.712634247254471</v>
      </c>
      <c r="AJ23" s="308">
        <v>1.7173320574133122E-3</v>
      </c>
      <c r="AK23" s="307">
        <v>25.502923598277377</v>
      </c>
      <c r="AL23" s="309">
        <v>1.0128357679860389</v>
      </c>
      <c r="AM23" s="307">
        <v>-532.6292549887504</v>
      </c>
      <c r="AN23" s="308">
        <v>-6.3987478857357671E-2</v>
      </c>
      <c r="AO23" s="307">
        <v>36.698533504336908</v>
      </c>
      <c r="AP23" s="309">
        <v>3.8950365963106873E-2</v>
      </c>
      <c r="AQ23" s="66"/>
      <c r="AR23" s="863">
        <v>27</v>
      </c>
      <c r="AS23" s="307">
        <v>87.742369874912356</v>
      </c>
      <c r="AT23" s="308">
        <v>5.7662799943924981E-3</v>
      </c>
      <c r="AU23" s="307">
        <v>26.116451118514554</v>
      </c>
      <c r="AV23" s="309">
        <v>1.0471041337653941</v>
      </c>
      <c r="AW23" s="307">
        <v>-464.43741127361119</v>
      </c>
      <c r="AX23" s="308">
        <v>-4.4487143639007298E-2</v>
      </c>
      <c r="AY23" s="307">
        <v>37.543641422648562</v>
      </c>
      <c r="AZ23" s="309">
        <v>0.16889556028351785</v>
      </c>
    </row>
    <row r="24" spans="1:52" ht="20.149999999999999" customHeight="1" x14ac:dyDescent="0.35">
      <c r="A24" s="25"/>
      <c r="B24" s="25"/>
      <c r="C24" s="25"/>
      <c r="D24" s="25"/>
      <c r="E24" s="25"/>
      <c r="F24" s="25"/>
      <c r="G24" s="25"/>
      <c r="H24" s="25"/>
      <c r="I24" s="25"/>
      <c r="J24" s="25"/>
      <c r="K24" s="25"/>
      <c r="L24" s="25"/>
      <c r="M24" s="25"/>
      <c r="N24" s="865"/>
      <c r="O24" s="25"/>
      <c r="P24" s="25"/>
      <c r="Q24" s="25"/>
      <c r="R24" s="25"/>
      <c r="S24" s="25"/>
      <c r="T24" s="25"/>
      <c r="U24" s="25"/>
      <c r="V24" s="25"/>
      <c r="W24" s="25"/>
      <c r="X24" s="25"/>
      <c r="Y24" s="25"/>
      <c r="Z24" s="25"/>
      <c r="AA24" s="25"/>
      <c r="AB24" s="25"/>
      <c r="AC24" s="25"/>
      <c r="AD24" s="25"/>
      <c r="AE24" s="25"/>
      <c r="AF24" s="25"/>
      <c r="AG24" s="25"/>
      <c r="AH24" s="863">
        <v>338</v>
      </c>
      <c r="AI24" s="307">
        <v>38.281303891565614</v>
      </c>
      <c r="AJ24" s="308">
        <v>2.7648265603468225E-3</v>
      </c>
      <c r="AK24" s="307">
        <v>25.206844079832734</v>
      </c>
      <c r="AL24" s="309">
        <v>1.0207218620180116</v>
      </c>
      <c r="AM24" s="307">
        <v>-518.06058534444014</v>
      </c>
      <c r="AN24" s="308">
        <v>-6.1911303537364515E-2</v>
      </c>
      <c r="AO24" s="307">
        <v>36.290088294815</v>
      </c>
      <c r="AP24" s="309">
        <v>6.5237346069681179E-2</v>
      </c>
      <c r="AQ24" s="66"/>
      <c r="AR24" s="863">
        <v>28</v>
      </c>
      <c r="AS24" s="307">
        <v>134.32590733305119</v>
      </c>
      <c r="AT24" s="308">
        <v>8.4089001161444799E-3</v>
      </c>
      <c r="AU24" s="307">
        <v>26.116451118514554</v>
      </c>
      <c r="AV24" s="309">
        <v>1.0718165154309733</v>
      </c>
      <c r="AW24" s="307">
        <v>-415.77281977173141</v>
      </c>
      <c r="AX24" s="308">
        <v>-3.623360424714861E-2</v>
      </c>
      <c r="AY24" s="307">
        <v>37.543641422648562</v>
      </c>
      <c r="AZ24" s="309">
        <v>0.25903211277325622</v>
      </c>
    </row>
    <row r="25" spans="1:52" ht="20.149999999999999" customHeight="1" x14ac:dyDescent="0.35">
      <c r="A25" s="25"/>
      <c r="B25" s="25"/>
      <c r="C25" s="25"/>
      <c r="D25" s="25"/>
      <c r="E25" s="25"/>
      <c r="F25" s="25"/>
      <c r="G25" s="25"/>
      <c r="H25" s="25"/>
      <c r="I25" s="25"/>
      <c r="J25" s="25"/>
      <c r="K25" s="25"/>
      <c r="L25" s="25"/>
      <c r="M25" s="25"/>
      <c r="N25" s="865"/>
      <c r="O25" s="25"/>
      <c r="P25" s="25"/>
      <c r="Q25" s="25"/>
      <c r="R25" s="25"/>
      <c r="S25" s="25"/>
      <c r="T25" s="25"/>
      <c r="U25" s="25"/>
      <c r="V25" s="25"/>
      <c r="W25" s="25"/>
      <c r="X25" s="25"/>
      <c r="Y25" s="25"/>
      <c r="Z25" s="25"/>
      <c r="AA25" s="25"/>
      <c r="AB25" s="25"/>
      <c r="AC25" s="25"/>
      <c r="AD25" s="25"/>
      <c r="AE25" s="25"/>
      <c r="AF25" s="25"/>
      <c r="AG25" s="25"/>
      <c r="AH25" s="863">
        <v>339</v>
      </c>
      <c r="AI25" s="307">
        <v>52.849973535875563</v>
      </c>
      <c r="AJ25" s="308">
        <v>3.8067239122665519E-3</v>
      </c>
      <c r="AK25" s="307">
        <v>24.917560411665406</v>
      </c>
      <c r="AL25" s="309">
        <v>1.0286079560499837</v>
      </c>
      <c r="AM25" s="307">
        <v>-503.4919157001296</v>
      </c>
      <c r="AN25" s="308">
        <v>-5.9863225853926338E-2</v>
      </c>
      <c r="AO25" s="307">
        <v>35.890634789547313</v>
      </c>
      <c r="AP25" s="309">
        <v>9.1524326176255985E-2</v>
      </c>
      <c r="AQ25" s="66"/>
      <c r="AR25" s="863">
        <v>29</v>
      </c>
      <c r="AS25" s="307">
        <v>180.90944479119003</v>
      </c>
      <c r="AT25" s="308">
        <v>1.0806068984258399E-2</v>
      </c>
      <c r="AU25" s="307">
        <v>26.116451118514554</v>
      </c>
      <c r="AV25" s="309">
        <v>1.0963269877507871</v>
      </c>
      <c r="AW25" s="307">
        <v>-367.10822826985162</v>
      </c>
      <c r="AX25" s="308">
        <v>-2.9396281962315807E-2</v>
      </c>
      <c r="AY25" s="307">
        <v>37.543641422648562</v>
      </c>
      <c r="AZ25" s="309">
        <v>0.3484322161182285</v>
      </c>
    </row>
    <row r="26" spans="1:52" ht="20.149999999999999" customHeight="1" x14ac:dyDescent="0.35">
      <c r="A26" s="25"/>
      <c r="B26" s="25"/>
      <c r="C26" s="25"/>
      <c r="D26" s="25"/>
      <c r="E26" s="25"/>
      <c r="F26" s="25"/>
      <c r="G26" s="25"/>
      <c r="H26" s="25"/>
      <c r="I26" s="25"/>
      <c r="J26" s="25"/>
      <c r="K26" s="25"/>
      <c r="L26" s="25"/>
      <c r="M26" s="25"/>
      <c r="N26" s="865"/>
      <c r="O26" s="25"/>
      <c r="P26" s="25"/>
      <c r="Q26" s="25"/>
      <c r="R26" s="25"/>
      <c r="S26" s="25"/>
      <c r="T26" s="25"/>
      <c r="U26" s="25"/>
      <c r="V26" s="25"/>
      <c r="W26" s="25"/>
      <c r="X26" s="25"/>
      <c r="Y26" s="25"/>
      <c r="Z26" s="25"/>
      <c r="AA26" s="25"/>
      <c r="AB26" s="25"/>
      <c r="AC26" s="25"/>
      <c r="AD26" s="25"/>
      <c r="AE26" s="25"/>
      <c r="AF26" s="25"/>
      <c r="AG26" s="25"/>
      <c r="AH26" s="863">
        <v>340</v>
      </c>
      <c r="AI26" s="307">
        <v>67.418643180185171</v>
      </c>
      <c r="AJ26" s="308">
        <v>4.8431779378945716E-3</v>
      </c>
      <c r="AK26" s="307">
        <v>24.634841272943131</v>
      </c>
      <c r="AL26" s="309">
        <v>1.0364940500819557</v>
      </c>
      <c r="AM26" s="307">
        <v>-488.92324605581979</v>
      </c>
      <c r="AN26" s="308">
        <v>-5.7842026296240467E-2</v>
      </c>
      <c r="AO26" s="307">
        <v>35.499879299847144</v>
      </c>
      <c r="AP26" s="309">
        <v>0.11781130628282946</v>
      </c>
      <c r="AQ26" s="66"/>
      <c r="AR26" s="863">
        <v>30</v>
      </c>
      <c r="AS26" s="307">
        <v>227.49298224932886</v>
      </c>
      <c r="AT26" s="308">
        <v>1.2986379673286752E-2</v>
      </c>
      <c r="AU26" s="307">
        <v>26.116451118514554</v>
      </c>
      <c r="AV26" s="309">
        <v>1.1206380151687549</v>
      </c>
      <c r="AW26" s="307">
        <v>-318.44363676797184</v>
      </c>
      <c r="AX26" s="308">
        <v>-2.3607620662056794E-2</v>
      </c>
      <c r="AY26" s="307">
        <v>37.543641422648562</v>
      </c>
      <c r="AZ26" s="309">
        <v>0.43710485919217867</v>
      </c>
    </row>
    <row r="27" spans="1:52" ht="20.149999999999999" customHeight="1" x14ac:dyDescent="0.35">
      <c r="A27" s="25"/>
      <c r="B27" s="25"/>
      <c r="C27" s="25"/>
      <c r="D27" s="25"/>
      <c r="E27" s="25"/>
      <c r="F27" s="25"/>
      <c r="G27" s="25"/>
      <c r="H27" s="25"/>
      <c r="I27" s="25"/>
      <c r="J27" s="25"/>
      <c r="K27" s="25"/>
      <c r="L27" s="25"/>
      <c r="M27" s="25"/>
      <c r="N27" s="865"/>
      <c r="O27" s="25"/>
      <c r="P27" s="25"/>
      <c r="Q27" s="25"/>
      <c r="R27" s="25"/>
      <c r="S27" s="25"/>
      <c r="T27" s="25"/>
      <c r="U27" s="25"/>
      <c r="V27" s="25"/>
      <c r="W27" s="25"/>
      <c r="X27" s="25"/>
      <c r="Y27" s="25"/>
      <c r="Z27" s="25"/>
      <c r="AA27" s="25"/>
      <c r="AB27" s="25"/>
      <c r="AC27" s="25"/>
      <c r="AD27" s="25"/>
      <c r="AE27" s="25"/>
      <c r="AF27" s="25"/>
      <c r="AG27" s="25"/>
      <c r="AH27" s="863">
        <v>341</v>
      </c>
      <c r="AI27" s="307">
        <v>81.987312824496442</v>
      </c>
      <c r="AJ27" s="308">
        <v>5.8743376788623625E-3</v>
      </c>
      <c r="AK27" s="307">
        <v>24.358465723484606</v>
      </c>
      <c r="AL27" s="309">
        <v>1.0443801441139287</v>
      </c>
      <c r="AM27" s="307">
        <v>-474.35457641150913</v>
      </c>
      <c r="AN27" s="308">
        <v>-5.5846549902177189E-2</v>
      </c>
      <c r="AO27" s="307">
        <v>35.117540789295518</v>
      </c>
      <c r="AP27" s="309">
        <v>0.14409828638940447</v>
      </c>
      <c r="AQ27" s="66"/>
      <c r="AR27" s="863">
        <v>31</v>
      </c>
      <c r="AS27" s="307">
        <v>274.0765197074677</v>
      </c>
      <c r="AT27" s="308">
        <v>1.4974384352671954E-2</v>
      </c>
      <c r="AU27" s="307">
        <v>26.116451118514554</v>
      </c>
      <c r="AV27" s="309">
        <v>1.1447520221843115</v>
      </c>
      <c r="AW27" s="307">
        <v>-269.77904526609206</v>
      </c>
      <c r="AX27" s="308">
        <v>-1.8627648549930598E-2</v>
      </c>
      <c r="AY27" s="307">
        <v>37.543641422648562</v>
      </c>
      <c r="AZ27" s="309">
        <v>0.52505888517434829</v>
      </c>
    </row>
    <row r="28" spans="1:52" ht="20.149999999999999" customHeight="1" x14ac:dyDescent="0.35">
      <c r="A28" s="25"/>
      <c r="B28" s="25"/>
      <c r="C28" s="25"/>
      <c r="D28" s="25"/>
      <c r="E28" s="25"/>
      <c r="F28" s="25"/>
      <c r="G28" s="25"/>
      <c r="H28" s="25"/>
      <c r="I28" s="25"/>
      <c r="J28" s="25"/>
      <c r="K28" s="25"/>
      <c r="L28" s="25"/>
      <c r="M28" s="25"/>
      <c r="N28" s="865"/>
      <c r="O28" s="25"/>
      <c r="P28" s="25"/>
      <c r="Q28" s="25"/>
      <c r="R28" s="25"/>
      <c r="S28" s="25"/>
      <c r="T28" s="25"/>
      <c r="U28" s="25"/>
      <c r="V28" s="25"/>
      <c r="W28" s="25"/>
      <c r="X28" s="25"/>
      <c r="Y28" s="25"/>
      <c r="Z28" s="25"/>
      <c r="AA28" s="25"/>
      <c r="AB28" s="25"/>
      <c r="AC28" s="25"/>
      <c r="AD28" s="25"/>
      <c r="AE28" s="25"/>
      <c r="AF28" s="25"/>
      <c r="AG28" s="25"/>
      <c r="AH28" s="863">
        <v>342</v>
      </c>
      <c r="AI28" s="307">
        <v>96.555982468806079</v>
      </c>
      <c r="AJ28" s="308">
        <v>6.9003475982445384E-3</v>
      </c>
      <c r="AK28" s="307">
        <v>24.088222627922921</v>
      </c>
      <c r="AL28" s="309">
        <v>1.0522662381459005</v>
      </c>
      <c r="AM28" s="307">
        <v>-459.78590676719944</v>
      </c>
      <c r="AN28" s="308">
        <v>-5.3875701810667476E-2</v>
      </c>
      <c r="AO28" s="307">
        <v>34.74335019966805</v>
      </c>
      <c r="AP28" s="309">
        <v>0.17038526649597774</v>
      </c>
      <c r="AQ28" s="66"/>
      <c r="AR28" s="863">
        <v>32</v>
      </c>
      <c r="AS28" s="307">
        <v>320.66005716560653</v>
      </c>
      <c r="AT28" s="308">
        <v>1.6791264025866059E-2</v>
      </c>
      <c r="AU28" s="307">
        <v>26.116451118514554</v>
      </c>
      <c r="AV28" s="309">
        <v>1.1686713941584315</v>
      </c>
      <c r="AW28" s="307">
        <v>-221.11445376421227</v>
      </c>
      <c r="AX28" s="308">
        <v>-1.4290191269692443E-2</v>
      </c>
      <c r="AY28" s="307">
        <v>37.543641422648562</v>
      </c>
      <c r="AZ28" s="309">
        <v>0.61230299448939163</v>
      </c>
    </row>
    <row r="29" spans="1:52" ht="20.149999999999999" customHeight="1" x14ac:dyDescent="0.35">
      <c r="A29" s="25"/>
      <c r="B29" s="25"/>
      <c r="C29" s="25"/>
      <c r="D29" s="25"/>
      <c r="E29" s="25"/>
      <c r="F29" s="25"/>
      <c r="G29" s="25"/>
      <c r="H29" s="25"/>
      <c r="I29" s="25"/>
      <c r="J29" s="25"/>
      <c r="K29" s="25"/>
      <c r="L29" s="25"/>
      <c r="M29" s="25"/>
      <c r="N29" s="865"/>
      <c r="O29" s="25"/>
      <c r="P29" s="25"/>
      <c r="Q29" s="25"/>
      <c r="R29" s="25"/>
      <c r="S29" s="25"/>
      <c r="T29" s="25"/>
      <c r="U29" s="25"/>
      <c r="V29" s="25"/>
      <c r="W29" s="25"/>
      <c r="X29" s="25"/>
      <c r="Y29" s="25"/>
      <c r="Z29" s="25"/>
      <c r="AA29" s="25"/>
      <c r="AB29" s="25"/>
      <c r="AC29" s="25"/>
      <c r="AD29" s="25"/>
      <c r="AE29" s="25"/>
      <c r="AF29" s="25"/>
      <c r="AG29" s="25"/>
      <c r="AH29" s="863">
        <v>343</v>
      </c>
      <c r="AI29" s="307">
        <v>111.12465211311621</v>
      </c>
      <c r="AJ29" s="308">
        <v>7.9213477825028633E-3</v>
      </c>
      <c r="AK29" s="307">
        <v>23.823910117779675</v>
      </c>
      <c r="AL29" s="309">
        <v>1.0601523321778727</v>
      </c>
      <c r="AM29" s="307">
        <v>-445.21723712288895</v>
      </c>
      <c r="AN29" s="308">
        <v>-5.1928443174756089E-2</v>
      </c>
      <c r="AO29" s="307">
        <v>34.377049819502091</v>
      </c>
      <c r="AP29" s="309">
        <v>0.19667224660255245</v>
      </c>
      <c r="AQ29" s="66"/>
      <c r="AR29" s="863">
        <v>33</v>
      </c>
      <c r="AS29" s="307">
        <v>367.24359462374537</v>
      </c>
      <c r="AT29" s="308">
        <v>1.8455371590681224E-2</v>
      </c>
      <c r="AU29" s="307">
        <v>26.116451118514554</v>
      </c>
      <c r="AV29" s="309">
        <v>1.1923984781002164</v>
      </c>
      <c r="AW29" s="307">
        <v>-172.44986226233249</v>
      </c>
      <c r="AX29" s="308">
        <v>-1.0474998698885019E-2</v>
      </c>
      <c r="AY29" s="307">
        <v>37.543641422648562</v>
      </c>
      <c r="AZ29" s="309">
        <v>0.69884574767638918</v>
      </c>
    </row>
    <row r="30" spans="1:52" ht="20.149999999999999" customHeight="1" x14ac:dyDescent="0.35">
      <c r="A30" s="25"/>
      <c r="B30" s="25"/>
      <c r="C30" s="25"/>
      <c r="D30" s="25"/>
      <c r="E30" s="25"/>
      <c r="F30" s="25"/>
      <c r="G30" s="25"/>
      <c r="H30" s="25"/>
      <c r="I30" s="25"/>
      <c r="J30" s="25"/>
      <c r="K30" s="25"/>
      <c r="L30" s="25"/>
      <c r="M30" s="25"/>
      <c r="N30" s="865"/>
      <c r="O30" s="25"/>
      <c r="P30" s="25"/>
      <c r="Q30" s="25"/>
      <c r="R30" s="25"/>
      <c r="S30" s="25"/>
      <c r="T30" s="25"/>
      <c r="U30" s="25"/>
      <c r="V30" s="25"/>
      <c r="W30" s="25"/>
      <c r="X30" s="25"/>
      <c r="Y30" s="25"/>
      <c r="Z30" s="25"/>
      <c r="AA30" s="25"/>
      <c r="AB30" s="25"/>
      <c r="AC30" s="25"/>
      <c r="AD30" s="25"/>
      <c r="AE30" s="25"/>
      <c r="AF30" s="25"/>
      <c r="AG30" s="25"/>
      <c r="AH30" s="863">
        <v>344</v>
      </c>
      <c r="AI30" s="307">
        <v>125.6933217574265</v>
      </c>
      <c r="AJ30" s="308">
        <v>8.9374741255749957E-3</v>
      </c>
      <c r="AK30" s="307">
        <v>23.565335088569906</v>
      </c>
      <c r="AL30" s="309">
        <v>1.068038426209845</v>
      </c>
      <c r="AM30" s="307">
        <v>-430.64856747857834</v>
      </c>
      <c r="AN30" s="308">
        <v>-5.0003787400866417E-2</v>
      </c>
      <c r="AO30" s="307">
        <v>34.018392692190744</v>
      </c>
      <c r="AP30" s="309">
        <v>0.22295922670912738</v>
      </c>
      <c r="AQ30" s="66"/>
      <c r="AR30" s="863">
        <v>34</v>
      </c>
      <c r="AS30" s="307">
        <v>413.8271320818842</v>
      </c>
      <c r="AT30" s="308">
        <v>1.9982675001918748E-2</v>
      </c>
      <c r="AU30" s="307">
        <v>26.116451118514554</v>
      </c>
      <c r="AV30" s="309">
        <v>1.2159355834345844</v>
      </c>
      <c r="AW30" s="307">
        <v>-123.7852707604527</v>
      </c>
      <c r="AX30" s="308">
        <v>-7.0920357832863212E-3</v>
      </c>
      <c r="AY30" s="307">
        <v>37.543641422648562</v>
      </c>
      <c r="AZ30" s="309">
        <v>0.78469556818894604</v>
      </c>
    </row>
    <row r="31" spans="1:52" ht="20.149999999999999" customHeight="1" x14ac:dyDescent="0.35">
      <c r="A31" s="25"/>
      <c r="B31" s="25"/>
      <c r="C31" s="25"/>
      <c r="D31" s="25"/>
      <c r="E31" s="25"/>
      <c r="F31" s="25"/>
      <c r="G31" s="25"/>
      <c r="H31" s="25"/>
      <c r="I31" s="25"/>
      <c r="J31" s="25"/>
      <c r="K31" s="25"/>
      <c r="L31" s="25"/>
      <c r="M31" s="25"/>
      <c r="N31" s="865"/>
      <c r="O31" s="25"/>
      <c r="P31" s="25"/>
      <c r="Q31" s="25"/>
      <c r="R31" s="25"/>
      <c r="S31" s="25"/>
      <c r="T31" s="25"/>
      <c r="U31" s="25"/>
      <c r="V31" s="25"/>
      <c r="W31" s="25"/>
      <c r="X31" s="25"/>
      <c r="Y31" s="25"/>
      <c r="Z31" s="25"/>
      <c r="AA31" s="25"/>
      <c r="AB31" s="25"/>
      <c r="AC31" s="25"/>
      <c r="AD31" s="25"/>
      <c r="AE31" s="25"/>
      <c r="AF31" s="25"/>
      <c r="AG31" s="25"/>
      <c r="AH31" s="863">
        <v>345</v>
      </c>
      <c r="AI31" s="307">
        <v>140.26199140173705</v>
      </c>
      <c r="AJ31" s="308">
        <v>9.9488585268907581E-3</v>
      </c>
      <c r="AK31" s="307">
        <v>23.312312729304519</v>
      </c>
      <c r="AL31" s="309">
        <v>1.0759245202418175</v>
      </c>
      <c r="AM31" s="307">
        <v>-416.07989783426876</v>
      </c>
      <c r="AN31" s="308">
        <v>-4.8100796684672043E-2</v>
      </c>
      <c r="AO31" s="307">
        <v>33.667142060746521</v>
      </c>
      <c r="AP31" s="309">
        <v>0.24924620681570045</v>
      </c>
      <c r="AQ31" s="66"/>
      <c r="AR31" s="863">
        <v>35</v>
      </c>
      <c r="AS31" s="307">
        <v>460.41066954002304</v>
      </c>
      <c r="AT31" s="308">
        <v>2.1387121089831318E-2</v>
      </c>
      <c r="AU31" s="307">
        <v>26.116451118514554</v>
      </c>
      <c r="AV31" s="309">
        <v>1.2392849827515979</v>
      </c>
      <c r="AW31" s="307">
        <v>-75.12067925857292</v>
      </c>
      <c r="AX31" s="308">
        <v>-4.0720371450257975E-3</v>
      </c>
      <c r="AY31" s="307">
        <v>37.543641422648562</v>
      </c>
      <c r="AZ31" s="309">
        <v>0.86986074512829825</v>
      </c>
    </row>
    <row r="32" spans="1:52" ht="20.149999999999999" customHeight="1" x14ac:dyDescent="0.35">
      <c r="A32" s="25"/>
      <c r="B32" s="25"/>
      <c r="C32" s="25"/>
      <c r="D32" s="25"/>
      <c r="E32" s="25"/>
      <c r="F32" s="25"/>
      <c r="G32" s="25"/>
      <c r="H32" s="25"/>
      <c r="I32" s="25"/>
      <c r="J32" s="25"/>
      <c r="K32" s="25"/>
      <c r="L32" s="25"/>
      <c r="M32" s="25"/>
      <c r="N32" s="86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64"/>
      <c r="AR32" s="25"/>
      <c r="AS32" s="25"/>
      <c r="AT32" s="25"/>
      <c r="AU32" s="25"/>
      <c r="AV32" s="25"/>
      <c r="AW32" s="25"/>
      <c r="AX32" s="25"/>
      <c r="AY32" s="25"/>
      <c r="AZ32" s="25"/>
    </row>
    <row r="33" spans="1:52" ht="20.149999999999999" customHeight="1" x14ac:dyDescent="0.35">
      <c r="A33" s="25"/>
      <c r="B33" s="25"/>
      <c r="C33" s="25"/>
      <c r="D33" s="25"/>
      <c r="E33" s="25"/>
      <c r="F33" s="25"/>
      <c r="G33" s="25"/>
      <c r="H33" s="25"/>
      <c r="I33" s="25"/>
      <c r="J33" s="25"/>
      <c r="K33" s="25"/>
      <c r="L33" s="25"/>
      <c r="M33" s="25"/>
      <c r="N33" s="86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row>
    <row r="34" spans="1:52" ht="20.149999999999999" customHeight="1" x14ac:dyDescent="0.35">
      <c r="A34" s="25"/>
      <c r="B34" s="25"/>
      <c r="C34" s="25"/>
      <c r="D34" s="25"/>
      <c r="E34" s="25"/>
      <c r="F34" s="25"/>
      <c r="G34" s="25"/>
      <c r="H34" s="25"/>
      <c r="I34" s="25"/>
      <c r="J34" s="25"/>
      <c r="K34" s="25"/>
      <c r="L34" s="25"/>
      <c r="M34" s="25"/>
      <c r="N34" s="86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row>
    <row r="35" spans="1:52" ht="20.149999999999999" customHeight="1" x14ac:dyDescent="0.35">
      <c r="A35" s="25"/>
      <c r="B35" s="25"/>
      <c r="C35" s="25"/>
      <c r="D35" s="25"/>
      <c r="E35" s="25"/>
      <c r="F35" s="25"/>
      <c r="G35" s="25"/>
      <c r="H35" s="25"/>
      <c r="I35" s="25"/>
      <c r="J35" s="25"/>
      <c r="K35" s="25"/>
      <c r="L35" s="25"/>
      <c r="M35" s="25"/>
      <c r="N35" s="86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row>
    <row r="36" spans="1:52" ht="25.4" customHeight="1" x14ac:dyDescent="0.35">
      <c r="A36" s="25"/>
      <c r="B36" s="25"/>
      <c r="C36" s="25"/>
      <c r="D36" s="25"/>
      <c r="E36" s="25"/>
      <c r="F36" s="25"/>
      <c r="G36" s="25"/>
      <c r="H36" s="25"/>
      <c r="I36" s="25"/>
      <c r="J36" s="25"/>
      <c r="K36" s="25"/>
      <c r="L36" s="25"/>
      <c r="M36" s="25"/>
      <c r="N36" s="86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row>
    <row r="37" spans="1:52" ht="25.4" customHeight="1" x14ac:dyDescent="0.35">
      <c r="A37" s="25"/>
      <c r="B37" s="25"/>
      <c r="C37" s="25"/>
      <c r="D37" s="25"/>
      <c r="E37" s="25"/>
      <c r="F37" s="25"/>
      <c r="G37" s="25"/>
      <c r="H37" s="25"/>
      <c r="I37" s="25"/>
      <c r="J37" s="25"/>
      <c r="K37" s="25"/>
      <c r="L37" s="25"/>
      <c r="M37" s="25"/>
      <c r="N37" s="86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row>
    <row r="38" spans="1:52" ht="25.4" customHeight="1" x14ac:dyDescent="0.35">
      <c r="A38" s="25"/>
      <c r="B38" s="25"/>
      <c r="C38" s="25"/>
      <c r="D38" s="25"/>
      <c r="E38" s="25"/>
      <c r="F38" s="25"/>
      <c r="G38" s="25"/>
      <c r="H38" s="25"/>
      <c r="I38" s="25"/>
      <c r="J38" s="25"/>
      <c r="K38" s="25"/>
      <c r="L38" s="25"/>
      <c r="M38" s="25"/>
      <c r="N38" s="86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row>
    <row r="39" spans="1:52" ht="4.4000000000000004" customHeight="1" x14ac:dyDescent="0.35">
      <c r="A39" s="25"/>
      <c r="B39" s="25"/>
      <c r="C39" s="25"/>
      <c r="D39" s="25"/>
      <c r="E39" s="25"/>
      <c r="F39" s="25"/>
      <c r="G39" s="25"/>
      <c r="H39" s="25"/>
      <c r="I39" s="25"/>
      <c r="J39" s="25"/>
      <c r="K39" s="25"/>
      <c r="L39" s="25"/>
      <c r="M39" s="25"/>
      <c r="N39" s="86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row>
    <row r="40" spans="1:52" ht="4.4000000000000004" customHeight="1" x14ac:dyDescent="0.35">
      <c r="A40" s="25"/>
      <c r="B40" s="25"/>
      <c r="C40" s="25"/>
      <c r="D40" s="25"/>
      <c r="E40" s="25"/>
      <c r="F40" s="25"/>
      <c r="G40" s="25"/>
      <c r="H40" s="25"/>
      <c r="I40" s="25"/>
      <c r="J40" s="25"/>
      <c r="K40" s="25"/>
      <c r="L40" s="25"/>
      <c r="M40" s="25"/>
      <c r="N40" s="86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row>
    <row r="41" spans="1:52" ht="4.4000000000000004" customHeight="1" x14ac:dyDescent="0.35">
      <c r="A41" s="25"/>
      <c r="B41" s="25"/>
      <c r="C41" s="25"/>
      <c r="D41" s="25"/>
      <c r="E41" s="25"/>
      <c r="F41" s="25"/>
      <c r="G41" s="25"/>
      <c r="H41" s="25"/>
      <c r="I41" s="25"/>
      <c r="J41" s="25"/>
      <c r="K41" s="25"/>
      <c r="L41" s="25"/>
      <c r="M41" s="25"/>
      <c r="N41" s="86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row>
    <row r="42" spans="1:52" ht="4.4000000000000004" customHeight="1" x14ac:dyDescent="0.35">
      <c r="A42" s="25"/>
      <c r="B42" s="25"/>
      <c r="C42" s="25"/>
      <c r="D42" s="25"/>
      <c r="E42" s="25"/>
      <c r="F42" s="25"/>
      <c r="G42" s="25"/>
      <c r="H42" s="25"/>
      <c r="I42" s="25"/>
      <c r="J42" s="25"/>
      <c r="K42" s="25"/>
      <c r="L42" s="25"/>
      <c r="M42" s="25"/>
      <c r="N42" s="86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row>
    <row r="43" spans="1:52" ht="4.4000000000000004" customHeight="1" x14ac:dyDescent="0.35">
      <c r="A43" s="25"/>
      <c r="B43" s="25"/>
      <c r="C43" s="25"/>
      <c r="D43" s="25"/>
      <c r="E43" s="25"/>
      <c r="F43" s="25"/>
      <c r="G43" s="25"/>
      <c r="H43" s="25"/>
      <c r="I43" s="25"/>
      <c r="J43" s="25"/>
      <c r="K43" s="25"/>
      <c r="L43" s="25"/>
      <c r="M43" s="25"/>
      <c r="N43" s="86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row>
    <row r="44" spans="1:52" ht="4.4000000000000004" customHeight="1" x14ac:dyDescent="0.35">
      <c r="A44" s="25"/>
      <c r="B44" s="25"/>
      <c r="C44" s="25"/>
      <c r="D44" s="25"/>
      <c r="E44" s="25"/>
      <c r="F44" s="25"/>
      <c r="G44" s="25"/>
      <c r="H44" s="25"/>
      <c r="I44" s="25"/>
      <c r="J44" s="25"/>
      <c r="K44" s="25"/>
      <c r="L44" s="25"/>
      <c r="M44" s="25"/>
      <c r="N44" s="86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row>
    <row r="45" spans="1:52" ht="4.4000000000000004" customHeight="1" x14ac:dyDescent="0.35">
      <c r="A45" s="25"/>
      <c r="B45" s="25"/>
      <c r="C45" s="25"/>
      <c r="D45" s="25"/>
      <c r="E45" s="25"/>
      <c r="F45" s="25"/>
      <c r="G45" s="25"/>
      <c r="H45" s="25"/>
      <c r="I45" s="25"/>
      <c r="J45" s="25"/>
      <c r="K45" s="25"/>
      <c r="L45" s="25"/>
      <c r="M45" s="25"/>
      <c r="N45" s="86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row>
    <row r="46" spans="1:52" ht="25.4" customHeight="1" x14ac:dyDescent="0.35">
      <c r="A46" s="25"/>
      <c r="B46" s="25"/>
      <c r="C46" s="25"/>
      <c r="D46" s="25"/>
      <c r="E46" s="25"/>
      <c r="F46" s="25"/>
      <c r="G46" s="25"/>
      <c r="H46" s="25"/>
      <c r="I46" s="25"/>
      <c r="J46" s="25"/>
      <c r="K46" s="25"/>
      <c r="L46" s="25"/>
      <c r="M46" s="25"/>
      <c r="N46" s="86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row>
    <row r="47" spans="1:52" ht="25.4" customHeight="1" x14ac:dyDescent="0.35">
      <c r="A47" s="25"/>
      <c r="B47" s="25"/>
      <c r="C47" s="25"/>
      <c r="D47" s="25"/>
      <c r="E47" s="25"/>
      <c r="F47" s="25"/>
      <c r="G47" s="25"/>
      <c r="H47" s="25"/>
      <c r="I47" s="25"/>
      <c r="J47" s="25"/>
      <c r="K47" s="25"/>
      <c r="L47" s="25"/>
      <c r="M47" s="25"/>
      <c r="N47" s="86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row>
    <row r="48" spans="1:52" ht="25.4" customHeight="1" x14ac:dyDescent="0.35">
      <c r="A48" s="25"/>
      <c r="B48" s="25"/>
      <c r="C48" s="25"/>
      <c r="D48" s="25"/>
      <c r="E48" s="25"/>
      <c r="F48" s="25"/>
      <c r="G48" s="25"/>
      <c r="H48" s="25"/>
      <c r="I48" s="25"/>
      <c r="J48" s="25"/>
      <c r="K48" s="25"/>
      <c r="L48" s="25"/>
      <c r="M48" s="25"/>
      <c r="N48" s="86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row>
    <row r="49" spans="1:52" ht="25.4" customHeight="1" x14ac:dyDescent="0.35">
      <c r="A49" s="25"/>
      <c r="B49" s="25"/>
      <c r="C49" s="25"/>
      <c r="D49" s="25"/>
      <c r="E49" s="25"/>
      <c r="F49" s="25"/>
      <c r="G49" s="25"/>
      <c r="H49" s="25"/>
      <c r="I49" s="25"/>
      <c r="J49" s="25"/>
      <c r="K49" s="25"/>
      <c r="L49" s="25"/>
      <c r="M49" s="25"/>
      <c r="N49" s="86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row>
    <row r="50" spans="1:52" ht="25.4" customHeight="1" x14ac:dyDescent="0.35">
      <c r="A50" s="25"/>
      <c r="B50" s="25"/>
      <c r="C50" s="25"/>
      <c r="D50" s="25"/>
      <c r="E50" s="25"/>
      <c r="F50" s="25"/>
      <c r="G50" s="25"/>
      <c r="H50" s="25"/>
      <c r="I50" s="25"/>
      <c r="J50" s="25"/>
      <c r="K50" s="25"/>
      <c r="L50" s="25"/>
      <c r="M50" s="25"/>
      <c r="N50" s="86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row>
    <row r="51" spans="1:52" ht="25.4" customHeight="1" x14ac:dyDescent="0.35">
      <c r="A51" s="25"/>
      <c r="B51" s="25"/>
      <c r="C51" s="25"/>
      <c r="D51" s="25"/>
      <c r="E51" s="25"/>
      <c r="F51" s="25"/>
      <c r="G51" s="25"/>
      <c r="H51" s="25"/>
      <c r="I51" s="25"/>
      <c r="J51" s="25"/>
      <c r="K51" s="25"/>
      <c r="L51" s="25"/>
      <c r="M51" s="25"/>
      <c r="N51" s="86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row>
    <row r="52" spans="1:52" ht="25.4" customHeight="1" x14ac:dyDescent="0.35">
      <c r="A52" s="25"/>
      <c r="B52" s="25"/>
      <c r="C52" s="25"/>
      <c r="D52" s="25"/>
      <c r="E52" s="25"/>
      <c r="F52" s="25"/>
      <c r="G52" s="25"/>
      <c r="H52" s="25"/>
      <c r="I52" s="25"/>
      <c r="J52" s="25"/>
      <c r="K52" s="25"/>
      <c r="L52" s="25"/>
      <c r="M52" s="25"/>
      <c r="N52" s="86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row>
    <row r="53" spans="1:52" ht="25.4" customHeight="1" x14ac:dyDescent="0.35">
      <c r="A53" s="25"/>
      <c r="B53" s="25"/>
      <c r="C53" s="25"/>
      <c r="D53" s="25"/>
      <c r="E53" s="25"/>
      <c r="F53" s="25"/>
      <c r="G53" s="25"/>
      <c r="H53" s="25"/>
      <c r="I53" s="25"/>
      <c r="J53" s="25"/>
      <c r="K53" s="25"/>
      <c r="L53" s="25"/>
      <c r="M53" s="25"/>
      <c r="N53" s="86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row>
    <row r="54" spans="1:52" ht="25.4" customHeight="1" x14ac:dyDescent="0.35">
      <c r="A54" s="25"/>
      <c r="B54" s="25"/>
      <c r="C54" s="25"/>
      <c r="D54" s="25"/>
      <c r="E54" s="25"/>
      <c r="F54" s="25"/>
      <c r="G54" s="25"/>
      <c r="H54" s="25"/>
      <c r="I54" s="25"/>
      <c r="J54" s="25"/>
      <c r="K54" s="25"/>
      <c r="L54" s="25"/>
      <c r="M54" s="25"/>
      <c r="N54" s="86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row>
    <row r="55" spans="1:52" ht="25.4" customHeight="1" x14ac:dyDescent="0.35">
      <c r="A55" s="25"/>
      <c r="B55" s="25"/>
      <c r="C55" s="25"/>
      <c r="D55" s="25"/>
      <c r="E55" s="25"/>
      <c r="F55" s="25"/>
      <c r="G55" s="25"/>
      <c r="H55" s="25"/>
      <c r="I55" s="25"/>
      <c r="J55" s="25"/>
      <c r="K55" s="25"/>
      <c r="L55" s="25"/>
      <c r="M55" s="25"/>
      <c r="N55" s="86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row>
    <row r="56" spans="1:52" ht="25.4" customHeight="1" x14ac:dyDescent="0.35">
      <c r="A56" s="25"/>
      <c r="B56" s="25"/>
      <c r="C56" s="25"/>
      <c r="D56" s="25"/>
      <c r="E56" s="25"/>
      <c r="F56" s="25"/>
      <c r="G56" s="25"/>
      <c r="H56" s="25"/>
      <c r="I56" s="25"/>
      <c r="J56" s="25"/>
      <c r="K56" s="25"/>
      <c r="L56" s="25"/>
      <c r="M56" s="25"/>
      <c r="N56" s="86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row>
    <row r="57" spans="1:52" ht="3" customHeight="1" x14ac:dyDescent="0.35">
      <c r="A57" s="25"/>
      <c r="B57" s="25"/>
      <c r="C57" s="25"/>
      <c r="D57" s="25"/>
      <c r="E57" s="25"/>
      <c r="F57" s="25"/>
      <c r="G57" s="25"/>
      <c r="H57" s="25"/>
      <c r="I57" s="25"/>
      <c r="J57" s="25"/>
      <c r="K57" s="25"/>
      <c r="L57" s="25"/>
      <c r="M57" s="25"/>
      <c r="N57" s="86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row>
    <row r="58" spans="1:52" ht="3" customHeight="1" x14ac:dyDescent="0.35">
      <c r="A58" s="25"/>
      <c r="B58" s="25"/>
      <c r="C58" s="25"/>
      <c r="D58" s="25"/>
      <c r="E58" s="25"/>
      <c r="F58" s="25"/>
      <c r="G58" s="25"/>
      <c r="H58" s="25"/>
      <c r="I58" s="25"/>
      <c r="J58" s="25"/>
      <c r="K58" s="25"/>
      <c r="L58" s="25"/>
      <c r="M58" s="25"/>
      <c r="N58" s="86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row>
    <row r="59" spans="1:52" ht="3" customHeight="1" x14ac:dyDescent="0.35">
      <c r="A59" s="25"/>
      <c r="B59" s="25"/>
      <c r="C59" s="25"/>
      <c r="D59" s="25"/>
      <c r="E59" s="25"/>
      <c r="F59" s="25"/>
      <c r="G59" s="25"/>
      <c r="H59" s="25"/>
      <c r="I59" s="25"/>
      <c r="J59" s="25"/>
      <c r="K59" s="25"/>
      <c r="L59" s="25"/>
      <c r="M59" s="25"/>
      <c r="N59" s="86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row>
    <row r="60" spans="1:52" ht="3" customHeight="1" x14ac:dyDescent="0.35">
      <c r="A60" s="25"/>
      <c r="B60" s="25"/>
      <c r="C60" s="25"/>
      <c r="D60" s="25"/>
      <c r="E60" s="25"/>
      <c r="F60" s="25"/>
      <c r="G60" s="25"/>
      <c r="H60" s="25"/>
      <c r="I60" s="25"/>
      <c r="J60" s="25"/>
      <c r="K60" s="25"/>
      <c r="L60" s="25"/>
      <c r="M60" s="25"/>
      <c r="N60" s="86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row>
    <row r="61" spans="1:52" ht="3" customHeight="1" x14ac:dyDescent="0.35">
      <c r="A61" s="25"/>
      <c r="B61" s="25"/>
      <c r="C61" s="25"/>
      <c r="D61" s="25"/>
      <c r="E61" s="25"/>
      <c r="F61" s="25"/>
      <c r="G61" s="25"/>
      <c r="H61" s="25"/>
      <c r="I61" s="25"/>
      <c r="J61" s="25"/>
      <c r="K61" s="25"/>
      <c r="L61" s="25"/>
      <c r="M61" s="25"/>
      <c r="N61" s="86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row>
    <row r="62" spans="1:52" ht="3" customHeight="1" x14ac:dyDescent="0.35">
      <c r="A62" s="25"/>
      <c r="B62" s="25"/>
      <c r="C62" s="25"/>
      <c r="D62" s="25"/>
      <c r="E62" s="25"/>
      <c r="F62" s="25"/>
      <c r="G62" s="25"/>
      <c r="H62" s="25"/>
      <c r="I62" s="25"/>
      <c r="J62" s="25"/>
      <c r="K62" s="25"/>
      <c r="L62" s="25"/>
      <c r="M62" s="25"/>
      <c r="N62" s="86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row>
    <row r="63" spans="1:52" ht="3" customHeight="1" x14ac:dyDescent="0.35">
      <c r="A63" s="25"/>
      <c r="B63" s="25"/>
      <c r="C63" s="25"/>
      <c r="D63" s="25"/>
      <c r="E63" s="25"/>
      <c r="F63" s="25"/>
      <c r="G63" s="25"/>
      <c r="H63" s="25"/>
      <c r="I63" s="25"/>
      <c r="J63" s="25"/>
      <c r="K63" s="25"/>
      <c r="L63" s="25"/>
      <c r="M63" s="25"/>
      <c r="N63" s="86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row>
    <row r="64" spans="1:52" ht="3" customHeight="1" x14ac:dyDescent="0.35">
      <c r="A64" s="25"/>
      <c r="B64" s="25"/>
      <c r="C64" s="25"/>
      <c r="D64" s="25"/>
      <c r="E64" s="25"/>
      <c r="F64" s="25"/>
      <c r="G64" s="25"/>
      <c r="H64" s="25"/>
      <c r="I64" s="25"/>
      <c r="J64" s="25"/>
      <c r="K64" s="25"/>
      <c r="L64" s="25"/>
      <c r="M64" s="25"/>
      <c r="N64" s="86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row>
    <row r="65" spans="1:52" ht="25.4" customHeight="1" x14ac:dyDescent="0.35">
      <c r="A65" s="25"/>
      <c r="B65" s="25"/>
      <c r="C65" s="25"/>
      <c r="D65" s="25"/>
      <c r="E65" s="25"/>
      <c r="F65" s="25"/>
      <c r="G65" s="25"/>
      <c r="H65" s="25"/>
      <c r="I65" s="25"/>
      <c r="J65" s="25"/>
      <c r="K65" s="25"/>
      <c r="L65" s="25"/>
      <c r="M65" s="25"/>
      <c r="N65" s="86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row>
    <row r="66" spans="1:52" ht="25.4" customHeight="1" x14ac:dyDescent="0.35">
      <c r="A66" s="25"/>
      <c r="B66" s="25"/>
      <c r="C66" s="25"/>
      <c r="D66" s="25"/>
      <c r="E66" s="25"/>
      <c r="F66" s="25"/>
      <c r="G66" s="25"/>
      <c r="H66" s="25"/>
      <c r="I66" s="25"/>
      <c r="J66" s="25"/>
      <c r="K66" s="25"/>
      <c r="L66" s="25"/>
      <c r="M66" s="25"/>
      <c r="N66" s="86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row>
    <row r="67" spans="1:52" ht="25.4" customHeight="1" x14ac:dyDescent="0.35">
      <c r="A67" s="25"/>
      <c r="B67" s="25"/>
      <c r="C67" s="25"/>
      <c r="D67" s="25"/>
      <c r="E67" s="25"/>
      <c r="F67" s="25"/>
      <c r="G67" s="25"/>
      <c r="H67" s="25"/>
      <c r="I67" s="25"/>
      <c r="J67" s="25"/>
      <c r="K67" s="25"/>
      <c r="L67" s="25"/>
      <c r="M67" s="25"/>
      <c r="N67" s="86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row>
    <row r="68" spans="1:52" ht="25.4" customHeight="1" x14ac:dyDescent="0.35">
      <c r="A68" s="25"/>
      <c r="B68" s="25"/>
      <c r="C68" s="25"/>
      <c r="D68" s="25"/>
      <c r="E68" s="25"/>
      <c r="F68" s="25"/>
      <c r="G68" s="25"/>
      <c r="H68" s="25"/>
      <c r="I68" s="25"/>
      <c r="J68" s="25"/>
      <c r="K68" s="25"/>
      <c r="L68" s="25"/>
      <c r="M68" s="25"/>
      <c r="N68" s="86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row>
    <row r="69" spans="1:52" ht="25.4" customHeight="1" x14ac:dyDescent="0.35">
      <c r="A69" s="25"/>
      <c r="B69" s="25"/>
      <c r="C69" s="25"/>
      <c r="D69" s="25"/>
      <c r="E69" s="25"/>
      <c r="F69" s="25"/>
      <c r="G69" s="25"/>
      <c r="H69" s="25"/>
      <c r="I69" s="25"/>
      <c r="J69" s="25"/>
      <c r="K69" s="25"/>
      <c r="L69" s="25"/>
      <c r="M69" s="25"/>
      <c r="N69" s="86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row>
    <row r="70" spans="1:52" ht="25.4" customHeight="1" x14ac:dyDescent="0.35">
      <c r="A70" s="25"/>
      <c r="B70" s="25"/>
      <c r="C70" s="25"/>
      <c r="D70" s="25"/>
      <c r="E70" s="25"/>
      <c r="F70" s="25"/>
      <c r="G70" s="25"/>
      <c r="H70" s="25"/>
      <c r="I70" s="25"/>
      <c r="J70" s="25"/>
      <c r="K70" s="25"/>
      <c r="L70" s="25"/>
      <c r="M70" s="25"/>
      <c r="N70" s="86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row>
    <row r="71" spans="1:52" ht="25.4" customHeight="1" x14ac:dyDescent="0.35">
      <c r="A71" s="25"/>
      <c r="B71" s="25"/>
      <c r="C71" s="25"/>
      <c r="D71" s="25"/>
      <c r="E71" s="25"/>
      <c r="F71" s="25"/>
      <c r="G71" s="25"/>
      <c r="H71" s="25"/>
      <c r="I71" s="25"/>
      <c r="J71" s="25"/>
      <c r="K71" s="25"/>
      <c r="L71" s="25"/>
      <c r="M71" s="25"/>
      <c r="N71" s="86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row>
    <row r="72" spans="1:52" ht="25.4" customHeight="1" x14ac:dyDescent="0.35">
      <c r="A72" s="25"/>
      <c r="B72" s="25"/>
      <c r="C72" s="25"/>
      <c r="D72" s="25"/>
      <c r="E72" s="25"/>
      <c r="F72" s="25"/>
      <c r="G72" s="25"/>
      <c r="H72" s="25"/>
      <c r="I72" s="25"/>
      <c r="J72" s="25"/>
      <c r="K72" s="25"/>
      <c r="L72" s="25"/>
      <c r="M72" s="25"/>
      <c r="N72" s="86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row>
    <row r="73" spans="1:52" ht="25.4" customHeight="1" x14ac:dyDescent="0.35">
      <c r="A73" s="25"/>
      <c r="B73" s="25"/>
      <c r="C73" s="25"/>
      <c r="D73" s="25"/>
      <c r="E73" s="25"/>
      <c r="F73" s="25"/>
      <c r="G73" s="25"/>
      <c r="H73" s="25"/>
      <c r="I73" s="25"/>
      <c r="J73" s="25"/>
      <c r="K73" s="25"/>
      <c r="L73" s="25"/>
      <c r="M73" s="25"/>
      <c r="N73" s="86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row>
    <row r="74" spans="1:52" ht="25.4" customHeight="1" x14ac:dyDescent="0.35">
      <c r="A74" s="25"/>
      <c r="B74" s="25"/>
      <c r="C74" s="25"/>
      <c r="D74" s="25"/>
      <c r="E74" s="25"/>
      <c r="F74" s="25"/>
      <c r="G74" s="25"/>
      <c r="H74" s="25"/>
      <c r="I74" s="25"/>
      <c r="J74" s="25"/>
      <c r="K74" s="25"/>
      <c r="L74" s="25"/>
      <c r="M74" s="25"/>
      <c r="N74" s="86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row>
    <row r="75" spans="1:52" ht="25.4" customHeight="1" x14ac:dyDescent="0.35">
      <c r="A75" s="25"/>
      <c r="B75" s="25"/>
      <c r="C75" s="25"/>
      <c r="D75" s="25"/>
      <c r="E75" s="25"/>
      <c r="F75" s="25"/>
      <c r="G75" s="25"/>
      <c r="H75" s="25"/>
      <c r="I75" s="25"/>
      <c r="J75" s="25"/>
      <c r="K75" s="25"/>
      <c r="L75" s="25"/>
      <c r="M75" s="25"/>
      <c r="N75" s="86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row>
    <row r="76" spans="1:52" ht="25.4" customHeight="1" x14ac:dyDescent="0.3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row>
    <row r="77" spans="1:52" ht="25.4" customHeight="1" x14ac:dyDescent="0.3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row>
    <row r="78" spans="1:52" ht="25.4" customHeight="1" x14ac:dyDescent="0.3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row>
    <row r="79" spans="1:52" ht="25.4" customHeight="1" x14ac:dyDescent="0.3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row>
    <row r="80" spans="1:52" ht="25.4" customHeight="1" x14ac:dyDescent="0.3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row>
    <row r="81" spans="1:52" ht="25.4" customHeight="1" x14ac:dyDescent="0.3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row>
    <row r="82" spans="1:52" ht="25.4" customHeight="1" x14ac:dyDescent="0.3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row>
    <row r="83" spans="1:52" ht="25.4" customHeight="1" x14ac:dyDescent="0.3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row>
    <row r="84" spans="1:52" ht="25.4" customHeight="1" x14ac:dyDescent="0.3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row>
    <row r="85" spans="1:52" ht="14.25" customHeight="1" x14ac:dyDescent="0.3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row>
    <row r="86" spans="1:52" ht="14.25" customHeight="1" x14ac:dyDescent="0.3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row>
    <row r="87" spans="1:52" ht="14.25" customHeight="1" x14ac:dyDescent="0.3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row>
    <row r="88" spans="1:52" ht="14.25" customHeight="1" x14ac:dyDescent="0.3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row>
    <row r="89" spans="1:52" ht="14.25" customHeight="1" x14ac:dyDescent="0.3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row>
    <row r="90" spans="1:52" ht="14.25" customHeight="1" x14ac:dyDescent="0.3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row>
    <row r="91" spans="1:52" ht="14.25" customHeight="1" x14ac:dyDescent="0.3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row>
    <row r="92" spans="1:52" ht="14.25" customHeight="1" x14ac:dyDescent="0.3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row>
    <row r="93" spans="1:52" ht="14.25" customHeight="1" x14ac:dyDescent="0.3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row>
    <row r="94" spans="1:52" ht="14.25" customHeight="1" x14ac:dyDescent="0.3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row>
    <row r="95" spans="1:52" ht="14.25" customHeight="1" x14ac:dyDescent="0.3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row>
    <row r="96" spans="1:52" ht="14.25" customHeight="1" x14ac:dyDescent="0.3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row>
    <row r="97" spans="1:52" ht="14.25" customHeight="1" x14ac:dyDescent="0.3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row>
    <row r="98" spans="1:52" ht="14.25" customHeight="1" x14ac:dyDescent="0.3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row>
    <row r="99" spans="1:52" ht="14.25" customHeight="1" x14ac:dyDescent="0.3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row>
    <row r="100" spans="1:52" ht="14.25" customHeight="1" x14ac:dyDescent="0.3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row>
  </sheetData>
  <sheetProtection algorithmName="SHA-512" hashValue="mqX+Hfnxy6QoY+wRtMeAQvxTeUeuXWgkeiheYmA0x+d6zPS2BOEOa6GkRNlNUQvbZmSHhSUYPMqUUTlHiet2yQ==" saltValue="+mf+yXypQvoDuJr+qgFQUw==" spinCount="100000" sheet="1" objects="1" scenarios="1"/>
  <mergeCells count="10">
    <mergeCell ref="C2:E2"/>
    <mergeCell ref="U2:W2"/>
    <mergeCell ref="L3:N3"/>
    <mergeCell ref="AR8:AZ8"/>
    <mergeCell ref="AS9:AV9"/>
    <mergeCell ref="AW9:AZ9"/>
    <mergeCell ref="AI9:AL9"/>
    <mergeCell ref="AM9:AP9"/>
    <mergeCell ref="AH8:AP8"/>
    <mergeCell ref="L2:N2"/>
  </mergeCells>
  <conditionalFormatting sqref="A3">
    <cfRule type="expression" dxfId="435" priority="1">
      <formula xml:space="preserve"> $A$4 &lt;&gt; 0</formula>
    </cfRule>
  </conditionalFormatting>
  <pageMargins left="0.511811024" right="0.511811024" top="0.78740157499999996" bottom="0.78740157499999996" header="0" footer="0"/>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BE115"/>
  <sheetViews>
    <sheetView zoomScale="75" zoomScaleNormal="75" workbookViewId="0">
      <selection activeCell="B2" sqref="B2"/>
    </sheetView>
  </sheetViews>
  <sheetFormatPr defaultColWidth="14.453125" defaultRowHeight="15" customHeight="1" x14ac:dyDescent="0.35"/>
  <cols>
    <col min="1" max="1" width="1.7265625" style="1248" customWidth="1"/>
    <col min="2" max="18" width="10.7265625" style="1250" customWidth="1"/>
    <col min="19" max="20" width="3.26953125" style="1250" customWidth="1"/>
    <col min="21" max="23" width="11.7265625" style="38" customWidth="1"/>
    <col min="24" max="27" width="11.7265625" style="1250" customWidth="1"/>
    <col min="28" max="28" width="3.26953125" style="1250" customWidth="1"/>
    <col min="29" max="29" width="80.7265625" style="1250" customWidth="1"/>
    <col min="30" max="32" width="9" style="1250" customWidth="1"/>
    <col min="33" max="56" width="9.26953125" style="1250" customWidth="1"/>
    <col min="57" max="16384" width="14.453125" style="1250"/>
  </cols>
  <sheetData>
    <row r="1" spans="1:57" ht="5.15" customHeight="1" thickBot="1" x14ac:dyDescent="0.4">
      <c r="A1" s="1254"/>
      <c r="B1" s="431"/>
      <c r="C1" s="432"/>
      <c r="D1" s="402"/>
      <c r="E1" s="402"/>
      <c r="F1" s="402"/>
      <c r="G1" s="402"/>
      <c r="H1" s="402"/>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02"/>
    </row>
    <row r="2" spans="1:57" s="44" customFormat="1" ht="20.149999999999999" customHeight="1" thickTop="1" x14ac:dyDescent="0.35">
      <c r="A2" s="1255"/>
      <c r="B2" s="1264" t="s">
        <v>684</v>
      </c>
      <c r="C2" s="2251" t="str">
        <f>'R-Definição'!D2</f>
        <v>São Judas Tadeu</v>
      </c>
      <c r="D2" s="2252"/>
      <c r="E2" s="1256"/>
      <c r="F2" s="1264" t="s">
        <v>685</v>
      </c>
      <c r="G2" s="2286" t="str">
        <f>'R-Definição'!D3</f>
        <v>Rota Futura 1</v>
      </c>
      <c r="H2" s="2287"/>
      <c r="I2" s="1257"/>
      <c r="N2" s="2208" t="s">
        <v>474</v>
      </c>
      <c r="O2" s="2208"/>
      <c r="P2" s="2208"/>
      <c r="Q2" s="443"/>
      <c r="R2" s="443"/>
      <c r="S2" s="443"/>
      <c r="T2" s="443"/>
      <c r="U2" s="2209" t="s">
        <v>883</v>
      </c>
      <c r="V2" s="2210"/>
      <c r="W2" s="2210"/>
      <c r="X2" s="2210"/>
      <c r="Y2" s="2210"/>
      <c r="Z2" s="2210"/>
      <c r="AA2" s="2211"/>
      <c r="AB2" s="443"/>
      <c r="AC2" s="443"/>
      <c r="AD2" s="443"/>
      <c r="AE2" s="443"/>
      <c r="AF2" s="443"/>
      <c r="AG2" s="443"/>
      <c r="AH2" s="443"/>
      <c r="AI2" s="443"/>
      <c r="AJ2" s="443"/>
      <c r="AK2" s="443"/>
      <c r="AL2" s="443"/>
      <c r="AM2" s="443"/>
      <c r="AN2" s="443"/>
      <c r="AO2" s="443"/>
      <c r="AP2" s="443"/>
      <c r="AQ2" s="443"/>
      <c r="AR2" s="443"/>
      <c r="AS2" s="443"/>
      <c r="AT2" s="443"/>
      <c r="AU2" s="443"/>
      <c r="AV2" s="443"/>
      <c r="AW2" s="443"/>
      <c r="AX2" s="443"/>
      <c r="AY2" s="443"/>
      <c r="AZ2" s="443"/>
      <c r="BA2" s="443"/>
      <c r="BB2" s="443"/>
      <c r="BC2" s="443"/>
      <c r="BD2" s="443"/>
      <c r="BE2" s="443"/>
    </row>
    <row r="3" spans="1:57" ht="20.149999999999999" customHeight="1" x14ac:dyDescent="0.35">
      <c r="A3" s="1254"/>
      <c r="B3" s="431"/>
      <c r="C3" s="432"/>
      <c r="D3" s="402"/>
      <c r="E3" s="402"/>
      <c r="F3" s="402"/>
      <c r="G3" s="402"/>
      <c r="H3" s="402"/>
      <c r="I3" s="402"/>
      <c r="J3" s="402"/>
      <c r="K3" s="402"/>
      <c r="L3" s="402"/>
      <c r="M3" s="402"/>
      <c r="N3" s="1941" t="str">
        <f>'C-Graf Simul Tarifa Avançado'!L3</f>
        <v>Versão 1.01   -   Maio de 2022</v>
      </c>
      <c r="O3" s="1941"/>
      <c r="P3" s="1941"/>
      <c r="Q3" s="402"/>
      <c r="R3" s="402"/>
      <c r="S3" s="402"/>
      <c r="T3" s="402"/>
      <c r="U3" s="2212"/>
      <c r="V3" s="2213"/>
      <c r="W3" s="2213"/>
      <c r="X3" s="2213"/>
      <c r="Y3" s="2213"/>
      <c r="Z3" s="2213"/>
      <c r="AA3" s="2214"/>
      <c r="AB3" s="402"/>
      <c r="AC3" s="402"/>
      <c r="AD3" s="402"/>
      <c r="AE3" s="402"/>
      <c r="AF3" s="402"/>
      <c r="AG3" s="402"/>
      <c r="AH3" s="402"/>
      <c r="AI3" s="402"/>
      <c r="AJ3" s="402"/>
      <c r="AK3" s="402"/>
      <c r="AL3" s="402"/>
      <c r="AM3" s="402"/>
      <c r="AN3" s="402"/>
      <c r="AO3" s="402"/>
      <c r="AP3" s="402"/>
      <c r="AQ3" s="402"/>
      <c r="AR3" s="402"/>
      <c r="AS3" s="402"/>
      <c r="AT3" s="402"/>
      <c r="AU3" s="402"/>
      <c r="AV3" s="402"/>
      <c r="AW3" s="402"/>
      <c r="AX3" s="402"/>
      <c r="AY3" s="402"/>
      <c r="AZ3" s="402"/>
      <c r="BA3" s="402"/>
      <c r="BB3" s="402"/>
      <c r="BC3" s="402"/>
      <c r="BD3" s="402"/>
      <c r="BE3" s="402"/>
    </row>
    <row r="4" spans="1:57" ht="10.4" customHeight="1" thickBot="1" x14ac:dyDescent="0.4">
      <c r="A4" s="1254"/>
      <c r="B4" s="431"/>
      <c r="C4" s="432"/>
      <c r="D4" s="402"/>
      <c r="E4" s="402"/>
      <c r="F4" s="402"/>
      <c r="G4" s="402"/>
      <c r="H4" s="402"/>
      <c r="I4" s="402"/>
      <c r="J4" s="402"/>
      <c r="K4" s="402"/>
      <c r="L4" s="402"/>
      <c r="M4" s="402"/>
      <c r="Q4" s="402"/>
      <c r="R4" s="402"/>
      <c r="S4" s="402"/>
      <c r="T4" s="402"/>
      <c r="U4" s="2215"/>
      <c r="V4" s="2216"/>
      <c r="W4" s="2216"/>
      <c r="X4" s="2216"/>
      <c r="Y4" s="2216"/>
      <c r="Z4" s="2216"/>
      <c r="AA4" s="2217"/>
      <c r="AB4" s="402"/>
      <c r="AC4" s="402"/>
      <c r="AD4" s="402"/>
      <c r="AE4" s="402"/>
      <c r="AF4" s="402"/>
      <c r="AG4" s="402"/>
      <c r="AH4" s="402"/>
      <c r="AI4" s="402"/>
      <c r="AJ4" s="402"/>
      <c r="AK4" s="402"/>
      <c r="AL4" s="402"/>
      <c r="AM4" s="402"/>
      <c r="AN4" s="402"/>
      <c r="AO4" s="402"/>
      <c r="AP4" s="402"/>
      <c r="AQ4" s="402"/>
      <c r="AR4" s="402"/>
      <c r="AS4" s="402"/>
      <c r="AT4" s="402"/>
      <c r="AU4" s="402"/>
      <c r="AV4" s="402"/>
      <c r="AW4" s="402"/>
      <c r="AX4" s="402"/>
      <c r="AY4" s="402"/>
      <c r="AZ4" s="402"/>
      <c r="BA4" s="402"/>
      <c r="BB4" s="402"/>
      <c r="BC4" s="402"/>
      <c r="BD4" s="402"/>
      <c r="BE4" s="402"/>
    </row>
    <row r="5" spans="1:57" ht="10.4" customHeight="1" thickTop="1" thickBot="1" x14ac:dyDescent="0.4">
      <c r="A5" s="1254"/>
      <c r="B5" s="431"/>
      <c r="C5" s="432"/>
      <c r="D5" s="402"/>
      <c r="E5" s="402"/>
      <c r="F5" s="402"/>
      <c r="G5" s="402"/>
      <c r="H5" s="402"/>
      <c r="I5" s="402"/>
      <c r="J5" s="402"/>
      <c r="K5" s="402"/>
      <c r="L5" s="402"/>
      <c r="M5" s="402"/>
      <c r="N5" s="402"/>
      <c r="O5" s="402"/>
      <c r="P5" s="402"/>
      <c r="Q5" s="402"/>
      <c r="R5" s="402"/>
      <c r="S5" s="402"/>
      <c r="T5" s="402"/>
      <c r="AB5" s="402"/>
      <c r="AC5" s="402"/>
      <c r="AD5" s="402"/>
      <c r="AE5" s="402"/>
      <c r="AF5" s="402"/>
      <c r="AG5" s="402"/>
      <c r="AH5" s="402"/>
      <c r="AI5" s="402"/>
      <c r="AJ5" s="402"/>
      <c r="AK5" s="402"/>
      <c r="AL5" s="402"/>
      <c r="AM5" s="402"/>
      <c r="AN5" s="402"/>
      <c r="AO5" s="402"/>
      <c r="AP5" s="402"/>
      <c r="AQ5" s="402"/>
      <c r="AR5" s="402"/>
      <c r="AS5" s="402"/>
      <c r="AT5" s="402"/>
      <c r="AU5" s="402"/>
      <c r="AV5" s="402"/>
      <c r="AW5" s="402"/>
      <c r="AX5" s="402"/>
      <c r="AY5" s="402"/>
      <c r="AZ5" s="402"/>
      <c r="BA5" s="402"/>
      <c r="BB5" s="402"/>
      <c r="BC5" s="402"/>
      <c r="BD5" s="402"/>
      <c r="BE5" s="402"/>
    </row>
    <row r="6" spans="1:57" ht="40.15" customHeight="1" thickTop="1" thickBot="1" x14ac:dyDescent="0.4">
      <c r="A6" s="1254"/>
      <c r="B6" s="431"/>
      <c r="C6" s="432"/>
      <c r="D6" s="402"/>
      <c r="E6" s="402"/>
      <c r="F6" s="402"/>
      <c r="G6" s="402"/>
      <c r="H6" s="402"/>
      <c r="I6" s="402"/>
      <c r="J6" s="402"/>
      <c r="K6" s="402"/>
      <c r="L6" s="402"/>
      <c r="M6" s="402"/>
      <c r="N6" s="402"/>
      <c r="O6" s="402"/>
      <c r="P6" s="402"/>
      <c r="Q6" s="402"/>
      <c r="R6" s="402"/>
      <c r="S6" s="402"/>
      <c r="T6" s="402"/>
      <c r="U6" s="2253" t="s">
        <v>1019</v>
      </c>
      <c r="V6" s="2254"/>
      <c r="W6" s="2254"/>
      <c r="X6" s="2254"/>
      <c r="Y6" s="2254"/>
      <c r="Z6" s="1840" t="s">
        <v>382</v>
      </c>
      <c r="AA6" s="1841" t="s">
        <v>383</v>
      </c>
      <c r="AB6" s="402"/>
      <c r="AJ6" s="402"/>
      <c r="AK6" s="402"/>
      <c r="AL6" s="402"/>
      <c r="AM6" s="402"/>
      <c r="AN6" s="402"/>
      <c r="AO6" s="402"/>
      <c r="AP6" s="402"/>
      <c r="AQ6" s="402"/>
      <c r="AR6" s="402"/>
      <c r="AS6" s="402"/>
      <c r="AT6" s="402"/>
      <c r="AU6" s="402"/>
      <c r="AV6" s="402"/>
      <c r="AW6" s="402"/>
      <c r="AX6" s="402"/>
      <c r="AY6" s="402"/>
      <c r="AZ6" s="402"/>
      <c r="BA6" s="402"/>
      <c r="BB6" s="402"/>
      <c r="BC6" s="402"/>
      <c r="BD6" s="402"/>
      <c r="BE6" s="402"/>
    </row>
    <row r="7" spans="1:57" ht="17.899999999999999" customHeight="1" thickTop="1" thickBot="1" x14ac:dyDescent="0.4">
      <c r="A7" s="1254"/>
      <c r="B7" s="431"/>
      <c r="C7" s="432"/>
      <c r="D7" s="402"/>
      <c r="E7" s="402"/>
      <c r="F7" s="402"/>
      <c r="G7" s="402"/>
      <c r="H7" s="402"/>
      <c r="I7" s="402"/>
      <c r="J7" s="402"/>
      <c r="K7" s="402"/>
      <c r="L7" s="402"/>
      <c r="M7" s="402"/>
      <c r="N7" s="402"/>
      <c r="O7" s="402"/>
      <c r="P7" s="402"/>
      <c r="Q7" s="402"/>
      <c r="R7" s="402"/>
      <c r="S7" s="402"/>
      <c r="T7" s="402"/>
      <c r="U7" s="1258"/>
      <c r="V7" s="1258"/>
      <c r="W7" s="1258"/>
      <c r="X7" s="433"/>
      <c r="Y7" s="433"/>
      <c r="Z7" s="433"/>
      <c r="AA7" s="433"/>
      <c r="AB7" s="402"/>
      <c r="AJ7" s="402"/>
      <c r="AK7" s="402"/>
      <c r="AL7" s="402"/>
      <c r="AM7" s="402"/>
      <c r="AN7" s="402"/>
      <c r="AO7" s="402"/>
      <c r="AP7" s="402"/>
      <c r="AQ7" s="402"/>
      <c r="AR7" s="402"/>
      <c r="AS7" s="402"/>
      <c r="AT7" s="402"/>
      <c r="AU7" s="402"/>
      <c r="AV7" s="402"/>
      <c r="AW7" s="402"/>
      <c r="AX7" s="402"/>
      <c r="AY7" s="402"/>
      <c r="AZ7" s="402"/>
      <c r="BA7" s="402"/>
      <c r="BB7" s="402"/>
      <c r="BC7" s="402"/>
      <c r="BD7" s="402"/>
      <c r="BE7" s="402"/>
    </row>
    <row r="8" spans="1:57" ht="20.149999999999999" customHeight="1" thickTop="1" x14ac:dyDescent="0.35">
      <c r="A8" s="1254"/>
      <c r="B8" s="431"/>
      <c r="C8" s="432"/>
      <c r="D8" s="402"/>
      <c r="E8" s="402"/>
      <c r="F8" s="402"/>
      <c r="G8" s="402"/>
      <c r="H8" s="402"/>
      <c r="I8" s="402"/>
      <c r="J8" s="402"/>
      <c r="K8" s="402"/>
      <c r="L8" s="402"/>
      <c r="M8" s="402"/>
      <c r="N8" s="402"/>
      <c r="O8" s="402"/>
      <c r="P8" s="402"/>
      <c r="Q8" s="402"/>
      <c r="R8" s="402"/>
      <c r="S8" s="402"/>
      <c r="T8" s="402"/>
      <c r="U8" s="2231" t="s">
        <v>1013</v>
      </c>
      <c r="V8" s="2232"/>
      <c r="W8" s="2233"/>
      <c r="X8" s="2237" t="s">
        <v>384</v>
      </c>
      <c r="Y8" s="2238"/>
      <c r="Z8" s="1808">
        <f>AL53-AL53</f>
        <v>0</v>
      </c>
      <c r="AA8" s="1809">
        <f>Z8/AL53</f>
        <v>0</v>
      </c>
      <c r="AB8" s="402"/>
      <c r="AJ8" s="402"/>
      <c r="AK8" s="402"/>
      <c r="AL8" s="402"/>
      <c r="AM8" s="402"/>
      <c r="AN8" s="402"/>
      <c r="AO8" s="402"/>
      <c r="AP8" s="402"/>
      <c r="AQ8" s="402"/>
      <c r="AR8" s="402"/>
      <c r="AS8" s="402"/>
      <c r="AT8" s="402"/>
      <c r="AU8" s="402"/>
      <c r="AV8" s="402"/>
      <c r="AW8" s="402"/>
      <c r="AX8" s="402"/>
      <c r="AY8" s="402"/>
      <c r="AZ8" s="402"/>
      <c r="BA8" s="402"/>
      <c r="BB8" s="402"/>
      <c r="BC8" s="402"/>
      <c r="BD8" s="402"/>
      <c r="BE8" s="402"/>
    </row>
    <row r="9" spans="1:57" ht="20.149999999999999" customHeight="1" x14ac:dyDescent="0.35">
      <c r="A9" s="1254"/>
      <c r="B9" s="431"/>
      <c r="C9" s="432"/>
      <c r="D9" s="402"/>
      <c r="E9" s="402"/>
      <c r="F9" s="402"/>
      <c r="G9" s="402"/>
      <c r="H9" s="402"/>
      <c r="I9" s="402"/>
      <c r="J9" s="402"/>
      <c r="K9" s="402"/>
      <c r="L9" s="402"/>
      <c r="M9" s="402"/>
      <c r="N9" s="402"/>
      <c r="O9" s="402"/>
      <c r="P9" s="402"/>
      <c r="Q9" s="402"/>
      <c r="R9" s="402"/>
      <c r="S9" s="402"/>
      <c r="T9" s="402"/>
      <c r="U9" s="2221"/>
      <c r="V9" s="2222"/>
      <c r="W9" s="2223"/>
      <c r="X9" s="2227" t="s">
        <v>385</v>
      </c>
      <c r="Y9" s="2228"/>
      <c r="Z9" s="1810">
        <f>AL52-AL52</f>
        <v>0</v>
      </c>
      <c r="AA9" s="1811">
        <f>Z9/AL52</f>
        <v>0</v>
      </c>
      <c r="AB9" s="402"/>
      <c r="AJ9" s="402"/>
      <c r="AK9" s="402"/>
      <c r="AL9" s="402"/>
      <c r="AM9" s="402"/>
      <c r="AN9" s="402"/>
      <c r="AO9" s="402"/>
      <c r="AP9" s="402"/>
      <c r="AQ9" s="402"/>
      <c r="AR9" s="402"/>
      <c r="AS9" s="402"/>
      <c r="AT9" s="402"/>
      <c r="AU9" s="402"/>
      <c r="AV9" s="402"/>
      <c r="AW9" s="402"/>
      <c r="AX9" s="402"/>
      <c r="AY9" s="402"/>
      <c r="AZ9" s="402"/>
      <c r="BA9" s="402"/>
      <c r="BB9" s="402"/>
      <c r="BC9" s="402"/>
      <c r="BD9" s="402"/>
      <c r="BE9" s="402"/>
    </row>
    <row r="10" spans="1:57" ht="20.149999999999999" customHeight="1" x14ac:dyDescent="0.35">
      <c r="A10" s="1254"/>
      <c r="B10" s="431"/>
      <c r="C10" s="432"/>
      <c r="D10" s="402"/>
      <c r="E10" s="402"/>
      <c r="F10" s="402"/>
      <c r="G10" s="402"/>
      <c r="H10" s="402"/>
      <c r="I10" s="402"/>
      <c r="J10" s="402"/>
      <c r="K10" s="402"/>
      <c r="L10" s="402"/>
      <c r="M10" s="402"/>
      <c r="N10" s="402"/>
      <c r="O10" s="402"/>
      <c r="P10" s="402"/>
      <c r="Q10" s="402"/>
      <c r="R10" s="402"/>
      <c r="S10" s="402"/>
      <c r="T10" s="402"/>
      <c r="U10" s="2234"/>
      <c r="V10" s="2235"/>
      <c r="W10" s="2236"/>
      <c r="X10" s="2227" t="s">
        <v>686</v>
      </c>
      <c r="Y10" s="2228"/>
      <c r="Z10" s="1812">
        <f>AL51-AL51</f>
        <v>0</v>
      </c>
      <c r="AA10" s="1811">
        <f>Z10/AL51</f>
        <v>0</v>
      </c>
      <c r="AB10" s="402"/>
      <c r="AJ10" s="402"/>
      <c r="AK10" s="402"/>
      <c r="AL10" s="402"/>
      <c r="AM10" s="402"/>
      <c r="AN10" s="402"/>
      <c r="AO10" s="402"/>
      <c r="AP10" s="402"/>
      <c r="AQ10" s="402"/>
      <c r="AR10" s="402"/>
      <c r="AS10" s="402"/>
      <c r="AT10" s="402"/>
      <c r="AU10" s="402"/>
      <c r="AV10" s="402"/>
      <c r="AW10" s="402"/>
      <c r="AX10" s="402"/>
      <c r="AY10" s="402"/>
      <c r="AZ10" s="402"/>
      <c r="BA10" s="402"/>
      <c r="BB10" s="402"/>
      <c r="BC10" s="402"/>
      <c r="BD10" s="402"/>
      <c r="BE10" s="402"/>
    </row>
    <row r="11" spans="1:57" ht="10.4" customHeight="1" x14ac:dyDescent="0.35">
      <c r="A11" s="1254"/>
      <c r="B11" s="431"/>
      <c r="C11" s="432"/>
      <c r="D11" s="402"/>
      <c r="E11" s="402"/>
      <c r="F11" s="402"/>
      <c r="G11" s="402"/>
      <c r="H11" s="402"/>
      <c r="I11" s="402"/>
      <c r="J11" s="402"/>
      <c r="K11" s="402"/>
      <c r="L11" s="402"/>
      <c r="M11" s="402"/>
      <c r="N11" s="402"/>
      <c r="O11" s="402"/>
      <c r="P11" s="402"/>
      <c r="Q11" s="402"/>
      <c r="R11" s="402"/>
      <c r="S11" s="402"/>
      <c r="T11" s="402"/>
      <c r="U11" s="1813"/>
      <c r="V11" s="1814"/>
      <c r="W11" s="1814"/>
      <c r="X11" s="1815"/>
      <c r="Y11" s="1815"/>
      <c r="Z11" s="1816"/>
      <c r="AA11" s="1817"/>
      <c r="AB11" s="402"/>
      <c r="AJ11" s="402"/>
      <c r="AK11" s="402"/>
      <c r="AL11" s="402"/>
      <c r="AM11" s="402"/>
      <c r="AN11" s="402"/>
      <c r="AO11" s="402"/>
      <c r="AP11" s="402"/>
      <c r="AQ11" s="402"/>
      <c r="AR11" s="402"/>
      <c r="AS11" s="402"/>
      <c r="AT11" s="402"/>
      <c r="AU11" s="402"/>
      <c r="AV11" s="402"/>
      <c r="AW11" s="402"/>
      <c r="AX11" s="402"/>
      <c r="AY11" s="402"/>
      <c r="AZ11" s="402"/>
      <c r="BA11" s="402"/>
      <c r="BB11" s="402"/>
      <c r="BC11" s="402"/>
      <c r="BD11" s="402"/>
      <c r="BE11" s="402"/>
    </row>
    <row r="12" spans="1:57" ht="20.149999999999999" customHeight="1" x14ac:dyDescent="0.35">
      <c r="A12" s="1254"/>
      <c r="B12" s="431"/>
      <c r="C12" s="432"/>
      <c r="D12" s="402"/>
      <c r="E12" s="402"/>
      <c r="F12" s="402"/>
      <c r="G12" s="402"/>
      <c r="H12" s="402"/>
      <c r="I12" s="402"/>
      <c r="J12" s="402"/>
      <c r="K12" s="402"/>
      <c r="L12" s="402"/>
      <c r="M12" s="402"/>
      <c r="N12" s="402"/>
      <c r="O12" s="402"/>
      <c r="P12" s="402"/>
      <c r="Q12" s="402"/>
      <c r="R12" s="402"/>
      <c r="S12" s="402"/>
      <c r="T12" s="402"/>
      <c r="U12" s="2239" t="s">
        <v>1014</v>
      </c>
      <c r="V12" s="2240"/>
      <c r="W12" s="2241"/>
      <c r="X12" s="2245" t="s">
        <v>384</v>
      </c>
      <c r="Y12" s="2246"/>
      <c r="Z12" s="1818">
        <f>AG53-AL53</f>
        <v>8.444925147617937</v>
      </c>
      <c r="AA12" s="1819">
        <f>Z12/AL53</f>
        <v>2.6570404474540645E-2</v>
      </c>
      <c r="AB12" s="402"/>
      <c r="AJ12" s="402"/>
      <c r="AK12" s="402"/>
      <c r="AL12" s="402"/>
      <c r="AM12" s="402"/>
      <c r="AN12" s="402"/>
      <c r="AO12" s="402"/>
      <c r="AP12" s="402"/>
      <c r="AQ12" s="402"/>
      <c r="AR12" s="402"/>
      <c r="AS12" s="402"/>
      <c r="AT12" s="402"/>
      <c r="AU12" s="402"/>
      <c r="AV12" s="402"/>
      <c r="AW12" s="402"/>
      <c r="AX12" s="402"/>
      <c r="AY12" s="402"/>
      <c r="AZ12" s="402"/>
      <c r="BA12" s="402"/>
      <c r="BB12" s="402"/>
      <c r="BC12" s="402"/>
      <c r="BD12" s="402"/>
      <c r="BE12" s="402"/>
    </row>
    <row r="13" spans="1:57" ht="20.149999999999999" customHeight="1" x14ac:dyDescent="0.35">
      <c r="A13" s="1254"/>
      <c r="B13" s="431"/>
      <c r="C13" s="432"/>
      <c r="D13" s="402"/>
      <c r="E13" s="402"/>
      <c r="F13" s="402"/>
      <c r="G13" s="402"/>
      <c r="H13" s="402"/>
      <c r="I13" s="402"/>
      <c r="J13" s="402"/>
      <c r="K13" s="402"/>
      <c r="L13" s="402"/>
      <c r="M13" s="402"/>
      <c r="N13" s="402"/>
      <c r="O13" s="402"/>
      <c r="P13" s="402"/>
      <c r="Q13" s="402"/>
      <c r="R13" s="402"/>
      <c r="S13" s="402"/>
      <c r="T13" s="402"/>
      <c r="U13" s="2221"/>
      <c r="V13" s="2222"/>
      <c r="W13" s="2223"/>
      <c r="X13" s="2247" t="s">
        <v>385</v>
      </c>
      <c r="Y13" s="2248"/>
      <c r="Z13" s="1810">
        <f>AG52-AL52</f>
        <v>0.30401730531424498</v>
      </c>
      <c r="AA13" s="1811">
        <f>Z13/AL52</f>
        <v>2.6570404474540579E-2</v>
      </c>
      <c r="AB13" s="402"/>
      <c r="AJ13" s="402"/>
      <c r="AK13" s="402"/>
      <c r="AL13" s="402"/>
      <c r="AM13" s="402"/>
      <c r="AN13" s="402"/>
      <c r="AO13" s="402"/>
      <c r="AP13" s="402"/>
      <c r="AQ13" s="402"/>
      <c r="AR13" s="402"/>
      <c r="AS13" s="402"/>
      <c r="AT13" s="402"/>
      <c r="AU13" s="402"/>
      <c r="AV13" s="402"/>
      <c r="AW13" s="402"/>
      <c r="AX13" s="402"/>
      <c r="AY13" s="402"/>
      <c r="AZ13" s="402"/>
      <c r="BA13" s="402"/>
      <c r="BB13" s="402"/>
      <c r="BC13" s="402"/>
      <c r="BD13" s="402"/>
      <c r="BE13" s="402"/>
    </row>
    <row r="14" spans="1:57" ht="20.149999999999999" customHeight="1" x14ac:dyDescent="0.35">
      <c r="A14" s="1254"/>
      <c r="B14" s="431"/>
      <c r="C14" s="432"/>
      <c r="D14" s="402"/>
      <c r="E14" s="402"/>
      <c r="F14" s="402"/>
      <c r="G14" s="402"/>
      <c r="H14" s="402"/>
      <c r="I14" s="402"/>
      <c r="J14" s="402"/>
      <c r="K14" s="402"/>
      <c r="L14" s="402"/>
      <c r="M14" s="402"/>
      <c r="N14" s="402"/>
      <c r="O14" s="402"/>
      <c r="P14" s="402"/>
      <c r="Q14" s="402"/>
      <c r="R14" s="402"/>
      <c r="S14" s="402"/>
      <c r="T14" s="402"/>
      <c r="U14" s="2242"/>
      <c r="V14" s="2243"/>
      <c r="W14" s="2244"/>
      <c r="X14" s="2249" t="s">
        <v>686</v>
      </c>
      <c r="Y14" s="2250"/>
      <c r="Z14" s="1820">
        <f>AG51-AL51</f>
        <v>0.10048262131283925</v>
      </c>
      <c r="AA14" s="1821">
        <f>Z14/AL51</f>
        <v>0.13981333417918407</v>
      </c>
      <c r="AB14" s="402"/>
      <c r="AJ14" s="402"/>
      <c r="AK14" s="402"/>
      <c r="AL14" s="402"/>
      <c r="AM14" s="402"/>
      <c r="AN14" s="402"/>
      <c r="AO14" s="402"/>
      <c r="AP14" s="402"/>
      <c r="AQ14" s="402"/>
      <c r="AR14" s="402"/>
      <c r="AS14" s="402"/>
      <c r="AT14" s="402"/>
      <c r="AU14" s="402"/>
      <c r="AV14" s="402"/>
      <c r="AW14" s="402"/>
      <c r="AX14" s="402"/>
      <c r="AY14" s="402"/>
      <c r="AZ14" s="402"/>
      <c r="BA14" s="402"/>
      <c r="BB14" s="402"/>
      <c r="BC14" s="402"/>
      <c r="BD14" s="402"/>
      <c r="BE14" s="402"/>
    </row>
    <row r="15" spans="1:57" ht="10.4" customHeight="1" x14ac:dyDescent="0.35">
      <c r="A15" s="1254"/>
      <c r="B15" s="431"/>
      <c r="C15" s="432"/>
      <c r="D15" s="402"/>
      <c r="E15" s="402"/>
      <c r="F15" s="402"/>
      <c r="G15" s="402"/>
      <c r="H15" s="402"/>
      <c r="I15" s="402"/>
      <c r="J15" s="402"/>
      <c r="K15" s="402"/>
      <c r="L15" s="402"/>
      <c r="M15" s="402"/>
      <c r="N15" s="402"/>
      <c r="O15" s="402"/>
      <c r="P15" s="402"/>
      <c r="Q15" s="402"/>
      <c r="R15" s="402"/>
      <c r="S15" s="402"/>
      <c r="T15" s="402"/>
      <c r="U15" s="1813"/>
      <c r="V15" s="1814"/>
      <c r="W15" s="1814"/>
      <c r="X15" s="1816"/>
      <c r="Y15" s="1816"/>
      <c r="Z15" s="1816"/>
      <c r="AA15" s="1817"/>
      <c r="AB15" s="402"/>
      <c r="AJ15" s="402"/>
      <c r="AK15" s="402"/>
      <c r="AL15" s="402"/>
      <c r="AM15" s="402"/>
      <c r="AN15" s="402"/>
      <c r="AO15" s="402"/>
      <c r="AP15" s="402"/>
      <c r="AQ15" s="402"/>
      <c r="AR15" s="402"/>
      <c r="AS15" s="402"/>
      <c r="AT15" s="402"/>
      <c r="AU15" s="402"/>
      <c r="AV15" s="402"/>
      <c r="AW15" s="402"/>
      <c r="AX15" s="402"/>
      <c r="AY15" s="402"/>
      <c r="AZ15" s="402"/>
      <c r="BA15" s="402"/>
      <c r="BB15" s="402"/>
      <c r="BC15" s="402"/>
      <c r="BD15" s="402"/>
      <c r="BE15" s="402"/>
    </row>
    <row r="16" spans="1:57" ht="20.149999999999999" customHeight="1" x14ac:dyDescent="0.35">
      <c r="A16" s="1254"/>
      <c r="B16" s="431"/>
      <c r="C16" s="432"/>
      <c r="D16" s="402"/>
      <c r="E16" s="402"/>
      <c r="F16" s="402"/>
      <c r="G16" s="402"/>
      <c r="H16" s="402"/>
      <c r="I16" s="402"/>
      <c r="J16" s="402"/>
      <c r="K16" s="402"/>
      <c r="L16" s="402"/>
      <c r="M16" s="402"/>
      <c r="N16" s="402"/>
      <c r="O16" s="402"/>
      <c r="P16" s="402"/>
      <c r="Q16" s="402"/>
      <c r="R16" s="402"/>
      <c r="S16" s="402"/>
      <c r="T16" s="402"/>
      <c r="U16" s="2218" t="s">
        <v>1015</v>
      </c>
      <c r="V16" s="2219"/>
      <c r="W16" s="2220"/>
      <c r="X16" s="2227" t="s">
        <v>384</v>
      </c>
      <c r="Y16" s="2228"/>
      <c r="Z16" s="1810">
        <f>W53-AL53</f>
        <v>38.002163164280717</v>
      </c>
      <c r="AA16" s="1811">
        <f>Z16/AL53</f>
        <v>0.11956682013543289</v>
      </c>
      <c r="AB16" s="402"/>
      <c r="AJ16" s="402"/>
      <c r="AK16" s="402"/>
      <c r="AL16" s="402"/>
      <c r="AM16" s="402"/>
      <c r="AN16" s="402"/>
      <c r="AO16" s="402"/>
      <c r="AP16" s="402"/>
      <c r="AQ16" s="402"/>
      <c r="AR16" s="402"/>
      <c r="AS16" s="402"/>
      <c r="AT16" s="402"/>
      <c r="AU16" s="402"/>
      <c r="AV16" s="402"/>
      <c r="AW16" s="402"/>
      <c r="AX16" s="402"/>
      <c r="AY16" s="402"/>
      <c r="AZ16" s="402"/>
      <c r="BA16" s="402"/>
      <c r="BB16" s="402"/>
      <c r="BC16" s="402"/>
      <c r="BD16" s="402"/>
      <c r="BE16" s="402"/>
    </row>
    <row r="17" spans="1:57" ht="20.149999999999999" customHeight="1" x14ac:dyDescent="0.35">
      <c r="A17" s="1254"/>
      <c r="B17" s="431"/>
      <c r="C17" s="432"/>
      <c r="D17" s="402"/>
      <c r="E17" s="402"/>
      <c r="F17" s="402"/>
      <c r="G17" s="402"/>
      <c r="H17" s="402"/>
      <c r="I17" s="402"/>
      <c r="J17" s="402"/>
      <c r="K17" s="402"/>
      <c r="L17" s="402"/>
      <c r="M17" s="402"/>
      <c r="N17" s="402"/>
      <c r="O17" s="402"/>
      <c r="P17" s="402"/>
      <c r="Q17" s="402"/>
      <c r="R17" s="402"/>
      <c r="S17" s="402"/>
      <c r="T17" s="402"/>
      <c r="U17" s="2221"/>
      <c r="V17" s="2222"/>
      <c r="W17" s="2223"/>
      <c r="X17" s="2227" t="s">
        <v>385</v>
      </c>
      <c r="Y17" s="2228"/>
      <c r="Z17" s="1810">
        <f>W52-AL52</f>
        <v>1.3680778739141051</v>
      </c>
      <c r="AA17" s="1811">
        <f>Z17/AL52</f>
        <v>0.11956682013543284</v>
      </c>
      <c r="AB17" s="402"/>
      <c r="AC17" s="402"/>
      <c r="AD17" s="402"/>
      <c r="AE17" s="402"/>
      <c r="AF17" s="402"/>
      <c r="AG17" s="402"/>
      <c r="AH17" s="402"/>
      <c r="AI17" s="402"/>
      <c r="AJ17" s="402"/>
      <c r="AK17" s="402"/>
      <c r="AL17" s="402"/>
      <c r="AM17" s="402"/>
      <c r="AN17" s="402"/>
      <c r="AO17" s="402"/>
      <c r="AP17" s="402"/>
      <c r="AQ17" s="402"/>
      <c r="AR17" s="402"/>
      <c r="AS17" s="402"/>
      <c r="AT17" s="402"/>
      <c r="AU17" s="402"/>
      <c r="AV17" s="402"/>
      <c r="AW17" s="402"/>
      <c r="AX17" s="402"/>
      <c r="AY17" s="402"/>
      <c r="AZ17" s="402"/>
      <c r="BA17" s="402"/>
      <c r="BB17" s="402"/>
      <c r="BC17" s="402"/>
      <c r="BD17" s="402"/>
      <c r="BE17" s="402"/>
    </row>
    <row r="18" spans="1:57" ht="20.149999999999999" customHeight="1" thickBot="1" x14ac:dyDescent="0.4">
      <c r="A18" s="1254"/>
      <c r="B18" s="431"/>
      <c r="C18" s="432"/>
      <c r="D18" s="402"/>
      <c r="E18" s="402"/>
      <c r="F18" s="402"/>
      <c r="G18" s="402"/>
      <c r="H18" s="402"/>
      <c r="I18" s="402"/>
      <c r="J18" s="402"/>
      <c r="K18" s="402"/>
      <c r="L18" s="402"/>
      <c r="M18" s="402"/>
      <c r="N18" s="402"/>
      <c r="O18" s="402"/>
      <c r="P18" s="402"/>
      <c r="Q18" s="402"/>
      <c r="R18" s="402"/>
      <c r="S18" s="402"/>
      <c r="T18" s="402"/>
      <c r="U18" s="2224"/>
      <c r="V18" s="2225"/>
      <c r="W18" s="2226"/>
      <c r="X18" s="2229" t="s">
        <v>686</v>
      </c>
      <c r="Y18" s="2230"/>
      <c r="Z18" s="1822">
        <f>W51-AL51</f>
        <v>0.45217179590777801</v>
      </c>
      <c r="AA18" s="1823">
        <f>Z18/AL51</f>
        <v>0.62916000380633019</v>
      </c>
      <c r="AB18" s="402"/>
      <c r="AC18" s="402"/>
      <c r="AD18" s="402"/>
      <c r="AE18" s="402"/>
      <c r="AF18" s="402"/>
      <c r="AG18" s="402"/>
      <c r="AH18" s="402"/>
      <c r="AI18" s="402"/>
      <c r="AJ18" s="402"/>
      <c r="AK18" s="402"/>
      <c r="AL18" s="402"/>
      <c r="AM18" s="402"/>
      <c r="AN18" s="402"/>
      <c r="AO18" s="402"/>
      <c r="AP18" s="402"/>
      <c r="AQ18" s="402"/>
      <c r="AR18" s="402"/>
      <c r="AS18" s="402"/>
      <c r="AT18" s="402"/>
      <c r="AU18" s="402"/>
      <c r="AV18" s="402"/>
      <c r="AW18" s="402"/>
      <c r="AX18" s="402"/>
      <c r="AY18" s="402"/>
      <c r="AZ18" s="402"/>
      <c r="BA18" s="402"/>
      <c r="BB18" s="402"/>
      <c r="BC18" s="402"/>
      <c r="BD18" s="402"/>
      <c r="BE18" s="402"/>
    </row>
    <row r="19" spans="1:57" ht="17.899999999999999" customHeight="1" thickTop="1" thickBot="1" x14ac:dyDescent="0.4">
      <c r="A19" s="1254"/>
      <c r="B19" s="431"/>
      <c r="C19" s="432"/>
      <c r="D19" s="402"/>
      <c r="E19" s="402"/>
      <c r="F19" s="402"/>
      <c r="G19" s="402"/>
      <c r="H19" s="402"/>
      <c r="I19" s="402"/>
      <c r="J19" s="402"/>
      <c r="K19" s="402"/>
      <c r="L19" s="402"/>
      <c r="M19" s="402"/>
      <c r="N19" s="402"/>
      <c r="O19" s="402"/>
      <c r="P19" s="402"/>
      <c r="Q19" s="402"/>
      <c r="R19" s="402"/>
      <c r="S19" s="402"/>
      <c r="T19" s="402"/>
      <c r="U19" s="1824"/>
      <c r="V19" s="1824"/>
      <c r="W19" s="1824"/>
      <c r="X19" s="1825"/>
      <c r="Y19" s="1825"/>
      <c r="Z19" s="1007"/>
      <c r="AA19" s="1007"/>
      <c r="AB19" s="402"/>
      <c r="AC19" s="402"/>
      <c r="AD19" s="402"/>
      <c r="AE19" s="402"/>
      <c r="AF19" s="402"/>
      <c r="AG19" s="402"/>
      <c r="AH19" s="402"/>
      <c r="AI19" s="402"/>
      <c r="AJ19" s="402"/>
      <c r="AK19" s="402"/>
      <c r="AL19" s="402"/>
      <c r="AM19" s="402"/>
      <c r="AN19" s="402"/>
      <c r="AO19" s="402"/>
      <c r="AP19" s="402"/>
      <c r="AQ19" s="402"/>
      <c r="AR19" s="402"/>
      <c r="AS19" s="402"/>
      <c r="AT19" s="402"/>
      <c r="AU19" s="402"/>
      <c r="AV19" s="402"/>
      <c r="AW19" s="402"/>
      <c r="AX19" s="402"/>
      <c r="AY19" s="402"/>
      <c r="AZ19" s="402"/>
      <c r="BA19" s="402"/>
      <c r="BB19" s="402"/>
      <c r="BC19" s="402"/>
      <c r="BD19" s="402"/>
      <c r="BE19" s="402"/>
    </row>
    <row r="20" spans="1:57" ht="20.149999999999999" customHeight="1" thickTop="1" x14ac:dyDescent="0.35">
      <c r="A20" s="1254"/>
      <c r="B20" s="431"/>
      <c r="C20" s="432"/>
      <c r="D20" s="402"/>
      <c r="E20" s="402"/>
      <c r="F20" s="402"/>
      <c r="G20" s="402"/>
      <c r="H20" s="402"/>
      <c r="I20" s="402"/>
      <c r="J20" s="402"/>
      <c r="K20" s="402"/>
      <c r="L20" s="402"/>
      <c r="M20" s="402"/>
      <c r="N20" s="402"/>
      <c r="O20" s="402"/>
      <c r="P20" s="402"/>
      <c r="Q20" s="402"/>
      <c r="R20" s="402"/>
      <c r="S20" s="402"/>
      <c r="T20" s="402"/>
      <c r="U20" s="2261" t="s">
        <v>1016</v>
      </c>
      <c r="V20" s="2262"/>
      <c r="W20" s="2263"/>
      <c r="X20" s="2255" t="s">
        <v>384</v>
      </c>
      <c r="Y20" s="2256"/>
      <c r="Z20" s="1826">
        <f>AG53-AG53</f>
        <v>0</v>
      </c>
      <c r="AA20" s="1827">
        <f>Z20/AG53</f>
        <v>0</v>
      </c>
      <c r="AB20" s="402"/>
      <c r="AC20" s="402"/>
      <c r="AD20" s="402"/>
      <c r="AE20" s="402"/>
      <c r="AF20" s="402"/>
      <c r="AG20" s="402"/>
      <c r="AH20" s="402"/>
      <c r="AI20" s="402"/>
      <c r="AJ20" s="402"/>
      <c r="AK20" s="402"/>
      <c r="AL20" s="402"/>
      <c r="AM20" s="402"/>
      <c r="AN20" s="402"/>
      <c r="AO20" s="402"/>
      <c r="AP20" s="402"/>
      <c r="AQ20" s="402"/>
      <c r="AR20" s="402"/>
      <c r="AS20" s="402"/>
      <c r="AT20" s="402"/>
      <c r="AU20" s="402"/>
      <c r="AV20" s="402"/>
      <c r="AW20" s="402"/>
      <c r="AX20" s="402"/>
      <c r="AY20" s="402"/>
      <c r="AZ20" s="402"/>
      <c r="BA20" s="402"/>
      <c r="BB20" s="402"/>
      <c r="BC20" s="402"/>
      <c r="BD20" s="402"/>
      <c r="BE20" s="402"/>
    </row>
    <row r="21" spans="1:57" ht="20.149999999999999" customHeight="1" x14ac:dyDescent="0.35">
      <c r="A21" s="1254"/>
      <c r="B21" s="431"/>
      <c r="C21" s="432"/>
      <c r="D21" s="402"/>
      <c r="E21" s="402"/>
      <c r="F21" s="402"/>
      <c r="G21" s="402"/>
      <c r="H21" s="402"/>
      <c r="I21" s="402"/>
      <c r="J21" s="402"/>
      <c r="K21" s="402"/>
      <c r="L21" s="402"/>
      <c r="M21" s="402"/>
      <c r="N21" s="402"/>
      <c r="O21" s="402"/>
      <c r="P21" s="402"/>
      <c r="Q21" s="402"/>
      <c r="R21" s="402"/>
      <c r="S21" s="402"/>
      <c r="T21" s="402"/>
      <c r="U21" s="2264"/>
      <c r="V21" s="2265"/>
      <c r="W21" s="2266"/>
      <c r="X21" s="2257" t="s">
        <v>385</v>
      </c>
      <c r="Y21" s="2258"/>
      <c r="Z21" s="1828">
        <f>AG52-AG52</f>
        <v>0</v>
      </c>
      <c r="AA21" s="1829">
        <f>Z21/AG52</f>
        <v>0</v>
      </c>
      <c r="AB21" s="402"/>
      <c r="AC21" s="402"/>
      <c r="AD21" s="402"/>
      <c r="AE21" s="402"/>
      <c r="AF21" s="402"/>
      <c r="AG21" s="402"/>
      <c r="AH21" s="402"/>
      <c r="AI21" s="402"/>
      <c r="AJ21" s="402"/>
      <c r="AK21" s="402"/>
      <c r="AL21" s="402"/>
      <c r="AM21" s="402"/>
      <c r="AN21" s="402"/>
      <c r="AO21" s="402"/>
      <c r="AP21" s="402"/>
      <c r="AQ21" s="402"/>
      <c r="AR21" s="402"/>
      <c r="AS21" s="402"/>
      <c r="AT21" s="402"/>
      <c r="AU21" s="402"/>
      <c r="AV21" s="402"/>
      <c r="AW21" s="402"/>
      <c r="AX21" s="402"/>
      <c r="AY21" s="402"/>
      <c r="AZ21" s="402"/>
      <c r="BA21" s="402"/>
      <c r="BB21" s="402"/>
      <c r="BC21" s="402"/>
      <c r="BD21" s="402"/>
      <c r="BE21" s="402"/>
    </row>
    <row r="22" spans="1:57" ht="20.149999999999999" customHeight="1" x14ac:dyDescent="0.35">
      <c r="A22" s="1254"/>
      <c r="B22" s="431"/>
      <c r="C22" s="432"/>
      <c r="D22" s="402"/>
      <c r="E22" s="402"/>
      <c r="F22" s="402"/>
      <c r="G22" s="402"/>
      <c r="H22" s="402"/>
      <c r="I22" s="402"/>
      <c r="J22" s="402"/>
      <c r="K22" s="402"/>
      <c r="L22" s="402"/>
      <c r="M22" s="402"/>
      <c r="N22" s="402"/>
      <c r="O22" s="402"/>
      <c r="P22" s="402"/>
      <c r="Q22" s="402"/>
      <c r="R22" s="402"/>
      <c r="S22" s="402"/>
      <c r="T22" s="402"/>
      <c r="U22" s="2267"/>
      <c r="V22" s="2268"/>
      <c r="W22" s="2269"/>
      <c r="X22" s="2257" t="s">
        <v>686</v>
      </c>
      <c r="Y22" s="2258"/>
      <c r="Z22" s="1830">
        <f>AG51-AG51</f>
        <v>0</v>
      </c>
      <c r="AA22" s="1829">
        <f>Z22/AG51</f>
        <v>0</v>
      </c>
      <c r="AB22" s="402"/>
      <c r="AC22" s="402"/>
      <c r="AD22" s="402"/>
      <c r="AE22" s="402"/>
      <c r="AF22" s="402"/>
      <c r="AG22" s="402"/>
      <c r="AH22" s="402"/>
      <c r="AI22" s="402"/>
      <c r="AJ22" s="402"/>
      <c r="AK22" s="402"/>
      <c r="AL22" s="402"/>
      <c r="AM22" s="402"/>
      <c r="AN22" s="402"/>
      <c r="AO22" s="402"/>
      <c r="AP22" s="402"/>
      <c r="AQ22" s="402"/>
      <c r="AR22" s="402"/>
      <c r="AS22" s="402"/>
      <c r="AT22" s="402"/>
      <c r="AU22" s="402"/>
      <c r="AV22" s="402"/>
      <c r="AW22" s="402"/>
      <c r="AX22" s="402"/>
      <c r="AY22" s="402"/>
      <c r="AZ22" s="402"/>
      <c r="BA22" s="402"/>
      <c r="BB22" s="402"/>
      <c r="BC22" s="402"/>
      <c r="BD22" s="402"/>
      <c r="BE22" s="402"/>
    </row>
    <row r="23" spans="1:57" ht="10.4" customHeight="1" x14ac:dyDescent="0.35">
      <c r="A23" s="1254"/>
      <c r="B23" s="431"/>
      <c r="C23" s="432"/>
      <c r="D23" s="402"/>
      <c r="E23" s="402"/>
      <c r="F23" s="402"/>
      <c r="G23" s="402"/>
      <c r="H23" s="402"/>
      <c r="I23" s="402"/>
      <c r="J23" s="402"/>
      <c r="K23" s="402"/>
      <c r="L23" s="402"/>
      <c r="M23" s="402"/>
      <c r="N23" s="402"/>
      <c r="O23" s="402"/>
      <c r="P23" s="402"/>
      <c r="Q23" s="402"/>
      <c r="R23" s="402"/>
      <c r="S23" s="402"/>
      <c r="T23" s="402"/>
      <c r="U23" s="1831"/>
      <c r="V23" s="1832"/>
      <c r="W23" s="1832"/>
      <c r="X23" s="1534"/>
      <c r="Y23" s="1534"/>
      <c r="Z23" s="1534"/>
      <c r="AA23" s="1833"/>
      <c r="AB23" s="402"/>
      <c r="AC23" s="402"/>
      <c r="AD23" s="402"/>
      <c r="AE23" s="402"/>
      <c r="AF23" s="402"/>
      <c r="AG23" s="402"/>
      <c r="AH23" s="402"/>
      <c r="AI23" s="402"/>
      <c r="AJ23" s="402"/>
      <c r="AK23" s="402"/>
      <c r="AL23" s="402"/>
      <c r="AM23" s="402"/>
      <c r="AN23" s="402"/>
      <c r="AO23" s="402"/>
      <c r="AP23" s="402"/>
      <c r="AQ23" s="402"/>
      <c r="AR23" s="402"/>
      <c r="AS23" s="402"/>
      <c r="AT23" s="402"/>
      <c r="AU23" s="402"/>
      <c r="AV23" s="402"/>
      <c r="AW23" s="402"/>
      <c r="AX23" s="402"/>
      <c r="AY23" s="402"/>
      <c r="AZ23" s="402"/>
      <c r="BA23" s="402"/>
      <c r="BB23" s="402"/>
      <c r="BC23" s="402"/>
      <c r="BD23" s="402"/>
      <c r="BE23" s="402"/>
    </row>
    <row r="24" spans="1:57" ht="20.149999999999999" customHeight="1" x14ac:dyDescent="0.35">
      <c r="A24" s="1254"/>
      <c r="B24" s="431"/>
      <c r="C24" s="432"/>
      <c r="D24" s="402"/>
      <c r="E24" s="402"/>
      <c r="F24" s="402"/>
      <c r="G24" s="402"/>
      <c r="H24" s="402"/>
      <c r="I24" s="402"/>
      <c r="J24" s="402"/>
      <c r="K24" s="402"/>
      <c r="L24" s="402"/>
      <c r="M24" s="402"/>
      <c r="N24" s="402"/>
      <c r="O24" s="402"/>
      <c r="P24" s="402"/>
      <c r="Q24" s="402"/>
      <c r="R24" s="402"/>
      <c r="S24" s="402"/>
      <c r="T24" s="402"/>
      <c r="U24" s="2270" t="s">
        <v>1017</v>
      </c>
      <c r="V24" s="2271"/>
      <c r="W24" s="2272"/>
      <c r="X24" s="2259" t="s">
        <v>384</v>
      </c>
      <c r="Y24" s="2260"/>
      <c r="Z24" s="1834">
        <f>AB53-AG53</f>
        <v>11.822895206665123</v>
      </c>
      <c r="AA24" s="1835">
        <f>Z24/AG53</f>
        <v>3.6235767271507659E-2</v>
      </c>
      <c r="AB24" s="402"/>
      <c r="AC24" s="402"/>
      <c r="AD24" s="402"/>
      <c r="AE24" s="402"/>
      <c r="AF24" s="402"/>
      <c r="AG24" s="402"/>
      <c r="AH24" s="402"/>
      <c r="AI24" s="402"/>
      <c r="AJ24" s="402"/>
      <c r="AK24" s="402"/>
      <c r="AL24" s="402"/>
      <c r="AM24" s="402"/>
      <c r="AN24" s="402"/>
      <c r="AO24" s="402"/>
      <c r="AP24" s="402"/>
      <c r="AQ24" s="402"/>
      <c r="AR24" s="402"/>
      <c r="AS24" s="402"/>
      <c r="AT24" s="402"/>
      <c r="AU24" s="402"/>
      <c r="AV24" s="402"/>
      <c r="AW24" s="402"/>
      <c r="AX24" s="402"/>
      <c r="AY24" s="402"/>
      <c r="AZ24" s="402"/>
      <c r="BA24" s="402"/>
      <c r="BB24" s="402"/>
      <c r="BC24" s="402"/>
      <c r="BD24" s="402"/>
      <c r="BE24" s="402"/>
    </row>
    <row r="25" spans="1:57" ht="20.149999999999999" customHeight="1" x14ac:dyDescent="0.35">
      <c r="A25" s="1254"/>
      <c r="B25" s="431"/>
      <c r="C25" s="432"/>
      <c r="D25" s="402"/>
      <c r="E25" s="402"/>
      <c r="F25" s="402"/>
      <c r="G25" s="402"/>
      <c r="H25" s="402"/>
      <c r="I25" s="402"/>
      <c r="J25" s="402"/>
      <c r="K25" s="402"/>
      <c r="L25" s="402"/>
      <c r="M25" s="402"/>
      <c r="N25" s="402"/>
      <c r="O25" s="402"/>
      <c r="P25" s="402"/>
      <c r="Q25" s="402"/>
      <c r="R25" s="402"/>
      <c r="S25" s="402"/>
      <c r="T25" s="402"/>
      <c r="U25" s="2264"/>
      <c r="V25" s="2265"/>
      <c r="W25" s="2266"/>
      <c r="X25" s="2257" t="s">
        <v>385</v>
      </c>
      <c r="Y25" s="2258"/>
      <c r="Z25" s="1828">
        <f>AB52-AG52</f>
        <v>0.4256242274399451</v>
      </c>
      <c r="AA25" s="1829">
        <f>Z25/AG52</f>
        <v>3.6235767271507714E-2</v>
      </c>
      <c r="AB25" s="402"/>
      <c r="AC25" s="402"/>
      <c r="AD25" s="402"/>
      <c r="AE25" s="402"/>
      <c r="AF25" s="402"/>
      <c r="AG25" s="402"/>
      <c r="AH25" s="402"/>
      <c r="AI25" s="402"/>
      <c r="AJ25" s="402"/>
      <c r="AK25" s="402"/>
      <c r="AL25" s="402"/>
      <c r="AM25" s="402"/>
      <c r="AN25" s="402"/>
      <c r="AO25" s="402"/>
      <c r="AP25" s="402"/>
      <c r="AQ25" s="402"/>
      <c r="AR25" s="402"/>
      <c r="AS25" s="402"/>
      <c r="AT25" s="402"/>
      <c r="AU25" s="402"/>
      <c r="AV25" s="402"/>
      <c r="AW25" s="402"/>
      <c r="AX25" s="402"/>
      <c r="AY25" s="402"/>
      <c r="AZ25" s="402"/>
      <c r="BA25" s="402"/>
      <c r="BB25" s="402"/>
      <c r="BC25" s="402"/>
      <c r="BD25" s="402"/>
      <c r="BE25" s="402"/>
    </row>
    <row r="26" spans="1:57" ht="20.149999999999999" customHeight="1" x14ac:dyDescent="0.35">
      <c r="A26" s="1254"/>
      <c r="B26" s="431"/>
      <c r="C26" s="432"/>
      <c r="D26" s="402"/>
      <c r="E26" s="402"/>
      <c r="F26" s="402"/>
      <c r="G26" s="402"/>
      <c r="H26" s="402"/>
      <c r="I26" s="402"/>
      <c r="J26" s="402"/>
      <c r="K26" s="402"/>
      <c r="L26" s="402"/>
      <c r="M26" s="402"/>
      <c r="N26" s="402"/>
      <c r="O26" s="402"/>
      <c r="P26" s="402"/>
      <c r="Q26" s="402"/>
      <c r="R26" s="402"/>
      <c r="S26" s="402"/>
      <c r="T26" s="402"/>
      <c r="U26" s="2273"/>
      <c r="V26" s="2274"/>
      <c r="W26" s="2275"/>
      <c r="X26" s="2276" t="s">
        <v>686</v>
      </c>
      <c r="Y26" s="2277"/>
      <c r="Z26" s="1836">
        <f>AB51-AG51</f>
        <v>0.14067566983797553</v>
      </c>
      <c r="AA26" s="1837">
        <f>Z26/AG51</f>
        <v>0.17172870502678947</v>
      </c>
      <c r="AB26" s="402"/>
      <c r="AC26" s="402"/>
      <c r="AD26" s="402"/>
      <c r="AE26" s="402"/>
      <c r="AF26" s="402"/>
      <c r="AG26" s="402"/>
      <c r="AH26" s="402"/>
      <c r="AI26" s="402"/>
      <c r="AJ26" s="402"/>
      <c r="AK26" s="402"/>
      <c r="AL26" s="402"/>
      <c r="AM26" s="402"/>
      <c r="AN26" s="402"/>
      <c r="AO26" s="402"/>
      <c r="AP26" s="402"/>
      <c r="AQ26" s="402"/>
      <c r="AR26" s="402"/>
      <c r="AS26" s="402"/>
      <c r="AT26" s="402"/>
      <c r="AU26" s="402"/>
      <c r="AV26" s="402"/>
      <c r="AW26" s="402"/>
      <c r="AX26" s="402"/>
      <c r="AY26" s="402"/>
      <c r="AZ26" s="402"/>
      <c r="BA26" s="402"/>
      <c r="BB26" s="402"/>
      <c r="BC26" s="402"/>
      <c r="BD26" s="402"/>
      <c r="BE26" s="402"/>
    </row>
    <row r="27" spans="1:57" ht="10.4" customHeight="1" x14ac:dyDescent="0.35">
      <c r="A27" s="1254"/>
      <c r="B27" s="431"/>
      <c r="C27" s="432"/>
      <c r="D27" s="402"/>
      <c r="E27" s="402"/>
      <c r="F27" s="402"/>
      <c r="G27" s="402"/>
      <c r="H27" s="402"/>
      <c r="I27" s="402"/>
      <c r="J27" s="402"/>
      <c r="K27" s="402"/>
      <c r="L27" s="402"/>
      <c r="M27" s="402"/>
      <c r="N27" s="402"/>
      <c r="O27" s="402"/>
      <c r="P27" s="402"/>
      <c r="Q27" s="402"/>
      <c r="R27" s="402"/>
      <c r="S27" s="402"/>
      <c r="T27" s="402"/>
      <c r="U27" s="1831"/>
      <c r="V27" s="1832"/>
      <c r="W27" s="1832"/>
      <c r="X27" s="1534"/>
      <c r="Y27" s="1534"/>
      <c r="Z27" s="1534"/>
      <c r="AA27" s="1833"/>
      <c r="AB27" s="402"/>
      <c r="AC27" s="402"/>
      <c r="AD27" s="402"/>
      <c r="AE27" s="402"/>
      <c r="AF27" s="402"/>
      <c r="AG27" s="402"/>
      <c r="AH27" s="402"/>
      <c r="AI27" s="402"/>
      <c r="AJ27" s="402"/>
      <c r="AK27" s="402"/>
      <c r="AL27" s="402"/>
      <c r="AM27" s="402"/>
      <c r="AN27" s="402"/>
      <c r="AO27" s="402"/>
      <c r="AP27" s="402"/>
      <c r="AQ27" s="402"/>
      <c r="AR27" s="402"/>
      <c r="AS27" s="402"/>
      <c r="AT27" s="402"/>
      <c r="AU27" s="402"/>
      <c r="AV27" s="402"/>
      <c r="AW27" s="402"/>
      <c r="AX27" s="402"/>
      <c r="AY27" s="402"/>
      <c r="AZ27" s="402"/>
      <c r="BA27" s="402"/>
      <c r="BB27" s="402"/>
      <c r="BC27" s="402"/>
      <c r="BD27" s="402"/>
      <c r="BE27" s="402"/>
    </row>
    <row r="28" spans="1:57" ht="20.149999999999999" customHeight="1" x14ac:dyDescent="0.35">
      <c r="A28" s="1254"/>
      <c r="B28" s="431"/>
      <c r="C28" s="432"/>
      <c r="D28" s="402"/>
      <c r="E28" s="402"/>
      <c r="F28" s="402"/>
      <c r="G28" s="402"/>
      <c r="H28" s="402"/>
      <c r="I28" s="402"/>
      <c r="J28" s="402"/>
      <c r="K28" s="402"/>
      <c r="L28" s="402"/>
      <c r="M28" s="402"/>
      <c r="N28" s="402"/>
      <c r="O28" s="402"/>
      <c r="P28" s="402"/>
      <c r="Q28" s="402"/>
      <c r="R28" s="402"/>
      <c r="S28" s="402"/>
      <c r="T28" s="402"/>
      <c r="U28" s="2278" t="s">
        <v>1018</v>
      </c>
      <c r="V28" s="2279"/>
      <c r="W28" s="2280"/>
      <c r="X28" s="2257" t="s">
        <v>384</v>
      </c>
      <c r="Y28" s="2258"/>
      <c r="Z28" s="1828">
        <f>R53-AG53</f>
        <v>59.114476033325673</v>
      </c>
      <c r="AA28" s="1829">
        <f>Z28/AG53</f>
        <v>0.18117883635753845</v>
      </c>
      <c r="AB28" s="402"/>
      <c r="AC28" s="402"/>
      <c r="AD28" s="402"/>
      <c r="AE28" s="402"/>
      <c r="AF28" s="402"/>
      <c r="AG28" s="402"/>
      <c r="AH28" s="402"/>
      <c r="AI28" s="402"/>
      <c r="AJ28" s="402"/>
      <c r="AK28" s="402"/>
      <c r="AL28" s="402"/>
      <c r="AM28" s="402"/>
      <c r="AN28" s="402"/>
      <c r="AO28" s="402"/>
      <c r="AP28" s="402"/>
      <c r="AQ28" s="402"/>
      <c r="AR28" s="402"/>
      <c r="AS28" s="402"/>
      <c r="AT28" s="402"/>
      <c r="AU28" s="402"/>
      <c r="AV28" s="402"/>
      <c r="AW28" s="402"/>
      <c r="AX28" s="402"/>
      <c r="AY28" s="402"/>
      <c r="AZ28" s="402"/>
      <c r="BA28" s="402"/>
      <c r="BB28" s="402"/>
      <c r="BC28" s="402"/>
      <c r="BD28" s="402"/>
      <c r="BE28" s="402"/>
    </row>
    <row r="29" spans="1:57" ht="20.149999999999999" customHeight="1" x14ac:dyDescent="0.35">
      <c r="A29" s="1254"/>
      <c r="B29" s="431"/>
      <c r="C29" s="432"/>
      <c r="D29" s="402"/>
      <c r="E29" s="402"/>
      <c r="F29" s="402"/>
      <c r="G29" s="402"/>
      <c r="H29" s="402"/>
      <c r="I29" s="402"/>
      <c r="J29" s="402"/>
      <c r="K29" s="402"/>
      <c r="L29" s="402"/>
      <c r="M29" s="402"/>
      <c r="N29" s="402"/>
      <c r="O29" s="402"/>
      <c r="P29" s="402"/>
      <c r="Q29" s="402"/>
      <c r="R29" s="402"/>
      <c r="S29" s="402"/>
      <c r="T29" s="402"/>
      <c r="U29" s="2264"/>
      <c r="V29" s="2265"/>
      <c r="W29" s="2266"/>
      <c r="X29" s="2257" t="s">
        <v>385</v>
      </c>
      <c r="Y29" s="2258"/>
      <c r="Z29" s="1828">
        <f>R52-AG52</f>
        <v>2.1281211371997237</v>
      </c>
      <c r="AA29" s="1829">
        <f>Z29/AG52</f>
        <v>0.18117883635753843</v>
      </c>
      <c r="AB29" s="402"/>
      <c r="AC29" s="402"/>
      <c r="AD29" s="402"/>
      <c r="AE29" s="402"/>
      <c r="AF29" s="402"/>
      <c r="AG29" s="402"/>
      <c r="AH29" s="402"/>
      <c r="AI29" s="402"/>
      <c r="AJ29" s="402"/>
      <c r="AK29" s="402"/>
      <c r="AL29" s="402"/>
      <c r="AM29" s="402"/>
      <c r="AN29" s="402"/>
      <c r="AO29" s="402"/>
      <c r="AP29" s="402"/>
      <c r="AQ29" s="402"/>
      <c r="AR29" s="402"/>
      <c r="AS29" s="402"/>
      <c r="AT29" s="402"/>
      <c r="AU29" s="402"/>
      <c r="AV29" s="402"/>
      <c r="AW29" s="402"/>
      <c r="AX29" s="402"/>
      <c r="AY29" s="402"/>
      <c r="AZ29" s="402"/>
      <c r="BA29" s="402"/>
      <c r="BB29" s="402"/>
      <c r="BC29" s="402"/>
      <c r="BD29" s="402"/>
      <c r="BE29" s="402"/>
    </row>
    <row r="30" spans="1:57" ht="20.149999999999999" customHeight="1" thickBot="1" x14ac:dyDescent="0.4">
      <c r="A30" s="1254"/>
      <c r="B30" s="431"/>
      <c r="C30" s="432"/>
      <c r="D30" s="402"/>
      <c r="E30" s="402"/>
      <c r="F30" s="402"/>
      <c r="G30" s="402"/>
      <c r="H30" s="402"/>
      <c r="I30" s="402"/>
      <c r="J30" s="402"/>
      <c r="K30" s="402"/>
      <c r="L30" s="402"/>
      <c r="M30" s="402"/>
      <c r="N30" s="402"/>
      <c r="O30" s="402"/>
      <c r="P30" s="402"/>
      <c r="Q30" s="402"/>
      <c r="R30" s="402"/>
      <c r="S30" s="402"/>
      <c r="T30" s="402"/>
      <c r="U30" s="2281"/>
      <c r="V30" s="2282"/>
      <c r="W30" s="2283"/>
      <c r="X30" s="2284" t="s">
        <v>686</v>
      </c>
      <c r="Y30" s="2285"/>
      <c r="Z30" s="1838">
        <f>R51-AG51</f>
        <v>0.70337834918987852</v>
      </c>
      <c r="AA30" s="1839">
        <f>Z30/AG51</f>
        <v>0.85864352513394837</v>
      </c>
      <c r="AB30" s="402"/>
      <c r="AC30" s="402"/>
      <c r="AD30" s="402"/>
      <c r="AE30" s="402"/>
      <c r="AF30" s="402"/>
      <c r="AG30" s="402"/>
      <c r="AH30" s="402"/>
      <c r="AI30" s="402"/>
      <c r="AJ30" s="402"/>
      <c r="AK30" s="402"/>
      <c r="AL30" s="402"/>
      <c r="AM30" s="402"/>
      <c r="AN30" s="402"/>
      <c r="AO30" s="402"/>
      <c r="AP30" s="402"/>
      <c r="AQ30" s="402"/>
      <c r="AR30" s="402"/>
      <c r="AS30" s="402"/>
      <c r="AT30" s="402"/>
      <c r="AU30" s="402"/>
      <c r="AV30" s="402"/>
      <c r="AW30" s="402"/>
      <c r="AX30" s="402"/>
      <c r="AY30" s="402"/>
      <c r="AZ30" s="402"/>
      <c r="BA30" s="402"/>
      <c r="BB30" s="402"/>
      <c r="BC30" s="402"/>
      <c r="BD30" s="402"/>
      <c r="BE30" s="402"/>
    </row>
    <row r="31" spans="1:57" ht="17.899999999999999" customHeight="1" thickTop="1" x14ac:dyDescent="0.35">
      <c r="A31" s="869"/>
      <c r="B31" s="867"/>
      <c r="C31" s="868"/>
      <c r="D31" s="866"/>
      <c r="E31" s="866"/>
      <c r="F31" s="866"/>
      <c r="G31" s="866"/>
      <c r="H31" s="866"/>
      <c r="I31" s="866"/>
      <c r="J31" s="866"/>
      <c r="K31" s="866"/>
      <c r="L31" s="866"/>
      <c r="M31" s="866"/>
      <c r="N31" s="866"/>
      <c r="O31" s="866"/>
      <c r="P31" s="866"/>
      <c r="Q31" s="866"/>
      <c r="R31" s="866"/>
      <c r="S31" s="866"/>
      <c r="T31" s="866"/>
      <c r="U31" s="867"/>
      <c r="V31" s="867"/>
      <c r="W31" s="867"/>
      <c r="X31" s="866"/>
      <c r="Y31" s="866"/>
      <c r="Z31" s="866"/>
      <c r="AA31" s="866"/>
      <c r="AB31" s="866"/>
      <c r="AC31" s="866"/>
      <c r="AD31" s="866"/>
      <c r="AE31" s="866"/>
      <c r="AF31" s="866"/>
      <c r="AG31" s="866"/>
      <c r="AH31" s="866"/>
      <c r="AI31" s="866"/>
      <c r="AJ31" s="866"/>
      <c r="AK31" s="866"/>
      <c r="AL31" s="866"/>
      <c r="AM31" s="866"/>
      <c r="AN31" s="866"/>
      <c r="AO31" s="866"/>
      <c r="AP31" s="866"/>
      <c r="AQ31" s="866"/>
      <c r="AR31" s="866"/>
      <c r="AS31" s="866"/>
      <c r="AT31" s="866"/>
      <c r="AU31" s="866"/>
      <c r="AV31" s="866"/>
      <c r="AW31" s="866"/>
      <c r="AX31" s="866"/>
      <c r="AY31" s="866"/>
      <c r="AZ31" s="866"/>
      <c r="BA31" s="866"/>
      <c r="BB31" s="866"/>
      <c r="BC31" s="866"/>
      <c r="BD31" s="866"/>
      <c r="BE31" s="866"/>
    </row>
    <row r="32" spans="1:57" ht="17.899999999999999" customHeight="1" x14ac:dyDescent="0.35">
      <c r="A32" s="869"/>
      <c r="B32" s="867"/>
      <c r="C32" s="868"/>
      <c r="D32" s="866"/>
      <c r="E32" s="866"/>
      <c r="F32" s="866"/>
      <c r="G32" s="866"/>
      <c r="H32" s="866"/>
      <c r="I32" s="866"/>
      <c r="J32" s="866"/>
      <c r="K32" s="866"/>
      <c r="L32" s="866"/>
      <c r="M32" s="866"/>
      <c r="N32" s="866"/>
      <c r="O32" s="866"/>
      <c r="P32" s="866"/>
      <c r="Q32" s="866"/>
      <c r="R32" s="866"/>
      <c r="S32" s="866"/>
      <c r="T32" s="866"/>
      <c r="U32" s="867"/>
      <c r="V32" s="867"/>
      <c r="W32" s="867"/>
      <c r="X32" s="866"/>
      <c r="Y32" s="866"/>
      <c r="Z32" s="866"/>
      <c r="AA32" s="866"/>
      <c r="AB32" s="866"/>
      <c r="AC32" s="866"/>
      <c r="AD32" s="866"/>
      <c r="AE32" s="866"/>
      <c r="AF32" s="866"/>
      <c r="AG32" s="866"/>
      <c r="AH32" s="866"/>
      <c r="AI32" s="866"/>
      <c r="AJ32" s="866"/>
      <c r="AK32" s="866"/>
      <c r="AL32" s="866"/>
      <c r="AM32" s="866"/>
      <c r="AN32" s="866"/>
      <c r="AO32" s="866"/>
      <c r="AP32" s="866"/>
      <c r="AQ32" s="866"/>
      <c r="AR32" s="866"/>
      <c r="AS32" s="866"/>
      <c r="AT32" s="866"/>
      <c r="AU32" s="866"/>
      <c r="AV32" s="866"/>
      <c r="AW32" s="866"/>
      <c r="AX32" s="866"/>
      <c r="AY32" s="866"/>
      <c r="AZ32" s="866"/>
      <c r="BA32" s="866"/>
      <c r="BB32" s="866"/>
      <c r="BC32" s="866"/>
      <c r="BD32" s="866"/>
      <c r="BE32" s="866"/>
    </row>
    <row r="33" spans="2:3" ht="14.25" customHeight="1" x14ac:dyDescent="0.35">
      <c r="B33" s="38"/>
      <c r="C33" s="40"/>
    </row>
    <row r="34" spans="2:3" ht="14.25" customHeight="1" x14ac:dyDescent="0.35">
      <c r="B34" s="38"/>
      <c r="C34" s="40"/>
    </row>
    <row r="35" spans="2:3" ht="14.25" customHeight="1" x14ac:dyDescent="0.35">
      <c r="B35" s="38"/>
      <c r="C35" s="40"/>
    </row>
    <row r="36" spans="2:3" ht="14.25" customHeight="1" x14ac:dyDescent="0.35">
      <c r="B36" s="38"/>
      <c r="C36" s="40"/>
    </row>
    <row r="37" spans="2:3" ht="14.25" customHeight="1" x14ac:dyDescent="0.35">
      <c r="B37" s="38"/>
      <c r="C37" s="40"/>
    </row>
    <row r="38" spans="2:3" ht="14.25" customHeight="1" x14ac:dyDescent="0.35">
      <c r="B38" s="38"/>
      <c r="C38" s="40"/>
    </row>
    <row r="39" spans="2:3" ht="14.25" customHeight="1" x14ac:dyDescent="0.35">
      <c r="B39" s="38"/>
      <c r="C39" s="40"/>
    </row>
    <row r="40" spans="2:3" ht="14.25" customHeight="1" x14ac:dyDescent="0.35">
      <c r="B40" s="38"/>
      <c r="C40" s="40"/>
    </row>
    <row r="41" spans="2:3" ht="14.25" customHeight="1" x14ac:dyDescent="0.35">
      <c r="B41" s="38"/>
      <c r="C41" s="40"/>
    </row>
    <row r="42" spans="2:3" ht="14.25" customHeight="1" x14ac:dyDescent="0.35">
      <c r="B42" s="38"/>
      <c r="C42" s="40"/>
    </row>
    <row r="43" spans="2:3" ht="14.25" customHeight="1" x14ac:dyDescent="0.35">
      <c r="B43" s="38"/>
      <c r="C43" s="40"/>
    </row>
    <row r="44" spans="2:3" ht="14.25" customHeight="1" x14ac:dyDescent="0.35">
      <c r="B44" s="38"/>
      <c r="C44" s="40"/>
    </row>
    <row r="45" spans="2:3" ht="14.25" customHeight="1" x14ac:dyDescent="0.35">
      <c r="B45" s="38"/>
      <c r="C45" s="40"/>
    </row>
    <row r="46" spans="2:3" ht="14.25" customHeight="1" x14ac:dyDescent="0.35">
      <c r="B46" s="38"/>
      <c r="C46" s="40"/>
    </row>
    <row r="47" spans="2:3" ht="14.25" customHeight="1" x14ac:dyDescent="0.35">
      <c r="B47" s="38"/>
      <c r="C47" s="40"/>
    </row>
    <row r="48" spans="2:3" ht="14.25" customHeight="1" x14ac:dyDescent="0.35">
      <c r="B48" s="38"/>
      <c r="C48" s="40"/>
    </row>
    <row r="49" spans="1:57" ht="18" customHeight="1" x14ac:dyDescent="0.35">
      <c r="A49" s="1254"/>
      <c r="B49" s="870"/>
      <c r="C49" s="311" t="s">
        <v>779</v>
      </c>
      <c r="D49" s="313">
        <f>(0+D50)/1000</f>
        <v>939</v>
      </c>
      <c r="E49" s="313">
        <f>D49+E50/1000</f>
        <v>1878</v>
      </c>
      <c r="F49" s="313">
        <f>E49+D50/1000</f>
        <v>2817</v>
      </c>
      <c r="G49" s="313">
        <f t="shared" ref="G49:Q49" si="0">F49+G50/1000</f>
        <v>3756</v>
      </c>
      <c r="H49" s="313">
        <f t="shared" si="0"/>
        <v>4695</v>
      </c>
      <c r="I49" s="313">
        <f t="shared" si="0"/>
        <v>5634</v>
      </c>
      <c r="J49" s="313">
        <f t="shared" si="0"/>
        <v>6573</v>
      </c>
      <c r="K49" s="313">
        <f t="shared" si="0"/>
        <v>7512</v>
      </c>
      <c r="L49" s="313">
        <f t="shared" si="0"/>
        <v>8451</v>
      </c>
      <c r="M49" s="313">
        <f t="shared" si="0"/>
        <v>9390</v>
      </c>
      <c r="N49" s="313">
        <f t="shared" si="0"/>
        <v>10329</v>
      </c>
      <c r="O49" s="313">
        <f t="shared" si="0"/>
        <v>11268</v>
      </c>
      <c r="P49" s="313">
        <f t="shared" si="0"/>
        <v>12207</v>
      </c>
      <c r="Q49" s="313">
        <f t="shared" si="0"/>
        <v>13146</v>
      </c>
      <c r="R49" s="1259">
        <f t="shared" ref="R49:BA49" si="1">Q49+R50/1000</f>
        <v>14085</v>
      </c>
      <c r="S49" s="1259">
        <f t="shared" si="1"/>
        <v>15024</v>
      </c>
      <c r="T49" s="1259">
        <f t="shared" si="1"/>
        <v>15963</v>
      </c>
      <c r="U49" s="313">
        <f t="shared" si="1"/>
        <v>16902</v>
      </c>
      <c r="V49" s="313">
        <f t="shared" si="1"/>
        <v>17841</v>
      </c>
      <c r="W49" s="313">
        <f t="shared" si="1"/>
        <v>18780</v>
      </c>
      <c r="X49" s="313">
        <f t="shared" si="1"/>
        <v>19719</v>
      </c>
      <c r="Y49" s="313">
        <f t="shared" si="1"/>
        <v>20658</v>
      </c>
      <c r="Z49" s="313">
        <f t="shared" si="1"/>
        <v>21597</v>
      </c>
      <c r="AA49" s="313">
        <f t="shared" si="1"/>
        <v>22536</v>
      </c>
      <c r="AB49" s="313">
        <f t="shared" si="1"/>
        <v>23475</v>
      </c>
      <c r="AC49" s="313">
        <f t="shared" si="1"/>
        <v>24414</v>
      </c>
      <c r="AD49" s="313">
        <f t="shared" si="1"/>
        <v>25353</v>
      </c>
      <c r="AE49" s="313">
        <f t="shared" si="1"/>
        <v>26292</v>
      </c>
      <c r="AF49" s="313">
        <f t="shared" si="1"/>
        <v>27231</v>
      </c>
      <c r="AG49" s="313">
        <f t="shared" si="1"/>
        <v>28170</v>
      </c>
      <c r="AH49" s="313">
        <f t="shared" si="1"/>
        <v>29109</v>
      </c>
      <c r="AI49" s="313">
        <f t="shared" si="1"/>
        <v>30048</v>
      </c>
      <c r="AJ49" s="313">
        <f t="shared" si="1"/>
        <v>30987</v>
      </c>
      <c r="AK49" s="313">
        <f t="shared" si="1"/>
        <v>31926</v>
      </c>
      <c r="AL49" s="313">
        <f t="shared" si="1"/>
        <v>32865</v>
      </c>
      <c r="AM49" s="313">
        <f t="shared" si="1"/>
        <v>33804</v>
      </c>
      <c r="AN49" s="313">
        <f t="shared" si="1"/>
        <v>34743</v>
      </c>
      <c r="AO49" s="313">
        <f t="shared" si="1"/>
        <v>35682</v>
      </c>
      <c r="AP49" s="313">
        <f t="shared" si="1"/>
        <v>36621</v>
      </c>
      <c r="AQ49" s="313">
        <f t="shared" si="1"/>
        <v>37560</v>
      </c>
      <c r="AR49" s="313">
        <f t="shared" si="1"/>
        <v>38499</v>
      </c>
      <c r="AS49" s="313">
        <f t="shared" si="1"/>
        <v>39438</v>
      </c>
      <c r="AT49" s="313">
        <f t="shared" si="1"/>
        <v>40377</v>
      </c>
      <c r="AU49" s="313">
        <f t="shared" si="1"/>
        <v>41316</v>
      </c>
      <c r="AV49" s="313">
        <f t="shared" si="1"/>
        <v>42255</v>
      </c>
      <c r="AW49" s="313">
        <f t="shared" si="1"/>
        <v>43194</v>
      </c>
      <c r="AX49" s="313">
        <f t="shared" si="1"/>
        <v>44133</v>
      </c>
      <c r="AY49" s="313">
        <f t="shared" si="1"/>
        <v>45072</v>
      </c>
      <c r="AZ49" s="313">
        <f t="shared" si="1"/>
        <v>46011</v>
      </c>
      <c r="BA49" s="313">
        <f t="shared" si="1"/>
        <v>46950</v>
      </c>
      <c r="BE49" s="402"/>
    </row>
    <row r="50" spans="1:57" ht="18" customHeight="1" x14ac:dyDescent="0.35">
      <c r="A50" s="1254"/>
      <c r="B50" s="870"/>
      <c r="C50" s="311" t="s">
        <v>780</v>
      </c>
      <c r="D50" s="313">
        <f>'R&amp;C-Painel de Controle'!$D$8</f>
        <v>939000</v>
      </c>
      <c r="E50" s="313">
        <f>D50*(1+'R&amp;C-Painel de Controle'!$D$27)</f>
        <v>939000</v>
      </c>
      <c r="F50" s="313">
        <f>E50*(1+'R&amp;C-Painel de Controle'!$D$27)</f>
        <v>939000</v>
      </c>
      <c r="G50" s="313">
        <f>F50*(1+'R&amp;C-Painel de Controle'!$D$27)</f>
        <v>939000</v>
      </c>
      <c r="H50" s="313">
        <f>G50*(1+'R&amp;C-Painel de Controle'!$D$27)</f>
        <v>939000</v>
      </c>
      <c r="I50" s="313">
        <f>H50*(1+'R&amp;C-Painel de Controle'!$D$27)</f>
        <v>939000</v>
      </c>
      <c r="J50" s="313">
        <f>I50*(1+'R&amp;C-Painel de Controle'!$D$27)</f>
        <v>939000</v>
      </c>
      <c r="K50" s="313">
        <f>J50*(1+'R&amp;C-Painel de Controle'!$D$27)</f>
        <v>939000</v>
      </c>
      <c r="L50" s="313">
        <f>K50*(1+'R&amp;C-Painel de Controle'!$D$27)</f>
        <v>939000</v>
      </c>
      <c r="M50" s="313">
        <f>L50*(1+'R&amp;C-Painel de Controle'!$D$27)</f>
        <v>939000</v>
      </c>
      <c r="N50" s="313">
        <f>M50*(1+'R&amp;C-Painel de Controle'!$D$27)</f>
        <v>939000</v>
      </c>
      <c r="O50" s="313">
        <f>N50*(1+'R&amp;C-Painel de Controle'!$D$27)</f>
        <v>939000</v>
      </c>
      <c r="P50" s="313">
        <f>O50*(1+'R&amp;C-Painel de Controle'!$D$27)</f>
        <v>939000</v>
      </c>
      <c r="Q50" s="313">
        <f>P50*(1+'R&amp;C-Painel de Controle'!$D$27)</f>
        <v>939000</v>
      </c>
      <c r="R50" s="1259">
        <f>Q50*(1+'R&amp;C-Painel de Controle'!$D$27)</f>
        <v>939000</v>
      </c>
      <c r="S50" s="1259">
        <f>R50*(1+'R&amp;C-Painel de Controle'!$D$27)</f>
        <v>939000</v>
      </c>
      <c r="T50" s="1259">
        <f>S50*(1+'R&amp;C-Painel de Controle'!$D$27)</f>
        <v>939000</v>
      </c>
      <c r="U50" s="313">
        <f>T50*(1+'R&amp;C-Painel de Controle'!$D$27)</f>
        <v>939000</v>
      </c>
      <c r="V50" s="313">
        <f>U50*(1+'R&amp;C-Painel de Controle'!$D$27)</f>
        <v>939000</v>
      </c>
      <c r="W50" s="313">
        <f>V50*(1+'R&amp;C-Painel de Controle'!$D$27)</f>
        <v>939000</v>
      </c>
      <c r="X50" s="313">
        <f>W50*(1+'R&amp;C-Painel de Controle'!$D$27)</f>
        <v>939000</v>
      </c>
      <c r="Y50" s="313">
        <f>X50*(1+'R&amp;C-Painel de Controle'!$D$27)</f>
        <v>939000</v>
      </c>
      <c r="Z50" s="313">
        <f>Y50*(1+'R&amp;C-Painel de Controle'!$D$27)</f>
        <v>939000</v>
      </c>
      <c r="AA50" s="313">
        <f>Z50*(1+'R&amp;C-Painel de Controle'!$D$27)</f>
        <v>939000</v>
      </c>
      <c r="AB50" s="313">
        <f>AA50*(1+'R&amp;C-Painel de Controle'!$D$27)</f>
        <v>939000</v>
      </c>
      <c r="AC50" s="313">
        <f>AB50*(1+'R&amp;C-Painel de Controle'!$D$27)</f>
        <v>939000</v>
      </c>
      <c r="AD50" s="313">
        <f>AC50*(1+'R&amp;C-Painel de Controle'!$D$27)</f>
        <v>939000</v>
      </c>
      <c r="AE50" s="313">
        <f>AD50*(1+'R&amp;C-Painel de Controle'!$D$27)</f>
        <v>939000</v>
      </c>
      <c r="AF50" s="313">
        <f>AE50*(1+'R&amp;C-Painel de Controle'!$D$27)</f>
        <v>939000</v>
      </c>
      <c r="AG50" s="313">
        <f>AF50*(1+'R&amp;C-Painel de Controle'!$D$27)</f>
        <v>939000</v>
      </c>
      <c r="AH50" s="313">
        <f>AG50*(1+'R&amp;C-Painel de Controle'!$D$27)</f>
        <v>939000</v>
      </c>
      <c r="AI50" s="313">
        <f>AH50*(1+'R&amp;C-Painel de Controle'!$D$27)</f>
        <v>939000</v>
      </c>
      <c r="AJ50" s="313">
        <f>AI50*(1+'R&amp;C-Painel de Controle'!$D$27)</f>
        <v>939000</v>
      </c>
      <c r="AK50" s="313">
        <f>AJ50*(1+'R&amp;C-Painel de Controle'!$D$27)</f>
        <v>939000</v>
      </c>
      <c r="AL50" s="313">
        <f>AK50*(1+'R&amp;C-Painel de Controle'!$D$27)</f>
        <v>939000</v>
      </c>
      <c r="AM50" s="313">
        <f>AL50*(1+'R&amp;C-Painel de Controle'!$D$27)</f>
        <v>939000</v>
      </c>
      <c r="AN50" s="313">
        <f>AM50*(1+'R&amp;C-Painel de Controle'!$D$27)</f>
        <v>939000</v>
      </c>
      <c r="AO50" s="313">
        <f>AN50*(1+'R&amp;C-Painel de Controle'!$D$27)</f>
        <v>939000</v>
      </c>
      <c r="AP50" s="313">
        <f>AO50*(1+'R&amp;C-Painel de Controle'!$D$27)</f>
        <v>939000</v>
      </c>
      <c r="AQ50" s="313">
        <f>AP50*(1+'R&amp;C-Painel de Controle'!$D$27)</f>
        <v>939000</v>
      </c>
      <c r="AR50" s="313">
        <f>AQ50*(1+'R&amp;C-Painel de Controle'!$D$27)</f>
        <v>939000</v>
      </c>
      <c r="AS50" s="313">
        <f>AR50*(1+'R&amp;C-Painel de Controle'!$D$27)</f>
        <v>939000</v>
      </c>
      <c r="AT50" s="313">
        <f>AS50*(1+'R&amp;C-Painel de Controle'!$D$27)</f>
        <v>939000</v>
      </c>
      <c r="AU50" s="313">
        <f>AT50*(1+'R&amp;C-Painel de Controle'!$D$27)</f>
        <v>939000</v>
      </c>
      <c r="AV50" s="313">
        <f>AU50*(1+'R&amp;C-Painel de Controle'!$D$27)</f>
        <v>939000</v>
      </c>
      <c r="AW50" s="313">
        <f>AV50*(1+'R&amp;C-Painel de Controle'!$D$27)</f>
        <v>939000</v>
      </c>
      <c r="AX50" s="313">
        <f>AW50*(1+'R&amp;C-Painel de Controle'!$D$27)</f>
        <v>939000</v>
      </c>
      <c r="AY50" s="313">
        <f>AX50*(1+'R&amp;C-Painel de Controle'!$D$27)</f>
        <v>939000</v>
      </c>
      <c r="AZ50" s="313">
        <f>AY50*(1+'R&amp;C-Painel de Controle'!$D$27)</f>
        <v>939000</v>
      </c>
      <c r="BA50" s="313">
        <f>AZ50*(1+'R&amp;C-Painel de Controle'!$D$27)</f>
        <v>939000</v>
      </c>
      <c r="BE50" s="402"/>
    </row>
    <row r="51" spans="1:57" ht="18" customHeight="1" x14ac:dyDescent="0.35">
      <c r="A51" s="1254"/>
      <c r="B51" s="870"/>
      <c r="C51" s="311" t="s">
        <v>386</v>
      </c>
      <c r="D51" s="305"/>
      <c r="E51" s="305"/>
      <c r="F51" s="305">
        <f>1+(('R&amp;C-Painel de Controle'!$D$8*'R&amp;C-Painel de Controle'!$D$33*F53)/1000000-'R&amp;C-Painel de Controle'!$H$16-('R&amp;C-Painel de Controle'!$H$19+'R&amp;C-Painel de Controle'!$H$20)*('R&amp;C-Painel de Controle'!$D$33/5-1)-'R&amp;C-Painel de Controle'!$H$12*'R&amp;C-Painel de Controle'!$D$33)/('R&amp;C-Painel de Controle'!$H$16+('R&amp;C-Painel de Controle'!$H$19+'R&amp;C-Painel de Controle'!$H$20)*('R&amp;C-Painel de Controle'!$D$33/5-1))</f>
        <v>7.1495790240703787</v>
      </c>
      <c r="G51" s="305">
        <f>1+(('R&amp;C-Painel de Controle'!$D$8*'R&amp;C-Painel de Controle'!$D$33*G53)/1000000-'R&amp;C-Painel de Controle'!$H$16-('R&amp;C-Painel de Controle'!$H$19+'R&amp;C-Painel de Controle'!$H$20)*('R&amp;C-Painel de Controle'!$D$33/5-1)-'R&amp;C-Painel de Controle'!$H$12*'R&amp;C-Painel de Controle'!$D$33)/('R&amp;C-Painel de Controle'!$H$16+('R&amp;C-Painel de Controle'!$H$19+'R&amp;C-Painel de Controle'!$H$20)*('R&amp;C-Painel de Controle'!$D$33/5-1))</f>
        <v>5.3911331510956844</v>
      </c>
      <c r="H51" s="305">
        <f>1+(('R&amp;C-Painel de Controle'!$D$8*'R&amp;C-Painel de Controle'!$D$33*H53)/1000000-'R&amp;C-Painel de Controle'!$H$16-('R&amp;C-Painel de Controle'!$H$19+'R&amp;C-Painel de Controle'!$H$20)*('R&amp;C-Painel de Controle'!$D$33/5-1)-'R&amp;C-Painel de Controle'!$H$12*'R&amp;C-Painel de Controle'!$D$33)/('R&amp;C-Painel de Controle'!$H$16+('R&amp;C-Painel de Controle'!$H$19+'R&amp;C-Painel de Controle'!$H$20)*('R&amp;C-Painel de Controle'!$D$33/5-1))</f>
        <v>4.3360656273108686</v>
      </c>
      <c r="I51" s="305">
        <f>1+(('R&amp;C-Painel de Controle'!$D$8*'R&amp;C-Painel de Controle'!$D$33*I53)/1000000-'R&amp;C-Painel de Controle'!$H$16-('R&amp;C-Painel de Controle'!$H$19+'R&amp;C-Painel de Controle'!$H$20)*('R&amp;C-Painel de Controle'!$D$33/5-1)-'R&amp;C-Painel de Controle'!$H$12*'R&amp;C-Painel de Controle'!$D$33)/('R&amp;C-Painel de Controle'!$H$16+('R&amp;C-Painel de Controle'!$H$19+'R&amp;C-Painel de Controle'!$H$20)*('R&amp;C-Painel de Controle'!$D$33/5-1))</f>
        <v>3.6326872781209891</v>
      </c>
      <c r="J51" s="305">
        <f>1+(('R&amp;C-Painel de Controle'!$D$8*'R&amp;C-Painel de Controle'!$D$33*J53)/1000000-'R&amp;C-Painel de Controle'!$H$16-('R&amp;C-Painel de Controle'!$H$19+'R&amp;C-Painel de Controle'!$H$20)*('R&amp;C-Painel de Controle'!$D$33/5-1)-'R&amp;C-Painel de Controle'!$H$12*'R&amp;C-Painel de Controle'!$D$33)/('R&amp;C-Painel de Controle'!$H$16+('R&amp;C-Painel de Controle'!$H$19+'R&amp;C-Painel de Controle'!$H$20)*('R&amp;C-Painel de Controle'!$D$33/5-1))</f>
        <v>3.130274171556791</v>
      </c>
      <c r="K51" s="305">
        <f>1+(('R&amp;C-Painel de Controle'!$D$8*'R&amp;C-Painel de Controle'!$D$33*K53)/1000000-'R&amp;C-Painel de Controle'!$H$16-('R&amp;C-Painel de Controle'!$H$19+'R&amp;C-Painel de Controle'!$H$20)*('R&amp;C-Painel de Controle'!$D$33/5-1)-'R&amp;C-Painel de Controle'!$H$12*'R&amp;C-Painel de Controle'!$D$33)/('R&amp;C-Painel de Controle'!$H$16+('R&amp;C-Painel de Controle'!$H$19+'R&amp;C-Painel de Controle'!$H$20)*('R&amp;C-Painel de Controle'!$D$33/5-1))</f>
        <v>2.7534643416336428</v>
      </c>
      <c r="L51" s="305">
        <f>1+(('R&amp;C-Painel de Controle'!$D$8*'R&amp;C-Painel de Controle'!$D$33*L53)/1000000-'R&amp;C-Painel de Controle'!$H$16-('R&amp;C-Painel de Controle'!$H$19+'R&amp;C-Painel de Controle'!$H$20)*('R&amp;C-Painel de Controle'!$D$33/5-1)-'R&amp;C-Painel de Controle'!$H$12*'R&amp;C-Painel de Controle'!$D$33)/('R&amp;C-Painel de Controle'!$H$16+('R&amp;C-Painel de Controle'!$H$19+'R&amp;C-Painel de Controle'!$H$20)*('R&amp;C-Painel de Controle'!$D$33/5-1))</f>
        <v>2.4603900294711942</v>
      </c>
      <c r="M51" s="305">
        <f>1+(('R&amp;C-Painel de Controle'!$D$8*'R&amp;C-Painel de Controle'!$D$33*M53)/1000000-'R&amp;C-Painel de Controle'!$H$16-('R&amp;C-Painel de Controle'!$H$19+'R&amp;C-Painel de Controle'!$H$20)*('R&amp;C-Painel de Controle'!$D$33/5-1)-'R&amp;C-Painel de Controle'!$H$12*'R&amp;C-Painel de Controle'!$D$33)/('R&amp;C-Painel de Controle'!$H$16+('R&amp;C-Painel de Controle'!$H$19+'R&amp;C-Painel de Controle'!$H$20)*('R&amp;C-Painel de Controle'!$D$33/5-1))</f>
        <v>2.2259305797412345</v>
      </c>
      <c r="N51" s="305">
        <f>1+(('R&amp;C-Painel de Controle'!$D$8*'R&amp;C-Painel de Controle'!$D$33*N53)/1000000-'R&amp;C-Painel de Controle'!$H$16-('R&amp;C-Painel de Controle'!$H$19+'R&amp;C-Painel de Controle'!$H$20)*('R&amp;C-Painel de Controle'!$D$33/5-1)-'R&amp;C-Painel de Controle'!$H$12*'R&amp;C-Painel de Controle'!$D$33)/('R&amp;C-Painel de Controle'!$H$16+('R&amp;C-Painel de Controle'!$H$19+'R&amp;C-Painel de Controle'!$H$20)*('R&amp;C-Painel de Controle'!$D$33/5-1))</f>
        <v>2.0341001208712681</v>
      </c>
      <c r="O51" s="305">
        <f>1+(('R&amp;C-Painel de Controle'!$D$8*'R&amp;C-Painel de Controle'!$D$33*O53)/1000000-'R&amp;C-Painel de Controle'!$H$16-('R&amp;C-Painel de Controle'!$H$19+'R&amp;C-Painel de Controle'!$H$20)*('R&amp;C-Painel de Controle'!$D$33/5-1)-'R&amp;C-Painel de Controle'!$H$12*'R&amp;C-Painel de Controle'!$D$33)/('R&amp;C-Painel de Controle'!$H$16+('R&amp;C-Painel de Controle'!$H$19+'R&amp;C-Painel de Controle'!$H$20)*('R&amp;C-Painel de Controle'!$D$33/5-1))</f>
        <v>1.8742414051462948</v>
      </c>
      <c r="P51" s="305">
        <f>1+(('R&amp;C-Painel de Controle'!$D$8*'R&amp;C-Painel de Controle'!$D$33*P53)/1000000-'R&amp;C-Painel de Controle'!$H$16-('R&amp;C-Painel de Controle'!$H$19+'R&amp;C-Painel de Controle'!$H$20)*('R&amp;C-Painel de Controle'!$D$33/5-1)-'R&amp;C-Painel de Controle'!$H$12*'R&amp;C-Painel de Controle'!$D$33)/('R&amp;C-Painel de Controle'!$H$16+('R&amp;C-Painel de Controle'!$H$19+'R&amp;C-Painel de Controle'!$H$20)*('R&amp;C-Painel de Controle'!$D$33/5-1))</f>
        <v>1.738976337994395</v>
      </c>
      <c r="Q51" s="305">
        <f>1+(('R&amp;C-Painel de Controle'!$D$8*'R&amp;C-Painel de Controle'!$D$33*Q53)/1000000-'R&amp;C-Painel de Controle'!$H$16-('R&amp;C-Painel de Controle'!$H$19+'R&amp;C-Painel de Controle'!$H$20)*('R&amp;C-Painel de Controle'!$D$33/5-1)-'R&amp;C-Painel de Controle'!$H$12*'R&amp;C-Painel de Controle'!$D$33)/('R&amp;C-Painel de Controle'!$H$16+('R&amp;C-Painel de Controle'!$H$19+'R&amp;C-Painel de Controle'!$H$20)*('R&amp;C-Painel de Controle'!$D$33/5-1))</f>
        <v>1.6230348518641948</v>
      </c>
      <c r="R51" s="1260">
        <f>1+(('R&amp;C-Painel de Controle'!$D$8*'R&amp;C-Painel de Controle'!$D$33*R53)/1000000-'R&amp;C-Painel de Controle'!$H$16-('R&amp;C-Painel de Controle'!$H$19+'R&amp;C-Painel de Controle'!$H$20)*('R&amp;C-Painel de Controle'!$D$33/5-1)-'R&amp;C-Painel de Controle'!$H$12*'R&amp;C-Painel de Controle'!$D$33)/('R&amp;C-Painel de Controle'!$H$16+('R&amp;C-Painel de Controle'!$H$19+'R&amp;C-Painel de Controle'!$H$20)*('R&amp;C-Painel de Controle'!$D$33/5-1))</f>
        <v>1.5225522305513568</v>
      </c>
      <c r="S51" s="1260">
        <f>1+(('R&amp;C-Painel de Controle'!$D$8*'R&amp;C-Painel de Controle'!$D$33*S53)/1000000-'R&amp;C-Painel de Controle'!$H$16-('R&amp;C-Painel de Controle'!$H$19+'R&amp;C-Painel de Controle'!$H$20)*('R&amp;C-Painel de Controle'!$D$33/5-1)-'R&amp;C-Painel de Controle'!$H$12*'R&amp;C-Painel de Controle'!$D$33)/('R&amp;C-Painel de Controle'!$H$16+('R&amp;C-Painel de Controle'!$H$19+'R&amp;C-Painel de Controle'!$H$20)*('R&amp;C-Painel de Controle'!$D$33/5-1))</f>
        <v>1.4346299369026214</v>
      </c>
      <c r="T51" s="1260">
        <f>1+(('R&amp;C-Painel de Controle'!$D$8*'R&amp;C-Painel de Controle'!$D$33*T53)/1000000-'R&amp;C-Painel de Controle'!$H$16-('R&amp;C-Painel de Controle'!$H$19+'R&amp;C-Painel de Controle'!$H$20)*('R&amp;C-Painel de Controle'!$D$33/5-1)-'R&amp;C-Painel de Controle'!$H$12*'R&amp;C-Painel de Controle'!$D$33)/('R&amp;C-Painel de Controle'!$H$16+('R&amp;C-Painel de Controle'!$H$19+'R&amp;C-Painel de Controle'!$H$20)*('R&amp;C-Painel de Controle'!$D$33/5-1))</f>
        <v>1.3570514425066789</v>
      </c>
      <c r="U51" s="305">
        <f>1+(('R&amp;C-Painel de Controle'!$D$8*'R&amp;C-Painel de Controle'!$D$33*U53)/1000000-'R&amp;C-Painel de Controle'!$H$16-('R&amp;C-Painel de Controle'!$H$19+'R&amp;C-Painel de Controle'!$H$20)*('R&amp;C-Painel de Controle'!$D$33/5-1)-'R&amp;C-Painel de Controle'!$H$12*'R&amp;C-Painel de Controle'!$D$33)/('R&amp;C-Painel de Controle'!$H$16+('R&amp;C-Painel de Controle'!$H$19+'R&amp;C-Painel de Controle'!$H$20)*('R&amp;C-Painel de Controle'!$D$33/5-1))</f>
        <v>1.2880927808213973</v>
      </c>
      <c r="V51" s="305">
        <f>1+(('R&amp;C-Painel de Controle'!$D$8*'R&amp;C-Painel de Controle'!$D$33*V53)/1000000-'R&amp;C-Painel de Controle'!$H$16-('R&amp;C-Painel de Controle'!$H$19+'R&amp;C-Painel de Controle'!$H$20)*('R&amp;C-Painel de Controle'!$D$33/5-1)-'R&amp;C-Painel de Controle'!$H$12*'R&amp;C-Painel de Controle'!$D$33)/('R&amp;C-Painel de Controle'!$H$16+('R&amp;C-Painel de Controle'!$H$19+'R&amp;C-Painel de Controle'!$H$20)*('R&amp;C-Painel de Controle'!$D$33/5-1))</f>
        <v>1.2263929256293022</v>
      </c>
      <c r="W51" s="305">
        <f>1+(('R&amp;C-Painel de Controle'!$D$8*'R&amp;C-Painel de Controle'!$D$33*W53)/1000000-'R&amp;C-Painel de Controle'!$H$16-('R&amp;C-Painel de Controle'!$H$19+'R&amp;C-Painel de Controle'!$H$20)*('R&amp;C-Painel de Controle'!$D$33/5-1)-'R&amp;C-Painel de Controle'!$H$12*'R&amp;C-Painel de Controle'!$D$33)/('R&amp;C-Painel de Controle'!$H$16+('R&amp;C-Painel de Controle'!$H$19+'R&amp;C-Painel de Controle'!$H$20)*('R&amp;C-Painel de Controle'!$D$33/5-1))</f>
        <v>1.170863055956417</v>
      </c>
      <c r="X51" s="305">
        <f>1+(('R&amp;C-Painel de Controle'!$D$8*'R&amp;C-Painel de Controle'!$D$33*X53)/1000000-'R&amp;C-Painel de Controle'!$H$16-('R&amp;C-Painel de Controle'!$H$19+'R&amp;C-Painel de Controle'!$H$20)*('R&amp;C-Painel de Controle'!$D$33/5-1)-'R&amp;C-Painel de Controle'!$H$12*'R&amp;C-Painel de Controle'!$D$33)/('R&amp;C-Painel de Controle'!$H$16+('R&amp;C-Painel de Controle'!$H$19+'R&amp;C-Painel de Controle'!$H$20)*('R&amp;C-Painel de Controle'!$D$33/5-1))</f>
        <v>1.1206217452999967</v>
      </c>
      <c r="Y51" s="305">
        <f>1+(('R&amp;C-Painel de Controle'!$D$8*'R&amp;C-Painel de Controle'!$D$33*Y53)/1000000-'R&amp;C-Painel de Controle'!$H$16-('R&amp;C-Painel de Controle'!$H$19+'R&amp;C-Painel de Controle'!$H$20)*('R&amp;C-Painel de Controle'!$D$33/5-1)-'R&amp;C-Painel de Controle'!$H$12*'R&amp;C-Painel de Controle'!$D$33)/('R&amp;C-Painel de Controle'!$H$16+('R&amp;C-Painel de Controle'!$H$19+'R&amp;C-Painel de Controle'!$H$20)*('R&amp;C-Painel de Controle'!$D$33/5-1))</f>
        <v>1.0749478265214341</v>
      </c>
      <c r="Z51" s="305">
        <f>1+(('R&amp;C-Painel de Controle'!$D$8*'R&amp;C-Painel de Controle'!$D$33*Z53)/1000000-'R&amp;C-Painel de Controle'!$H$16-('R&amp;C-Painel de Controle'!$H$19+'R&amp;C-Painel de Controle'!$H$20)*('R&amp;C-Painel de Controle'!$D$33/5-1)-'R&amp;C-Painel de Controle'!$H$12*'R&amp;C-Painel de Controle'!$D$33)/('R&amp;C-Painel de Controle'!$H$16+('R&amp;C-Painel de Controle'!$H$19+'R&amp;C-Painel de Controle'!$H$20)*('R&amp;C-Painel de Controle'!$D$33/5-1))</f>
        <v>1.0332455528540498</v>
      </c>
      <c r="AA51" s="305">
        <f>1+(('R&amp;C-Painel de Controle'!$D$8*'R&amp;C-Painel de Controle'!$D$33*AA53)/1000000-'R&amp;C-Painel de Controle'!$H$16-('R&amp;C-Painel de Controle'!$H$19+'R&amp;C-Painel de Controle'!$H$20)*('R&amp;C-Painel de Controle'!$D$33/5-1)-'R&amp;C-Painel de Controle'!$H$12*'R&amp;C-Painel de Controle'!$D$33)/('R&amp;C-Painel de Controle'!$H$16+('R&amp;C-Painel de Controle'!$H$19+'R&amp;C-Painel de Controle'!$H$20)*('R&amp;C-Painel de Controle'!$D$33/5-1))</f>
        <v>0.99501846865894727</v>
      </c>
      <c r="AB51" s="305">
        <f>1+(('R&amp;C-Painel de Controle'!$D$8*'R&amp;C-Painel de Controle'!$D$33*AB53)/1000000-'R&amp;C-Painel de Controle'!$H$16-('R&amp;C-Painel de Controle'!$H$19+'R&amp;C-Painel de Controle'!$H$20)*('R&amp;C-Painel de Controle'!$D$33/5-1)-'R&amp;C-Painel de Controle'!$H$12*'R&amp;C-Painel de Controle'!$D$33)/('R&amp;C-Painel de Controle'!$H$16+('R&amp;C-Painel de Controle'!$H$19+'R&amp;C-Painel de Controle'!$H$20)*('R&amp;C-Painel de Controle'!$D$33/5-1))</f>
        <v>0.95984955119945381</v>
      </c>
      <c r="AC51" s="305">
        <f>1+(('R&amp;C-Painel de Controle'!$D$8*'R&amp;C-Painel de Controle'!$D$33*AC53)/1000000-'R&amp;C-Painel de Controle'!$H$16-('R&amp;C-Painel de Controle'!$H$19+'R&amp;C-Painel de Controle'!$H$20)*('R&amp;C-Painel de Controle'!$D$33/5-1)-'R&amp;C-Painel de Controle'!$H$12*'R&amp;C-Painel de Controle'!$D$33)/('R&amp;C-Painel de Controle'!$H$16+('R&amp;C-Painel de Controle'!$H$19+'R&amp;C-Painel de Controle'!$H$20)*('R&amp;C-Painel de Controle'!$D$33/5-1))</f>
        <v>0.92738593508299827</v>
      </c>
      <c r="AD51" s="305">
        <f>1+(('R&amp;C-Painel de Controle'!$D$8*'R&amp;C-Painel de Controle'!$D$33*AD53)/1000000-'R&amp;C-Painel de Controle'!$H$16-('R&amp;C-Painel de Controle'!$H$19+'R&amp;C-Painel de Controle'!$H$20)*('R&amp;C-Painel de Controle'!$D$33/5-1)-'R&amp;C-Painel de Controle'!$H$12*'R&amp;C-Painel de Controle'!$D$33)/('R&amp;C-Painel de Controle'!$H$16+('R&amp;C-Painel de Controle'!$H$19+'R&amp;C-Painel de Controle'!$H$20)*('R&amp;C-Painel de Controle'!$D$33/5-1))</f>
        <v>0.89732703127146407</v>
      </c>
      <c r="AE51" s="305">
        <f>1+(('R&amp;C-Painel de Controle'!$D$8*'R&amp;C-Painel de Controle'!$D$33*AE53)/1000000-'R&amp;C-Painel de Controle'!$H$16-('R&amp;C-Painel de Controle'!$H$19+'R&amp;C-Painel de Controle'!$H$20)*('R&amp;C-Painel de Controle'!$D$33/5-1)-'R&amp;C-Painel de Controle'!$H$12*'R&amp;C-Painel de Controle'!$D$33)/('R&amp;C-Painel de Controle'!$H$16+('R&amp;C-Painel de Controle'!$H$19+'R&amp;C-Painel de Controle'!$H$20)*('R&amp;C-Painel de Controle'!$D$33/5-1))</f>
        <v>0.86941519201789819</v>
      </c>
      <c r="AF51" s="305">
        <f>1+(('R&amp;C-Painel de Controle'!$D$8*'R&amp;C-Painel de Controle'!$D$33*AF53)/1000000-'R&amp;C-Painel de Controle'!$H$16-('R&amp;C-Painel de Controle'!$H$19+'R&amp;C-Painel de Controle'!$H$20)*('R&amp;C-Painel de Controle'!$D$33/5-1)-'R&amp;C-Painel de Controle'!$H$12*'R&amp;C-Painel de Controle'!$D$33)/('R&amp;C-Painel de Controle'!$H$16+('R&amp;C-Painel de Controle'!$H$19+'R&amp;C-Painel de Controle'!$H$20)*('R&amp;C-Painel de Controle'!$D$33/5-1))</f>
        <v>0.84342830719561213</v>
      </c>
      <c r="AG51" s="305">
        <f>1+(('R&amp;C-Painel de Controle'!$D$8*'R&amp;C-Painel de Controle'!$D$33*AG53)/1000000-'R&amp;C-Painel de Controle'!$H$16-('R&amp;C-Painel de Controle'!$H$19+'R&amp;C-Painel de Controle'!$H$20)*('R&amp;C-Painel de Controle'!$D$33/5-1)-'R&amp;C-Painel de Controle'!$H$12*'R&amp;C-Painel de Controle'!$D$33)/('R&amp;C-Painel de Controle'!$H$16+('R&amp;C-Painel de Controle'!$H$19+'R&amp;C-Painel de Controle'!$H$20)*('R&amp;C-Painel de Controle'!$D$33/5-1))</f>
        <v>0.81917388136147828</v>
      </c>
      <c r="AH51" s="305">
        <f>1+(('R&amp;C-Painel de Controle'!$D$8*'R&amp;C-Painel de Controle'!$D$33*AH53)/1000000-'R&amp;C-Painel de Controle'!$H$16-('R&amp;C-Painel de Controle'!$H$19+'R&amp;C-Painel de Controle'!$H$20)*('R&amp;C-Painel de Controle'!$D$33/5-1)-'R&amp;C-Painel de Controle'!$H$12*'R&amp;C-Painel de Controle'!$D$33)/('R&amp;C-Painel de Controle'!$H$16+('R&amp;C-Painel de Controle'!$H$19+'R&amp;C-Painel de Controle'!$H$20)*('R&amp;C-Painel de Controle'!$D$33/5-1))</f>
        <v>0.79648425719406324</v>
      </c>
      <c r="AI51" s="305">
        <f>1+(('R&amp;C-Painel de Controle'!$D$8*'R&amp;C-Painel de Controle'!$D$33*AI53)/1000000-'R&amp;C-Painel de Controle'!$H$16-('R&amp;C-Painel de Controle'!$H$19+'R&amp;C-Painel de Controle'!$H$20)*('R&amp;C-Painel de Controle'!$D$33/5-1)-'R&amp;C-Painel de Controle'!$H$12*'R&amp;C-Painel de Controle'!$D$33)/('R&amp;C-Painel de Controle'!$H$16+('R&amp;C-Painel de Controle'!$H$19+'R&amp;C-Painel de Controle'!$H$20)*('R&amp;C-Painel de Controle'!$D$33/5-1))</f>
        <v>0.77521273453711048</v>
      </c>
      <c r="AJ51" s="305">
        <f>1+(('R&amp;C-Painel de Controle'!$D$8*'R&amp;C-Painel de Controle'!$D$33*AJ53)/1000000-'R&amp;C-Painel de Controle'!$H$16-('R&amp;C-Painel de Controle'!$H$19+'R&amp;C-Painel de Controle'!$H$20)*('R&amp;C-Painel de Controle'!$D$33/5-1)-'R&amp;C-Painel de Controle'!$H$12*'R&amp;C-Painel de Controle'!$D$33)/('R&amp;C-Painel de Controle'!$H$16+('R&amp;C-Painel de Controle'!$H$19+'R&amp;C-Painel de Controle'!$H$20)*('R&amp;C-Painel de Controle'!$D$33/5-1))</f>
        <v>0.75523039507148892</v>
      </c>
      <c r="AK51" s="305">
        <f>1+(('R&amp;C-Painel de Controle'!$D$8*'R&amp;C-Painel de Controle'!$D$33*AK53)/1000000-'R&amp;C-Painel de Controle'!$H$16-('R&amp;C-Painel de Controle'!$H$19+'R&amp;C-Painel de Controle'!$H$20)*('R&amp;C-Painel de Controle'!$D$33/5-1)-'R&amp;C-Painel de Controle'!$H$12*'R&amp;C-Painel de Controle'!$D$33)/('R&amp;C-Painel de Controle'!$H$16+('R&amp;C-Painel de Controle'!$H$19+'R&amp;C-Painel de Controle'!$H$20)*('R&amp;C-Painel de Controle'!$D$33/5-1))</f>
        <v>0.73642348733913976</v>
      </c>
      <c r="AL51" s="305">
        <f>1+(('R&amp;C-Painel de Controle'!$D$8*'R&amp;C-Painel de Controle'!$D$33*AL53)/1000000-'R&amp;C-Painel de Controle'!$H$16-('R&amp;C-Painel de Controle'!$H$19+'R&amp;C-Painel de Controle'!$H$20)*('R&amp;C-Painel de Controle'!$D$33/5-1)-'R&amp;C-Painel de Controle'!$H$12*'R&amp;C-Painel de Controle'!$D$33)/('R&amp;C-Painel de Controle'!$H$16+('R&amp;C-Painel de Controle'!$H$19+'R&amp;C-Painel de Controle'!$H$20)*('R&amp;C-Painel de Controle'!$D$33/5-1))</f>
        <v>0.71869126004863904</v>
      </c>
      <c r="AM51" s="305">
        <f>1+(('R&amp;C-Painel de Controle'!$D$8*'R&amp;C-Painel de Controle'!$D$33*AM53)/1000000-'R&amp;C-Painel de Controle'!$H$16-('R&amp;C-Painel de Controle'!$H$19+'R&amp;C-Painel de Controle'!$H$20)*('R&amp;C-Painel de Controle'!$D$33/5-1)-'R&amp;C-Painel de Controle'!$H$12*'R&amp;C-Painel de Controle'!$D$33)/('R&amp;C-Painel de Controle'!$H$16+('R&amp;C-Painel de Controle'!$H$19+'R&amp;C-Painel de Controle'!$H$20)*('R&amp;C-Painel de Controle'!$D$33/5-1))</f>
        <v>0.70194415649649811</v>
      </c>
      <c r="AN51" s="305">
        <f>1+(('R&amp;C-Painel de Controle'!$D$8*'R&amp;C-Painel de Controle'!$D$33*AN53)/1000000-'R&amp;C-Painel de Controle'!$H$16-('R&amp;C-Painel de Controle'!$H$19+'R&amp;C-Painel de Controle'!$H$20)*('R&amp;C-Painel de Controle'!$D$33/5-1)-'R&amp;C-Painel de Controle'!$H$12*'R&amp;C-Painel de Controle'!$D$33)/('R&amp;C-Painel de Controle'!$H$16+('R&amp;C-Painel de Controle'!$H$19+'R&amp;C-Painel de Controle'!$H$20)*('R&amp;C-Painel de Controle'!$D$33/5-1))</f>
        <v>0.68610230178501419</v>
      </c>
      <c r="AO51" s="305">
        <f>1+(('R&amp;C-Painel de Controle'!$D$8*'R&amp;C-Painel de Controle'!$D$33*AO53)/1000000-'R&amp;C-Painel de Controle'!$H$16-('R&amp;C-Painel de Controle'!$H$19+'R&amp;C-Painel de Controle'!$H$20)*('R&amp;C-Painel de Controle'!$D$33/5-1)-'R&amp;C-Painel de Controle'!$H$12*'R&amp;C-Painel de Controle'!$D$33)/('R&amp;C-Painel de Controle'!$H$16+('R&amp;C-Painel de Controle'!$H$19+'R&amp;C-Painel de Controle'!$H$20)*('R&amp;C-Painel de Controle'!$D$33/5-1))</f>
        <v>0.67109422890045134</v>
      </c>
      <c r="AP51" s="305">
        <f>1+(('R&amp;C-Painel de Controle'!$D$8*'R&amp;C-Painel de Controle'!$D$33*AP53)/1000000-'R&amp;C-Painel de Controle'!$H$16-('R&amp;C-Painel de Controle'!$H$19+'R&amp;C-Painel de Controle'!$H$20)*('R&amp;C-Painel de Controle'!$D$33/5-1)-'R&amp;C-Painel de Controle'!$H$12*'R&amp;C-Painel de Controle'!$D$33)/('R&amp;C-Painel de Controle'!$H$16+('R&amp;C-Painel de Controle'!$H$19+'R&amp;C-Painel de Controle'!$H$20)*('R&amp;C-Painel de Controle'!$D$33/5-1))</f>
        <v>0.65685580077919892</v>
      </c>
      <c r="AQ51" s="305">
        <f>1+(('R&amp;C-Painel de Controle'!$D$8*'R&amp;C-Painel de Controle'!$D$33*AQ53)/1000000-'R&amp;C-Painel de Controle'!$H$16-('R&amp;C-Painel de Controle'!$H$19+'R&amp;C-Painel de Controle'!$H$20)*('R&amp;C-Painel de Controle'!$D$33/5-1)-'R&amp;C-Painel de Controle'!$H$12*'R&amp;C-Painel de Controle'!$D$33)/('R&amp;C-Painel de Controle'!$H$16+('R&amp;C-Painel de Controle'!$H$19+'R&amp;C-Painel de Controle'!$H$20)*('R&amp;C-Painel de Controle'!$D$33/5-1))</f>
        <v>0.64332929406400796</v>
      </c>
      <c r="AR51" s="305">
        <f>1+(('R&amp;C-Painel de Controle'!$D$8*'R&amp;C-Painel de Controle'!$D$33*AR53)/1000000-'R&amp;C-Painel de Controle'!$H$16-('R&amp;C-Painel de Controle'!$H$19+'R&amp;C-Painel de Controle'!$H$20)*('R&amp;C-Painel de Controle'!$D$33/5-1)-'R&amp;C-Painel de Controle'!$H$12*'R&amp;C-Painel de Controle'!$D$33)/('R&amp;C-Painel de Controle'!$H$16+('R&amp;C-Painel de Controle'!$H$19+'R&amp;C-Painel de Controle'!$H$20)*('R&amp;C-Painel de Controle'!$D$33/5-1))</f>
        <v>0.63046261694468175</v>
      </c>
      <c r="AS51" s="305">
        <f>1+(('R&amp;C-Painel de Controle'!$D$8*'R&amp;C-Painel de Controle'!$D$33*AS53)/1000000-'R&amp;C-Painel de Controle'!$H$16-('R&amp;C-Painel de Controle'!$H$19+'R&amp;C-Painel de Controle'!$H$20)*('R&amp;C-Painel de Controle'!$D$33/5-1)-'R&amp;C-Painel de Controle'!$H$12*'R&amp;C-Painel de Controle'!$D$33)/('R&amp;C-Painel de Controle'!$H$16+('R&amp;C-Painel de Controle'!$H$19+'R&amp;C-Painel de Controle'!$H$20)*('R&amp;C-Painel de Controle'!$D$33/5-1))</f>
        <v>0.61820863873579823</v>
      </c>
      <c r="AT51" s="305">
        <f>1+(('R&amp;C-Painel de Controle'!$D$8*'R&amp;C-Painel de Controle'!$D$33*AT53)/1000000-'R&amp;C-Painel de Controle'!$H$16-('R&amp;C-Painel de Controle'!$H$19+'R&amp;C-Painel de Controle'!$H$20)*('R&amp;C-Painel de Controle'!$D$33/5-1)-'R&amp;C-Painel de Controle'!$H$12*'R&amp;C-Painel de Controle'!$D$33)/('R&amp;C-Painel de Controle'!$H$16+('R&amp;C-Painel de Controle'!$H$19+'R&amp;C-Painel de Controle'!$H$20)*('R&amp;C-Painel de Controle'!$D$33/5-1))</f>
        <v>0.60652461300174809</v>
      </c>
      <c r="AU51" s="305">
        <f>1+(('R&amp;C-Painel de Controle'!$D$8*'R&amp;C-Painel de Controle'!$D$33*AU53)/1000000-'R&amp;C-Painel de Controle'!$H$16-('R&amp;C-Painel de Controle'!$H$19+'R&amp;C-Painel de Controle'!$H$20)*('R&amp;C-Painel de Controle'!$D$33/5-1)-'R&amp;C-Painel de Controle'!$H$12*'R&amp;C-Painel de Controle'!$D$33)/('R&amp;C-Painel de Controle'!$H$16+('R&amp;C-Painel de Controle'!$H$19+'R&amp;C-Painel de Controle'!$H$20)*('R&amp;C-Painel de Controle'!$D$33/5-1))</f>
        <v>0.5953716793465178</v>
      </c>
      <c r="AV51" s="305">
        <f>1+(('R&amp;C-Painel de Controle'!$D$8*'R&amp;C-Painel de Controle'!$D$33*AV53)/1000000-'R&amp;C-Painel de Controle'!$H$16-('R&amp;C-Painel de Controle'!$H$19+'R&amp;C-Painel de Controle'!$H$20)*('R&amp;C-Painel de Controle'!$D$33/5-1)-'R&amp;C-Painel de Controle'!$H$12*'R&amp;C-Painel de Controle'!$D$33)/('R&amp;C-Painel de Controle'!$H$16+('R&amp;C-Painel de Controle'!$H$19+'R&amp;C-Painel de Controle'!$H$20)*('R&amp;C-Painel de Controle'!$D$33/5-1))</f>
        <v>0.58471443163151871</v>
      </c>
      <c r="AW51" s="305">
        <f>1+(('R&amp;C-Painel de Controle'!$D$8*'R&amp;C-Painel de Controle'!$D$33*AW53)/1000000-'R&amp;C-Painel de Controle'!$H$16-('R&amp;C-Painel de Controle'!$H$19+'R&amp;C-Painel de Controle'!$H$20)*('R&amp;C-Painel de Controle'!$D$33/5-1)-'R&amp;C-Painel de Controle'!$H$12*'R&amp;C-Painel de Controle'!$D$33)/('R&amp;C-Painel de Controle'!$H$16+('R&amp;C-Painel de Controle'!$H$19+'R&amp;C-Painel de Controle'!$H$20)*('R&amp;C-Painel de Controle'!$D$33/5-1))</f>
        <v>0.57452054251282525</v>
      </c>
      <c r="AX51" s="305">
        <f>1+(('R&amp;C-Painel de Controle'!$D$8*'R&amp;C-Painel de Controle'!$D$33*AX53)/1000000-'R&amp;C-Painel de Controle'!$H$16-('R&amp;C-Painel de Controle'!$H$19+'R&amp;C-Painel de Controle'!$H$20)*('R&amp;C-Painel de Controle'!$D$33/5-1)-'R&amp;C-Painel de Controle'!$H$12*'R&amp;C-Painel de Controle'!$D$33)/('R&amp;C-Painel de Controle'!$H$16+('R&amp;C-Painel de Controle'!$H$19+'R&amp;C-Painel de Controle'!$H$20)*('R&amp;C-Painel de Controle'!$D$33/5-1))</f>
        <v>0.56476043590982006</v>
      </c>
      <c r="AY51" s="305">
        <f>1+(('R&amp;C-Painel de Controle'!$D$8*'R&amp;C-Painel de Controle'!$D$33*AY53)/1000000-'R&amp;C-Painel de Controle'!$H$16-('R&amp;C-Painel de Controle'!$H$19+'R&amp;C-Painel de Controle'!$H$20)*('R&amp;C-Painel de Controle'!$D$33/5-1)-'R&amp;C-Painel de Controle'!$H$12*'R&amp;C-Painel de Controle'!$D$33)/('R&amp;C-Painel de Controle'!$H$16+('R&amp;C-Painel de Controle'!$H$19+'R&amp;C-Painel de Controle'!$H$20)*('R&amp;C-Painel de Controle'!$D$33/5-1))</f>
        <v>0.55540700041527369</v>
      </c>
      <c r="AZ51" s="305">
        <f>1+(('R&amp;C-Painel de Controle'!$D$8*'R&amp;C-Painel de Controle'!$D$33*AZ53)/1000000-'R&amp;C-Painel de Controle'!$H$16-('R&amp;C-Painel de Controle'!$H$19+'R&amp;C-Painel de Controle'!$H$20)*('R&amp;C-Painel de Controle'!$D$33/5-1)-'R&amp;C-Painel de Controle'!$H$12*'R&amp;C-Painel de Controle'!$D$33)/('R&amp;C-Painel de Controle'!$H$16+('R&amp;C-Painel de Controle'!$H$19+'R&amp;C-Painel de Controle'!$H$20)*('R&amp;C-Painel de Controle'!$D$33/5-1))</f>
        <v>0.54643533779805564</v>
      </c>
      <c r="BA51" s="305">
        <f>1+(('R&amp;C-Painel de Controle'!$D$8*'R&amp;C-Painel de Controle'!$D$33*BA53)/1000000-'R&amp;C-Painel de Controle'!$H$16-('R&amp;C-Painel de Controle'!$H$19+'R&amp;C-Painel de Controle'!$H$20)*('R&amp;C-Painel de Controle'!$D$33/5-1)-'R&amp;C-Painel de Controle'!$H$12*'R&amp;C-Painel de Controle'!$D$33)/('R&amp;C-Painel de Controle'!$H$16+('R&amp;C-Painel de Controle'!$H$19+'R&amp;C-Painel de Controle'!$H$20)*('R&amp;C-Painel de Controle'!$D$33/5-1))</f>
        <v>0.53782254168552646</v>
      </c>
      <c r="BE51" s="402"/>
    </row>
    <row r="52" spans="1:57" ht="18" customHeight="1" x14ac:dyDescent="0.35">
      <c r="A52" s="1254"/>
      <c r="B52" s="870"/>
      <c r="C52" s="311" t="s">
        <v>387</v>
      </c>
      <c r="D52" s="314"/>
      <c r="E52" s="314"/>
      <c r="F52" s="314">
        <f>F53*('R&amp;C-Painel de Controle'!$D$7*30/'R&amp;C-Painel de Controle'!$D$6)</f>
        <v>30.899060017935359</v>
      </c>
      <c r="G52" s="314">
        <f>G53*('R&amp;C-Painel de Controle'!$D$7*30/'R&amp;C-Painel de Controle'!$D$6)</f>
        <v>25.578757174936047</v>
      </c>
      <c r="H52" s="314">
        <f>H53*('R&amp;C-Painel de Controle'!$D$7*30/'R&amp;C-Painel de Controle'!$D$6)</f>
        <v>22.386575469136467</v>
      </c>
      <c r="I52" s="314">
        <f>I53*('R&amp;C-Painel de Controle'!$D$7*30/'R&amp;C-Painel de Controle'!$D$6)</f>
        <v>20.25845433193674</v>
      </c>
      <c r="J52" s="314">
        <f>J53*('R&amp;C-Painel de Controle'!$D$7*30/'R&amp;C-Painel de Controle'!$D$6)</f>
        <v>18.73836780536551</v>
      </c>
      <c r="K52" s="314">
        <f>K53*('R&amp;C-Painel de Controle'!$D$7*30/'R&amp;C-Painel de Controle'!$D$6)</f>
        <v>17.598302910437088</v>
      </c>
      <c r="L52" s="314">
        <f>L53*('R&amp;C-Painel de Controle'!$D$7*30/'R&amp;C-Painel de Controle'!$D$6)</f>
        <v>16.711585769937205</v>
      </c>
      <c r="M52" s="314">
        <f>M53*('R&amp;C-Painel de Controle'!$D$7*30/'R&amp;C-Painel de Controle'!$D$6)</f>
        <v>16.002212057537296</v>
      </c>
      <c r="N52" s="314">
        <f>N53*('R&amp;C-Painel de Controle'!$D$7*30/'R&amp;C-Painel de Controle'!$D$6)</f>
        <v>15.421815383755554</v>
      </c>
      <c r="O52" s="314">
        <f>O53*('R&amp;C-Painel de Controle'!$D$7*30/'R&amp;C-Painel de Controle'!$D$6)</f>
        <v>14.938151488937434</v>
      </c>
      <c r="P52" s="314">
        <f>P53*('R&amp;C-Painel de Controle'!$D$7*30/'R&amp;C-Painel de Controle'!$D$6)</f>
        <v>14.52889742409133</v>
      </c>
      <c r="Q52" s="314">
        <f>Q53*('R&amp;C-Painel de Controle'!$D$7*30/'R&amp;C-Painel de Controle'!$D$6)</f>
        <v>14.178108225651815</v>
      </c>
      <c r="R52" s="1261">
        <f>R53*('R&amp;C-Painel de Controle'!$D$7*30/'R&amp;C-Painel de Controle'!$D$6)</f>
        <v>13.874090920337574</v>
      </c>
      <c r="S52" s="1261">
        <f>S53*('R&amp;C-Painel de Controle'!$D$7*30/'R&amp;C-Painel de Controle'!$D$6)</f>
        <v>13.608075778187606</v>
      </c>
      <c r="T52" s="1261">
        <f>T53*('R&amp;C-Painel de Controle'!$D$7*30/'R&amp;C-Painel de Controle'!$D$6)</f>
        <v>13.373356535114107</v>
      </c>
      <c r="U52" s="314">
        <f>U53*('R&amp;C-Painel de Controle'!$D$7*30/'R&amp;C-Painel de Controle'!$D$6)</f>
        <v>13.164717207937667</v>
      </c>
      <c r="V52" s="314">
        <f>V53*('R&amp;C-Painel de Controle'!$D$7*30/'R&amp;C-Painel de Controle'!$D$6)</f>
        <v>12.978039915200847</v>
      </c>
      <c r="W52" s="314">
        <f>W53*('R&amp;C-Painel de Controle'!$D$7*30/'R&amp;C-Painel de Controle'!$D$6)</f>
        <v>12.81003035173771</v>
      </c>
      <c r="X52" s="314">
        <f>X53*('R&amp;C-Painel de Controle'!$D$7*30/'R&amp;C-Painel de Controle'!$D$6)</f>
        <v>12.658021699080587</v>
      </c>
      <c r="Y52" s="314">
        <f>Y53*('R&amp;C-Painel de Controle'!$D$7*30/'R&amp;C-Painel de Controle'!$D$6)</f>
        <v>12.519832014846841</v>
      </c>
      <c r="Z52" s="314">
        <f>Z53*('R&amp;C-Painel de Controle'!$D$7*30/'R&amp;C-Painel de Controle'!$D$6)</f>
        <v>12.393658824894286</v>
      </c>
      <c r="AA52" s="314">
        <f>AA53*('R&amp;C-Painel de Controle'!$D$7*30/'R&amp;C-Painel de Controle'!$D$6)</f>
        <v>12.278000067437778</v>
      </c>
      <c r="AB52" s="314">
        <f>AB53*('R&amp;C-Painel de Controle'!$D$7*30/'R&amp;C-Painel de Controle'!$D$6)</f>
        <v>12.171594010577795</v>
      </c>
      <c r="AC52" s="314">
        <f>AC53*('R&amp;C-Painel de Controle'!$D$7*30/'R&amp;C-Painel de Controle'!$D$6)</f>
        <v>12.073373035014733</v>
      </c>
      <c r="AD52" s="314">
        <f>AD53*('R&amp;C-Painel de Controle'!$D$7*30/'R&amp;C-Painel de Controle'!$D$6)</f>
        <v>11.982427687271151</v>
      </c>
      <c r="AE52" s="314">
        <f>AE53*('R&amp;C-Painel de Controle'!$D$7*30/'R&amp;C-Painel de Controle'!$D$6)</f>
        <v>11.897978435794974</v>
      </c>
      <c r="AF52" s="314">
        <f>AF53*('R&amp;C-Painel de Controle'!$D$7*30/'R&amp;C-Painel de Controle'!$D$6)</f>
        <v>11.819353270627497</v>
      </c>
      <c r="AG52" s="314">
        <f>AG53*('R&amp;C-Painel de Controle'!$D$7*30/'R&amp;C-Painel de Controle'!$D$6)</f>
        <v>11.74596978313785</v>
      </c>
      <c r="AH52" s="314">
        <f>AH53*('R&amp;C-Painel de Controle'!$D$7*30/'R&amp;C-Painel de Controle'!$D$6)</f>
        <v>11.677320714195924</v>
      </c>
      <c r="AI52" s="314">
        <f>AI53*('R&amp;C-Painel de Controle'!$D$7*30/'R&amp;C-Painel de Controle'!$D$6)</f>
        <v>11.612962212062866</v>
      </c>
      <c r="AJ52" s="314">
        <f>AJ53*('R&amp;C-Painel de Controle'!$D$7*30/'R&amp;C-Painel de Controle'!$D$6)</f>
        <v>11.552504225210603</v>
      </c>
      <c r="AK52" s="314">
        <f>AK53*('R&amp;C-Painel de Controle'!$D$7*30/'R&amp;C-Painel de Controle'!$D$6)</f>
        <v>11.495602590526117</v>
      </c>
      <c r="AL52" s="314">
        <f>AL53*('R&amp;C-Painel de Controle'!$D$7*30/'R&amp;C-Painel de Controle'!$D$6)</f>
        <v>11.441952477823605</v>
      </c>
      <c r="AM52" s="314">
        <f>AM53*('R&amp;C-Painel de Controle'!$D$7*30/'R&amp;C-Painel de Controle'!$D$6)</f>
        <v>11.391282926937896</v>
      </c>
      <c r="AN52" s="314">
        <f>AN53*('R&amp;C-Painel de Controle'!$D$7*30/'R&amp;C-Painel de Controle'!$D$6)</f>
        <v>11.343352270694657</v>
      </c>
      <c r="AO52" s="314">
        <f>AO53*('R&amp;C-Painel de Controle'!$D$7*30/'R&amp;C-Painel de Controle'!$D$6)</f>
        <v>11.297944280569487</v>
      </c>
      <c r="AP52" s="314">
        <f>AP53*('R&amp;C-Painel de Controle'!$D$7*30/'R&amp;C-Painel de Controle'!$D$6)</f>
        <v>11.254864905322529</v>
      </c>
      <c r="AQ52" s="314">
        <f>AQ53*('R&amp;C-Painel de Controle'!$D$7*30/'R&amp;C-Painel de Controle'!$D$6)</f>
        <v>11.213939498837917</v>
      </c>
      <c r="AR52" s="314">
        <f>AR53*('R&amp;C-Painel de Controle'!$D$7*30/'R&amp;C-Painel de Controle'!$D$6)</f>
        <v>11.175010453645241</v>
      </c>
      <c r="AS52" s="314">
        <f>AS53*('R&amp;C-Painel de Controle'!$D$7*30/'R&amp;C-Painel de Controle'!$D$6)</f>
        <v>11.137935172509357</v>
      </c>
      <c r="AT52" s="314">
        <f>AT53*('R&amp;C-Painel de Controle'!$D$7*30/'R&amp;C-Painel de Controle'!$D$6)</f>
        <v>11.102584323054213</v>
      </c>
      <c r="AU52" s="314">
        <f>AU53*('R&amp;C-Painel de Controle'!$D$7*30/'R&amp;C-Painel de Controle'!$D$6)</f>
        <v>11.068840330392485</v>
      </c>
      <c r="AV52" s="314">
        <f>AV53*('R&amp;C-Painel de Controle'!$D$7*30/'R&amp;C-Painel de Controle'!$D$6)</f>
        <v>11.036596070737941</v>
      </c>
      <c r="AW52" s="314">
        <f>AW53*('R&amp;C-Painel de Controle'!$D$7*30/'R&amp;C-Painel de Controle'!$D$6)</f>
        <v>11.005753735416208</v>
      </c>
      <c r="AX52" s="314">
        <f>AX53*('R&amp;C-Painel de Controle'!$D$7*30/'R&amp;C-Painel de Controle'!$D$6)</f>
        <v>10.976223839895397</v>
      </c>
      <c r="AY52" s="314">
        <f>AY53*('R&amp;C-Painel de Controle'!$D$7*30/'R&amp;C-Painel de Controle'!$D$6)</f>
        <v>10.947924356687952</v>
      </c>
      <c r="AZ52" s="314">
        <f>AZ53*('R&amp;C-Painel de Controle'!$D$7*30/'R&amp;C-Painel de Controle'!$D$6)</f>
        <v>10.920779954427752</v>
      </c>
      <c r="BA52" s="314">
        <f>BA53*('R&amp;C-Painel de Controle'!$D$7*30/'R&amp;C-Painel de Controle'!$D$6)</f>
        <v>10.89472132825796</v>
      </c>
      <c r="BE52" s="402"/>
    </row>
    <row r="53" spans="1:57" ht="18" customHeight="1" x14ac:dyDescent="0.35">
      <c r="A53" s="1254"/>
      <c r="B53" s="311" t="s">
        <v>781</v>
      </c>
      <c r="C53" s="311" t="s">
        <v>288</v>
      </c>
      <c r="D53" s="315"/>
      <c r="E53" s="315"/>
      <c r="F53" s="315">
        <f>IF('R&amp;C-Painel de Controle'!$D$25="Sim",((((('R&amp;C-Painel de Controle'!$H$16+'R&amp;C-Painel de Controle'!$H$21)+(('R&amp;C-Painel de Controle'!$H$19/5)+('R&amp;C-Painel de Controle'!$H$20/20))*(F54)))+((F54)*('R&amp;C-Painel de Controle'!$H$10)+('R&amp;C-Painel de Controle'!$D$29))-((F54)*('R&amp;C-Painel de Controle'!$H$91*(1+'R&amp;C-Painel de Controle'!$D$26))))*1000000/(F49*1000)),((((('R&amp;C-Painel de Controle'!$H$16+'R&amp;C-Painel de Controle'!$H$21)+(('R&amp;C-Painel de Controle'!$H$19/5)+('R&amp;C-Painel de Controle'!$H$20)/20)*(F54)))+((F54)*(('R&amp;C-Painel de Controle'!$H$10)+('R&amp;C-Painel de Controle'!$D$29))))*1000000/(F49*1000)))</f>
        <v>858.30722272042669</v>
      </c>
      <c r="G53" s="315">
        <f>IF('R&amp;C-Painel de Controle'!$D$25="Sim",((((('R&amp;C-Painel de Controle'!$H$16+'R&amp;C-Painel de Controle'!$H$21)+(('R&amp;C-Painel de Controle'!$H$19/5)+('R&amp;C-Painel de Controle'!$H$20/20))*(G54)))+((G54)*('R&amp;C-Painel de Controle'!$H$10)+('R&amp;C-Painel de Controle'!$D$29))-((G54)*('R&amp;C-Painel de Controle'!$H$91*(1+'R&amp;C-Painel de Controle'!$D$26))))*1000000/(G49*1000)),((((('R&amp;C-Painel de Controle'!$H$16+'R&amp;C-Painel de Controle'!$H$21)+(('R&amp;C-Painel de Controle'!$H$19/5)+('R&amp;C-Painel de Controle'!$H$20)/20)*(G54)))+((G54)*(('R&amp;C-Painel de Controle'!$H$10)+('R&amp;C-Painel de Controle'!$D$29))))*1000000/(G49*1000)))</f>
        <v>710.52103263711251</v>
      </c>
      <c r="H53" s="315">
        <f>IF('R&amp;C-Painel de Controle'!$D$25="Sim",((((('R&amp;C-Painel de Controle'!$H$16+'R&amp;C-Painel de Controle'!$H$21)+(('R&amp;C-Painel de Controle'!$H$19/5)+('R&amp;C-Painel de Controle'!$H$20/20))*(H54)))+((H54)*('R&amp;C-Painel de Controle'!$H$10)+('R&amp;C-Painel de Controle'!$D$29))-((H54)*('R&amp;C-Painel de Controle'!$H$91*(1+'R&amp;C-Painel de Controle'!$D$26))))*1000000/(H49*1000)),((((('R&amp;C-Painel de Controle'!$H$16+'R&amp;C-Painel de Controle'!$H$21)+(('R&amp;C-Painel de Controle'!$H$19/5)+('R&amp;C-Painel de Controle'!$H$20)/20)*(H54)))+((H54)*(('R&amp;C-Painel de Controle'!$H$10)+('R&amp;C-Painel de Controle'!$D$29))))*1000000/(H49*1000)))</f>
        <v>621.84931858712412</v>
      </c>
      <c r="I53" s="315">
        <f>IF('R&amp;C-Painel de Controle'!$D$25="Sim",((((('R&amp;C-Painel de Controle'!$H$16+'R&amp;C-Painel de Controle'!$H$21)+(('R&amp;C-Painel de Controle'!$H$19/5)+('R&amp;C-Painel de Controle'!$H$20/20))*(I54)))+((I54)*('R&amp;C-Painel de Controle'!$H$10)+('R&amp;C-Painel de Controle'!$D$29))-((I54)*('R&amp;C-Painel de Controle'!$H$91*(1+'R&amp;C-Painel de Controle'!$D$26))))*1000000/(I49*1000)),((((('R&amp;C-Painel de Controle'!$H$16+'R&amp;C-Painel de Controle'!$H$21)+(('R&amp;C-Painel de Controle'!$H$19/5)+('R&amp;C-Painel de Controle'!$H$20)/20)*(I54)))+((I54)*(('R&amp;C-Painel de Controle'!$H$10)+('R&amp;C-Painel de Controle'!$D$29))))*1000000/(I49*1000)))</f>
        <v>562.73484255379833</v>
      </c>
      <c r="J53" s="315">
        <f>IF('R&amp;C-Painel de Controle'!$D$25="Sim",((((('R&amp;C-Painel de Controle'!$H$16+'R&amp;C-Painel de Controle'!$H$21)+(('R&amp;C-Painel de Controle'!$H$19/5)+('R&amp;C-Painel de Controle'!$H$20/20))*(J54)))+((J54)*('R&amp;C-Painel de Controle'!$H$10)+('R&amp;C-Painel de Controle'!$D$29))-((J54)*('R&amp;C-Painel de Controle'!$H$91*(1+'R&amp;C-Painel de Controle'!$D$26))))*1000000/(J49*1000)),((((('R&amp;C-Painel de Controle'!$H$16+'R&amp;C-Painel de Controle'!$H$21)+(('R&amp;C-Painel de Controle'!$H$19/5)+('R&amp;C-Painel de Controle'!$H$20)/20)*(J54)))+((J54)*(('R&amp;C-Painel de Controle'!$H$10)+('R&amp;C-Painel de Controle'!$D$29))))*1000000/(J49*1000)))</f>
        <v>520.51021681570865</v>
      </c>
      <c r="K53" s="315">
        <f>IF('R&amp;C-Painel de Controle'!$D$25="Sim",((((('R&amp;C-Painel de Controle'!$H$16+'R&amp;C-Painel de Controle'!$H$21)+(('R&amp;C-Painel de Controle'!$H$19/5)+('R&amp;C-Painel de Controle'!$H$20/20))*(K54)))+((K54)*('R&amp;C-Painel de Controle'!$H$10)+('R&amp;C-Painel de Controle'!$D$29))-((K54)*('R&amp;C-Painel de Controle'!$H$91*(1+'R&amp;C-Painel de Controle'!$D$26))))*1000000/(K49*1000)),((((('R&amp;C-Painel de Controle'!$H$16+'R&amp;C-Painel de Controle'!$H$21)+(('R&amp;C-Painel de Controle'!$H$19/5)+('R&amp;C-Painel de Controle'!$H$20)/20)*(K54)))+((K54)*(('R&amp;C-Painel de Controle'!$H$10)+('R&amp;C-Painel de Controle'!$D$29))))*1000000/(K49*1000)))</f>
        <v>488.84174751214135</v>
      </c>
      <c r="L53" s="315">
        <f>IF('R&amp;C-Painel de Controle'!$D$25="Sim",((((('R&amp;C-Painel de Controle'!$H$16+'R&amp;C-Painel de Controle'!$H$21)+(('R&amp;C-Painel de Controle'!$H$19/5)+('R&amp;C-Painel de Controle'!$H$20/20))*(L54)))+((L54)*('R&amp;C-Painel de Controle'!$H$10)+('R&amp;C-Painel de Controle'!$D$29))-((L54)*('R&amp;C-Painel de Controle'!$H$91*(1+'R&amp;C-Painel de Controle'!$D$26))))*1000000/(L49*1000)),((((('R&amp;C-Painel de Controle'!$H$16+'R&amp;C-Painel de Controle'!$H$21)+(('R&amp;C-Painel de Controle'!$H$19/5)+('R&amp;C-Painel de Controle'!$H$20)/20)*(L54)))+((L54)*(('R&amp;C-Painel de Controle'!$H$10)+('R&amp;C-Painel de Controle'!$D$29))))*1000000/(L49*1000)))</f>
        <v>464.21071583158908</v>
      </c>
      <c r="M53" s="315">
        <f>IF('R&amp;C-Painel de Controle'!$D$25="Sim",((((('R&amp;C-Painel de Controle'!$H$16+'R&amp;C-Painel de Controle'!$H$21)+(('R&amp;C-Painel de Controle'!$H$19/5)+('R&amp;C-Painel de Controle'!$H$20/20))*(M54)))+((M54)*('R&amp;C-Painel de Controle'!$H$10)+('R&amp;C-Painel de Controle'!$D$29))-((M54)*('R&amp;C-Painel de Controle'!$H$91*(1+'R&amp;C-Painel de Controle'!$D$26))))*1000000/(M49*1000)),((((('R&amp;C-Painel de Controle'!$H$16+'R&amp;C-Painel de Controle'!$H$21)+(('R&amp;C-Painel de Controle'!$H$19/5)+('R&amp;C-Painel de Controle'!$H$20)/20)*(M54)))+((M54)*(('R&amp;C-Painel de Controle'!$H$10)+('R&amp;C-Painel de Controle'!$D$29))))*1000000/(M49*1000)))</f>
        <v>444.50589048714716</v>
      </c>
      <c r="N53" s="315">
        <f>IF('R&amp;C-Painel de Controle'!$D$25="Sim",((((('R&amp;C-Painel de Controle'!$H$16+'R&amp;C-Painel de Controle'!$H$21)+(('R&amp;C-Painel de Controle'!$H$19/5)+('R&amp;C-Painel de Controle'!$H$20/20))*(N54)))+((N54)*('R&amp;C-Painel de Controle'!$H$10)+('R&amp;C-Painel de Controle'!$D$29))-((N54)*('R&amp;C-Painel de Controle'!$H$91*(1+'R&amp;C-Painel de Controle'!$D$26))))*1000000/(N49*1000)),((((('R&amp;C-Painel de Controle'!$H$16+'R&amp;C-Painel de Controle'!$H$21)+(('R&amp;C-Painel de Controle'!$H$19/5)+('R&amp;C-Painel de Controle'!$H$20)/20)*(N54)))+((N54)*(('R&amp;C-Painel de Controle'!$H$10)+('R&amp;C-Painel de Controle'!$D$29))))*1000000/(N49*1000)))</f>
        <v>428.38376065987654</v>
      </c>
      <c r="O53" s="315">
        <f>IF('R&amp;C-Painel de Controle'!$D$25="Sim",((((('R&amp;C-Painel de Controle'!$H$16+'R&amp;C-Painel de Controle'!$H$21)+(('R&amp;C-Painel de Controle'!$H$19/5)+('R&amp;C-Painel de Controle'!$H$20/20))*(O54)))+((O54)*('R&amp;C-Painel de Controle'!$H$10)+('R&amp;C-Painel de Controle'!$D$29))-((O54)*('R&amp;C-Painel de Controle'!$H$91*(1+'R&amp;C-Painel de Controle'!$D$26))))*1000000/(O49*1000)),((((('R&amp;C-Painel de Controle'!$H$16+'R&amp;C-Painel de Controle'!$H$21)+(('R&amp;C-Painel de Controle'!$H$19/5)+('R&amp;C-Painel de Controle'!$H$20)/20)*(O54)))+((O54)*(('R&amp;C-Painel de Controle'!$H$10)+('R&amp;C-Painel de Controle'!$D$29))))*1000000/(O49*1000)))</f>
        <v>414.94865247048432</v>
      </c>
      <c r="P53" s="315">
        <f>IF('R&amp;C-Painel de Controle'!$D$25="Sim",((((('R&amp;C-Painel de Controle'!$H$16+'R&amp;C-Painel de Controle'!$H$21)+(('R&amp;C-Painel de Controle'!$H$19/5)+('R&amp;C-Painel de Controle'!$H$20/20))*(P54)))+((P54)*('R&amp;C-Painel de Controle'!$H$10)+('R&amp;C-Painel de Controle'!$D$29))-((P54)*('R&amp;C-Painel de Controle'!$H$91*(1+'R&amp;C-Painel de Controle'!$D$26))))*1000000/(P49*1000)),((((('R&amp;C-Painel de Controle'!$H$16+'R&amp;C-Painel de Controle'!$H$21)+(('R&amp;C-Painel de Controle'!$H$19/5)+('R&amp;C-Painel de Controle'!$H$20)/20)*(P54)))+((P54)*(('R&amp;C-Painel de Controle'!$H$10)+('R&amp;C-Painel de Controle'!$D$29))))*1000000/(P49*1000)))</f>
        <v>403.58048400253699</v>
      </c>
      <c r="Q53" s="315">
        <f>IF('R&amp;C-Painel de Controle'!$D$25="Sim",((((('R&amp;C-Painel de Controle'!$H$16+'R&amp;C-Painel de Controle'!$H$21)+(('R&amp;C-Painel de Controle'!$H$19/5)+('R&amp;C-Painel de Controle'!$H$20/20))*(Q54)))+((Q54)*('R&amp;C-Painel de Controle'!$H$10)+('R&amp;C-Painel de Controle'!$D$29))-((Q54)*('R&amp;C-Painel de Controle'!$H$91*(1+'R&amp;C-Painel de Controle'!$D$26))))*1000000/(Q49*1000)),((((('R&amp;C-Painel de Controle'!$H$16+'R&amp;C-Painel de Controle'!$H$21)+(('R&amp;C-Painel de Controle'!$H$19/5)+('R&amp;C-Painel de Controle'!$H$20)/20)*(Q54)))+((Q54)*(('R&amp;C-Painel de Controle'!$H$10)+('R&amp;C-Painel de Controle'!$D$29))))*1000000/(Q49*1000)))</f>
        <v>393.83633960143936</v>
      </c>
      <c r="R53" s="1262">
        <f>IF('R&amp;C-Painel de Controle'!$D$25="Sim",((((('R&amp;C-Painel de Controle'!$H$16+'R&amp;C-Painel de Controle'!$H$21)+(('R&amp;C-Painel de Controle'!$H$19/5)+('R&amp;C-Painel de Controle'!$H$20/20))*(R54)))+((R54)*('R&amp;C-Painel de Controle'!$H$10)+('R&amp;C-Painel de Controle'!$D$29))-((R54)*('R&amp;C-Painel de Controle'!$H$91*(1+'R&amp;C-Painel de Controle'!$D$26))))*1000000/(R49*1000)),((((('R&amp;C-Painel de Controle'!$H$16+'R&amp;C-Painel de Controle'!$H$21)+(('R&amp;C-Painel de Controle'!$H$19/5)+('R&amp;C-Painel de Controle'!$H$20)/20)*(R54)))+((R54)*(('R&amp;C-Painel de Controle'!$H$10)+('R&amp;C-Painel de Controle'!$D$29))))*1000000/(R49*1000)))</f>
        <v>385.39141445382154</v>
      </c>
      <c r="S53" s="1262">
        <f>IF('R&amp;C-Painel de Controle'!$D$25="Sim",((((('R&amp;C-Painel de Controle'!$H$16+'R&amp;C-Painel de Controle'!$H$21)+(('R&amp;C-Painel de Controle'!$H$19/5)+('R&amp;C-Painel de Controle'!$H$20/20))*(S54)))+((S54)*('R&amp;C-Painel de Controle'!$H$10)+('R&amp;C-Painel de Controle'!$D$29))-((S54)*('R&amp;C-Painel de Controle'!$H$91*(1+'R&amp;C-Painel de Controle'!$D$26))))*1000000/(S49*1000)),((((('R&amp;C-Painel de Controle'!$H$16+'R&amp;C-Painel de Controle'!$H$21)+(('R&amp;C-Painel de Controle'!$H$19/5)+('R&amp;C-Painel de Controle'!$H$20)/20)*(S54)))+((S54)*(('R&amp;C-Painel de Controle'!$H$10)+('R&amp;C-Painel de Controle'!$D$29))))*1000000/(S49*1000)))</f>
        <v>378.00210494965575</v>
      </c>
      <c r="T53" s="1262">
        <f>IF('R&amp;C-Painel de Controle'!$D$25="Sim",((((('R&amp;C-Painel de Controle'!$H$16+'R&amp;C-Painel de Controle'!$H$21)+(('R&amp;C-Painel de Controle'!$H$19/5)+('R&amp;C-Painel de Controle'!$H$20/20))*(T54)))+((T54)*('R&amp;C-Painel de Controle'!$H$10)+('R&amp;C-Painel de Controle'!$D$29))-((T54)*('R&amp;C-Painel de Controle'!$H$91*(1+'R&amp;C-Painel de Controle'!$D$26))))*1000000/(T49*1000)),((((('R&amp;C-Painel de Controle'!$H$16+'R&amp;C-Painel de Controle'!$H$21)+(('R&amp;C-Painel de Controle'!$H$19/5)+('R&amp;C-Painel de Controle'!$H$20)/20)*(T54)))+((T54)*(('R&amp;C-Painel de Controle'!$H$10)+('R&amp;C-Painel de Controle'!$D$29))))*1000000/(T49*1000)))</f>
        <v>371.48212597539191</v>
      </c>
      <c r="U53" s="315">
        <f>IF('R&amp;C-Painel de Controle'!$D$25="Sim",((((('R&amp;C-Painel de Controle'!$H$16+'R&amp;C-Painel de Controle'!$H$21)+(('R&amp;C-Painel de Controle'!$H$19/5)+('R&amp;C-Painel de Controle'!$H$20/20))*(U54)))+((U54)*('R&amp;C-Painel de Controle'!$H$10)+('R&amp;C-Painel de Controle'!$D$29))-((U54)*('R&amp;C-Painel de Controle'!$H$91*(1+'R&amp;C-Painel de Controle'!$D$26))))*1000000/(U49*1000)),((((('R&amp;C-Painel de Controle'!$H$16+'R&amp;C-Painel de Controle'!$H$21)+(('R&amp;C-Painel de Controle'!$H$19/5)+('R&amp;C-Painel de Controle'!$H$20)/20)*(U54)))+((U54)*(('R&amp;C-Painel de Controle'!$H$10)+('R&amp;C-Painel de Controle'!$D$29))))*1000000/(U49*1000)))</f>
        <v>365.68658910937967</v>
      </c>
      <c r="V53" s="315">
        <f>IF('R&amp;C-Painel de Controle'!$D$25="Sim",((((('R&amp;C-Painel de Controle'!$H$16+'R&amp;C-Painel de Controle'!$H$21)+(('R&amp;C-Painel de Controle'!$H$19/5)+('R&amp;C-Painel de Controle'!$H$20/20))*(V54)))+((V54)*('R&amp;C-Painel de Controle'!$H$10)+('R&amp;C-Painel de Controle'!$D$29))-((V54)*('R&amp;C-Painel de Controle'!$H$91*(1+'R&amp;C-Painel de Controle'!$D$26))))*1000000/(V49*1000)),((((('R&amp;C-Painel de Controle'!$H$16+'R&amp;C-Painel de Controle'!$H$21)+(('R&amp;C-Painel de Controle'!$H$19/5)+('R&amp;C-Painel de Controle'!$H$20)/20)*(V54)))+((V54)*(('R&amp;C-Painel de Controle'!$H$10)+('R&amp;C-Painel de Controle'!$D$29))))*1000000/(V49*1000)))</f>
        <v>360.50110875557914</v>
      </c>
      <c r="W53" s="315">
        <f>IF('R&amp;C-Painel de Controle'!$D$25="Sim",((((('R&amp;C-Painel de Controle'!$H$16+'R&amp;C-Painel de Controle'!$H$21)+(('R&amp;C-Painel de Controle'!$H$19/5)+('R&amp;C-Painel de Controle'!$H$20/20))*(W54)))+((W54)*('R&amp;C-Painel de Controle'!$H$10)+('R&amp;C-Painel de Controle'!$D$29))-((W54)*('R&amp;C-Painel de Controle'!$H$91*(1+'R&amp;C-Painel de Controle'!$D$26))))*1000000/(W49*1000)),((((('R&amp;C-Painel de Controle'!$H$16+'R&amp;C-Painel de Controle'!$H$21)+(('R&amp;C-Painel de Controle'!$H$19/5)+('R&amp;C-Painel de Controle'!$H$20)/20)*(W54)))+((W54)*(('R&amp;C-Painel de Controle'!$H$10)+('R&amp;C-Painel de Controle'!$D$29))))*1000000/(W49*1000)))</f>
        <v>355.83417643715865</v>
      </c>
      <c r="X53" s="315">
        <f>IF('R&amp;C-Painel de Controle'!$D$25="Sim",((((('R&amp;C-Painel de Controle'!$H$16+'R&amp;C-Painel de Controle'!$H$21)+(('R&amp;C-Painel de Controle'!$H$19/5)+('R&amp;C-Painel de Controle'!$H$20/20))*(X54)))+((X54)*('R&amp;C-Painel de Controle'!$H$10)+('R&amp;C-Painel de Controle'!$D$29))-((X54)*('R&amp;C-Painel de Controle'!$H$91*(1+'R&amp;C-Painel de Controle'!$D$26))))*1000000/(X49*1000)),((((('R&amp;C-Painel de Controle'!$H$16+'R&amp;C-Painel de Controle'!$H$21)+(('R&amp;C-Painel de Controle'!$H$19/5)+('R&amp;C-Painel de Controle'!$H$20)/20)*(X54)))+((X54)*(('R&amp;C-Painel de Controle'!$H$10)+('R&amp;C-Painel de Controle'!$D$29))))*1000000/(X49*1000)))</f>
        <v>351.61171386334968</v>
      </c>
      <c r="Y53" s="315">
        <f>IF('R&amp;C-Painel de Controle'!$D$25="Sim",((((('R&amp;C-Painel de Controle'!$H$16+'R&amp;C-Painel de Controle'!$H$21)+(('R&amp;C-Painel de Controle'!$H$19/5)+('R&amp;C-Painel de Controle'!$H$20/20))*(Y54)))+((Y54)*('R&amp;C-Painel de Controle'!$H$10)+('R&amp;C-Painel de Controle'!$D$29))-((Y54)*('R&amp;C-Painel de Controle'!$H$91*(1+'R&amp;C-Painel de Controle'!$D$26))))*1000000/(Y49*1000)),((((('R&amp;C-Painel de Controle'!$H$16+'R&amp;C-Painel de Controle'!$H$21)+(('R&amp;C-Painel de Controle'!$H$19/5)+('R&amp;C-Painel de Controle'!$H$20)/20)*(Y54)))+((Y54)*(('R&amp;C-Painel de Controle'!$H$10)+('R&amp;C-Painel de Controle'!$D$29))))*1000000/(Y49*1000)))</f>
        <v>347.77311152352337</v>
      </c>
      <c r="Z53" s="315">
        <f>IF('R&amp;C-Painel de Controle'!$D$25="Sim",((((('R&amp;C-Painel de Controle'!$H$16+'R&amp;C-Painel de Controle'!$H$21)+(('R&amp;C-Painel de Controle'!$H$19/5)+('R&amp;C-Painel de Controle'!$H$20/20))*(Z54)))+((Z54)*('R&amp;C-Painel de Controle'!$H$10)+('R&amp;C-Painel de Controle'!$D$29))-((Z54)*('R&amp;C-Painel de Controle'!$H$91*(1+'R&amp;C-Painel de Controle'!$D$26))))*1000000/(Z49*1000)),((((('R&amp;C-Painel de Controle'!$H$16+'R&amp;C-Painel de Controle'!$H$21)+(('R&amp;C-Painel de Controle'!$H$19/5)+('R&amp;C-Painel de Controle'!$H$20)/20)*(Z54)))+((Z54)*(('R&amp;C-Painel de Controle'!$H$10)+('R&amp;C-Painel de Controle'!$D$29))))*1000000/(Z49*1000)))</f>
        <v>344.26830069150799</v>
      </c>
      <c r="AA53" s="315">
        <f>IF('R&amp;C-Painel de Controle'!$D$25="Sim",((((('R&amp;C-Painel de Controle'!$H$16+'R&amp;C-Painel de Controle'!$H$21)+(('R&amp;C-Painel de Controle'!$H$19/5)+('R&amp;C-Painel de Controle'!$H$20/20))*(AA54)))+((AA54)*('R&amp;C-Painel de Controle'!$H$10)+('R&amp;C-Painel de Controle'!$D$29))-((AA54)*('R&amp;C-Painel de Controle'!$H$91*(1+'R&amp;C-Painel de Controle'!$D$26))))*1000000/(AA49*1000)),((((('R&amp;C-Painel de Controle'!$H$16+'R&amp;C-Painel de Controle'!$H$21)+(('R&amp;C-Painel de Controle'!$H$19/5)+('R&amp;C-Painel de Controle'!$H$20)/20)*(AA54)))+((AA54)*(('R&amp;C-Painel de Controle'!$H$10)+('R&amp;C-Painel de Controle'!$D$29))))*1000000/(AA49*1000)))</f>
        <v>341.05555742882723</v>
      </c>
      <c r="AB53" s="315">
        <f>IF('R&amp;C-Painel de Controle'!$D$25="Sim",((((('R&amp;C-Painel de Controle'!$H$16+'R&amp;C-Painel de Controle'!$H$21)+(('R&amp;C-Painel de Controle'!$H$19/5)+('R&amp;C-Painel de Controle'!$H$20/20))*(AB54)))+((AB54)*('R&amp;C-Painel de Controle'!$H$10)+('R&amp;C-Painel de Controle'!$D$29))-((AB54)*('R&amp;C-Painel de Controle'!$H$91*(1+'R&amp;C-Painel de Controle'!$D$26))))*1000000/(AB49*1000)),((((('R&amp;C-Painel de Controle'!$H$16+'R&amp;C-Painel de Controle'!$H$21)+(('R&amp;C-Painel de Controle'!$H$19/5)+('R&amp;C-Painel de Controle'!$H$20)/20)*(AB54)))+((AB54)*(('R&amp;C-Painel de Controle'!$H$10)+('R&amp;C-Painel de Controle'!$D$29))))*1000000/(AB49*1000)))</f>
        <v>338.09983362716099</v>
      </c>
      <c r="AC53" s="315">
        <f>IF('R&amp;C-Painel de Controle'!$D$25="Sim",((((('R&amp;C-Painel de Controle'!$H$16+'R&amp;C-Painel de Controle'!$H$21)+(('R&amp;C-Painel de Controle'!$H$19/5)+('R&amp;C-Painel de Controle'!$H$20/20))*(AC54)))+((AC54)*('R&amp;C-Painel de Controle'!$H$10)+('R&amp;C-Painel de Controle'!$D$29))-((AC54)*('R&amp;C-Painel de Controle'!$H$91*(1+'R&amp;C-Painel de Controle'!$D$26))))*1000000/(AC49*1000)),((((('R&amp;C-Painel de Controle'!$H$16+'R&amp;C-Painel de Controle'!$H$21)+(('R&amp;C-Painel de Controle'!$H$19/5)+('R&amp;C-Painel de Controle'!$H$20)/20)*(AC54)))+((AC54)*(('R&amp;C-Painel de Controle'!$H$10)+('R&amp;C-Painel de Controle'!$D$29))))*1000000/(AC49*1000)))</f>
        <v>335.37147319485371</v>
      </c>
      <c r="AD53" s="315">
        <f>IF('R&amp;C-Painel de Controle'!$D$25="Sim",((((('R&amp;C-Painel de Controle'!$H$16+'R&amp;C-Painel de Controle'!$H$21)+(('R&amp;C-Painel de Controle'!$H$19/5)+('R&amp;C-Painel de Controle'!$H$20/20))*(AD54)))+((AD54)*('R&amp;C-Painel de Controle'!$H$10)+('R&amp;C-Painel de Controle'!$D$29))-((AD54)*('R&amp;C-Painel de Controle'!$H$91*(1+'R&amp;C-Painel de Controle'!$D$26))))*1000000/(AD49*1000)),((((('R&amp;C-Painel de Controle'!$H$16+'R&amp;C-Painel de Controle'!$H$21)+(('R&amp;C-Painel de Controle'!$H$19/5)+('R&amp;C-Painel de Controle'!$H$20)/20)*(AD54)))+((AD54)*(('R&amp;C-Painel de Controle'!$H$10)+('R&amp;C-Painel de Controle'!$D$29))))*1000000/(AD49*1000)))</f>
        <v>332.84521353530977</v>
      </c>
      <c r="AE53" s="315">
        <f>IF('R&amp;C-Painel de Controle'!$D$25="Sim",((((('R&amp;C-Painel de Controle'!$H$16+'R&amp;C-Painel de Controle'!$H$21)+(('R&amp;C-Painel de Controle'!$H$19/5)+('R&amp;C-Painel de Controle'!$H$20/20))*(AE54)))+((AE54)*('R&amp;C-Painel de Controle'!$H$10)+('R&amp;C-Painel de Controle'!$D$29))-((AE54)*('R&amp;C-Painel de Controle'!$H$91*(1+'R&amp;C-Painel de Controle'!$D$26))))*1000000/(AE49*1000)),((((('R&amp;C-Painel de Controle'!$H$16+'R&amp;C-Painel de Controle'!$H$21)+(('R&amp;C-Painel de Controle'!$H$19/5)+('R&amp;C-Painel de Controle'!$H$20)/20)*(AE54)))+((AE54)*(('R&amp;C-Painel de Controle'!$H$10)+('R&amp;C-Painel de Controle'!$D$29))))*1000000/(AE49*1000)))</f>
        <v>330.49940099430484</v>
      </c>
      <c r="AF53" s="315">
        <f>IF('R&amp;C-Painel de Controle'!$D$25="Sim",((((('R&amp;C-Painel de Controle'!$H$16+'R&amp;C-Painel de Controle'!$H$21)+(('R&amp;C-Painel de Controle'!$H$19/5)+('R&amp;C-Painel de Controle'!$H$20/20))*(AF54)))+((AF54)*('R&amp;C-Painel de Controle'!$H$10)+('R&amp;C-Painel de Controle'!$D$29))-((AF54)*('R&amp;C-Painel de Controle'!$H$91*(1+'R&amp;C-Painel de Controle'!$D$26))))*1000000/(AF49*1000)),((((('R&amp;C-Painel de Controle'!$H$16+'R&amp;C-Painel de Controle'!$H$21)+(('R&amp;C-Painel de Controle'!$H$19/5)+('R&amp;C-Painel de Controle'!$H$20)/20)*(AF54)))+((AF54)*(('R&amp;C-Painel de Controle'!$H$10)+('R&amp;C-Painel de Controle'!$D$29))))*1000000/(AF49*1000)))</f>
        <v>328.31536862854159</v>
      </c>
      <c r="AG53" s="315">
        <f>IF('R&amp;C-Painel de Controle'!$D$25="Sim",((((('R&amp;C-Painel de Controle'!$H$16+'R&amp;C-Painel de Controle'!$H$21)+(('R&amp;C-Painel de Controle'!$H$19/5)+('R&amp;C-Painel de Controle'!$H$20/20))*(AG54)))+((AG54)*('R&amp;C-Painel de Controle'!$H$10)+('R&amp;C-Painel de Controle'!$D$29))-((AG54)*('R&amp;C-Painel de Controle'!$H$91*(1+'R&amp;C-Painel de Controle'!$D$26))))*1000000/(AG49*1000)),((((('R&amp;C-Painel de Controle'!$H$16+'R&amp;C-Painel de Controle'!$H$21)+(('R&amp;C-Painel de Controle'!$H$19/5)+('R&amp;C-Painel de Controle'!$H$20)/20)*(AG54)))+((AG54)*(('R&amp;C-Painel de Controle'!$H$10)+('R&amp;C-Painel de Controle'!$D$29))))*1000000/(AG49*1000)))</f>
        <v>326.27693842049587</v>
      </c>
      <c r="AH53" s="315">
        <f>IF('R&amp;C-Painel de Controle'!$D$25="Sim",((((('R&amp;C-Painel de Controle'!$H$16+'R&amp;C-Painel de Controle'!$H$21)+(('R&amp;C-Painel de Controle'!$H$19/5)+('R&amp;C-Painel de Controle'!$H$20/20))*(AH54)))+((AH54)*('R&amp;C-Painel de Controle'!$H$10)+('R&amp;C-Painel de Controle'!$D$29))-((AH54)*('R&amp;C-Painel de Controle'!$H$91*(1+'R&amp;C-Painel de Controle'!$D$26))))*1000000/(AH49*1000)),((((('R&amp;C-Painel de Controle'!$H$16+'R&amp;C-Painel de Controle'!$H$21)+(('R&amp;C-Painel de Controle'!$H$19/5)+('R&amp;C-Painel de Controle'!$H$20)/20)*(AH54)))+((AH54)*(('R&amp;C-Painel de Controle'!$H$10)+('R&amp;C-Painel de Controle'!$D$29))))*1000000/(AH49*1000)))</f>
        <v>324.3700198387757</v>
      </c>
      <c r="AI53" s="315">
        <f>IF('R&amp;C-Painel de Controle'!$D$25="Sim",((((('R&amp;C-Painel de Controle'!$H$16+'R&amp;C-Painel de Controle'!$H$21)+(('R&amp;C-Painel de Controle'!$H$19/5)+('R&amp;C-Painel de Controle'!$H$20/20))*(AI54)))+((AI54)*('R&amp;C-Painel de Controle'!$H$10)+('R&amp;C-Painel de Controle'!$D$29))-((AI54)*('R&amp;C-Painel de Controle'!$H$91*(1+'R&amp;C-Painel de Controle'!$D$26))))*1000000/(AI49*1000)),((((('R&amp;C-Painel de Controle'!$H$16+'R&amp;C-Painel de Controle'!$H$21)+(('R&amp;C-Painel de Controle'!$H$19/5)+('R&amp;C-Painel de Controle'!$H$20)/20)*(AI54)))+((AI54)*(('R&amp;C-Painel de Controle'!$H$10)+('R&amp;C-Painel de Controle'!$D$29))))*1000000/(AI49*1000)))</f>
        <v>322.58228366841297</v>
      </c>
      <c r="AJ53" s="315">
        <f>IF('R&amp;C-Painel de Controle'!$D$25="Sim",((((('R&amp;C-Painel de Controle'!$H$16+'R&amp;C-Painel de Controle'!$H$21)+(('R&amp;C-Painel de Controle'!$H$19/5)+('R&amp;C-Painel de Controle'!$H$20/20))*(AJ54)))+((AJ54)*('R&amp;C-Painel de Controle'!$H$10)+('R&amp;C-Painel de Controle'!$D$29))-((AJ54)*('R&amp;C-Painel de Controle'!$H$91*(1+'R&amp;C-Painel de Controle'!$D$26))))*1000000/(AJ49*1000)),((((('R&amp;C-Painel de Controle'!$H$16+'R&amp;C-Painel de Controle'!$H$21)+(('R&amp;C-Painel de Controle'!$H$19/5)+('R&amp;C-Painel de Controle'!$H$20)/20)*(AJ54)))+((AJ54)*(('R&amp;C-Painel de Controle'!$H$10)+('R&amp;C-Painel de Controle'!$D$29))))*1000000/(AJ49*1000)))</f>
        <v>320.90289514473898</v>
      </c>
      <c r="AK53" s="315">
        <f>IF('R&amp;C-Painel de Controle'!$D$25="Sim",((((('R&amp;C-Painel de Controle'!$H$16+'R&amp;C-Painel de Controle'!$H$21)+(('R&amp;C-Painel de Controle'!$H$19/5)+('R&amp;C-Painel de Controle'!$H$20/20))*(AK54)))+((AK54)*('R&amp;C-Painel de Controle'!$H$10)+('R&amp;C-Painel de Controle'!$D$29))-((AK54)*('R&amp;C-Painel de Controle'!$H$91*(1+'R&amp;C-Painel de Controle'!$D$26))))*1000000/(AK49*1000)),((((('R&amp;C-Painel de Controle'!$H$16+'R&amp;C-Painel de Controle'!$H$21)+(('R&amp;C-Painel de Controle'!$H$19/5)+('R&amp;C-Painel de Controle'!$H$20)/20)*(AK54)))+((AK54)*(('R&amp;C-Painel de Controle'!$H$10)+('R&amp;C-Painel de Controle'!$D$29))))*1000000/(AK49*1000)))</f>
        <v>319.32229418128105</v>
      </c>
      <c r="AL53" s="315">
        <f>IF('R&amp;C-Painel de Controle'!$D$25="Sim",((((('R&amp;C-Painel de Controle'!$H$16+'R&amp;C-Painel de Controle'!$H$21)+(('R&amp;C-Painel de Controle'!$H$19/5)+('R&amp;C-Painel de Controle'!$H$20/20))*(AL54)))+((AL54)*('R&amp;C-Painel de Controle'!$H$10)+('R&amp;C-Painel de Controle'!$D$29))-((AL54)*('R&amp;C-Painel de Controle'!$H$91*(1+'R&amp;C-Painel de Controle'!$D$26))))*1000000/(AL49*1000)),((((('R&amp;C-Painel de Controle'!$H$16+'R&amp;C-Painel de Controle'!$H$21)+(('R&amp;C-Painel de Controle'!$H$19/5)+('R&amp;C-Painel de Controle'!$H$20)/20)*(AL54)))+((AL54)*(('R&amp;C-Painel de Controle'!$H$10)+('R&amp;C-Painel de Controle'!$D$29))))*1000000/(AL49*1000)))</f>
        <v>317.83201327287793</v>
      </c>
      <c r="AM53" s="315">
        <f>IF('R&amp;C-Painel de Controle'!$D$25="Sim",((((('R&amp;C-Painel de Controle'!$H$16+'R&amp;C-Painel de Controle'!$H$21)+(('R&amp;C-Painel de Controle'!$H$19/5)+('R&amp;C-Painel de Controle'!$H$20/20))*(AM54)))+((AM54)*('R&amp;C-Painel de Controle'!$H$10)+('R&amp;C-Painel de Controle'!$D$29))-((AM54)*('R&amp;C-Painel de Controle'!$H$91*(1+'R&amp;C-Painel de Controle'!$D$26))))*1000000/(AM49*1000)),((((('R&amp;C-Painel de Controle'!$H$16+'R&amp;C-Painel de Controle'!$H$21)+(('R&amp;C-Painel de Controle'!$H$19/5)+('R&amp;C-Painel de Controle'!$H$20)/20)*(AM54)))+((AM54)*(('R&amp;C-Painel de Controle'!$H$10)+('R&amp;C-Painel de Controle'!$D$29))))*1000000/(AM49*1000)))</f>
        <v>316.4245257482749</v>
      </c>
      <c r="AN53" s="315">
        <f>IF('R&amp;C-Painel de Controle'!$D$25="Sim",((((('R&amp;C-Painel de Controle'!$H$16+'R&amp;C-Painel de Controle'!$H$21)+(('R&amp;C-Painel de Controle'!$H$19/5)+('R&amp;C-Painel de Controle'!$H$20/20))*(AN54)))+((AN54)*('R&amp;C-Painel de Controle'!$H$10)+('R&amp;C-Painel de Controle'!$D$29))-((AN54)*('R&amp;C-Painel de Controle'!$H$91*(1+'R&amp;C-Painel de Controle'!$D$26))))*1000000/(AN49*1000)),((((('R&amp;C-Painel de Controle'!$H$16+'R&amp;C-Painel de Controle'!$H$21)+(('R&amp;C-Painel de Controle'!$H$19/5)+('R&amp;C-Painel de Controle'!$H$20)/20)*(AN54)))+((AN54)*(('R&amp;C-Painel de Controle'!$H$10)+('R&amp;C-Painel de Controle'!$D$29))))*1000000/(AN49*1000)))</f>
        <v>315.09311863040716</v>
      </c>
      <c r="AO53" s="315">
        <f>IF('R&amp;C-Painel de Controle'!$D$25="Sim",((((('R&amp;C-Painel de Controle'!$H$16+'R&amp;C-Painel de Controle'!$H$21)+(('R&amp;C-Painel de Controle'!$H$19/5)+('R&amp;C-Painel de Controle'!$H$20/20))*(AO54)))+((AO54)*('R&amp;C-Painel de Controle'!$H$10)+('R&amp;C-Painel de Controle'!$D$29))-((AO54)*('R&amp;C-Painel de Controle'!$H$91*(1+'R&amp;C-Painel de Controle'!$D$26))))*1000000/(AO49*1000)),((((('R&amp;C-Painel de Controle'!$H$16+'R&amp;C-Painel de Controle'!$H$21)+(('R&amp;C-Painel de Controle'!$H$19/5)+('R&amp;C-Painel de Controle'!$H$20)/20)*(AO54)))+((AO54)*(('R&amp;C-Painel de Controle'!$H$10)+('R&amp;C-Painel de Controle'!$D$29))))*1000000/(AO49*1000)))</f>
        <v>313.83178557137467</v>
      </c>
      <c r="AP53" s="315">
        <f>IF('R&amp;C-Painel de Controle'!$D$25="Sim",((((('R&amp;C-Painel de Controle'!$H$16+'R&amp;C-Painel de Controle'!$H$21)+(('R&amp;C-Painel de Controle'!$H$19/5)+('R&amp;C-Painel de Controle'!$H$20/20))*(AP54)))+((AP54)*('R&amp;C-Painel de Controle'!$H$10)+('R&amp;C-Painel de Controle'!$D$29))-((AP54)*('R&amp;C-Painel de Controle'!$H$91*(1+'R&amp;C-Painel de Controle'!$D$26))))*1000000/(AP49*1000)),((((('R&amp;C-Painel de Controle'!$H$16+'R&amp;C-Painel de Controle'!$H$21)+(('R&amp;C-Painel de Controle'!$H$19/5)+('R&amp;C-Painel de Controle'!$H$20)/20)*(AP54)))+((AP54)*(('R&amp;C-Painel de Controle'!$H$10)+('R&amp;C-Painel de Controle'!$D$29))))*1000000/(AP49*1000)))</f>
        <v>312.63513625895916</v>
      </c>
      <c r="AQ53" s="315">
        <f>IF('R&amp;C-Painel de Controle'!$D$25="Sim",((((('R&amp;C-Painel de Controle'!$H$16+'R&amp;C-Painel de Controle'!$H$21)+(('R&amp;C-Painel de Controle'!$H$19/5)+('R&amp;C-Painel de Controle'!$H$20/20))*(AQ54)))+((AQ54)*('R&amp;C-Painel de Controle'!$H$10)+('R&amp;C-Painel de Controle'!$D$29))-((AQ54)*('R&amp;C-Painel de Controle'!$H$91*(1+'R&amp;C-Painel de Controle'!$D$26))))*1000000/(AQ49*1000)),((((('R&amp;C-Painel de Controle'!$H$16+'R&amp;C-Painel de Controle'!$H$21)+(('R&amp;C-Painel de Controle'!$H$19/5)+('R&amp;C-Painel de Controle'!$H$20)/20)*(AQ54)))+((AQ54)*(('R&amp;C-Painel de Controle'!$H$10)+('R&amp;C-Painel de Controle'!$D$29))))*1000000/(AQ49*1000)))</f>
        <v>311.49831941216439</v>
      </c>
      <c r="AR53" s="315">
        <f>IF('R&amp;C-Painel de Controle'!$D$25="Sim",((((('R&amp;C-Painel de Controle'!$H$16+'R&amp;C-Painel de Controle'!$H$21)+(('R&amp;C-Painel de Controle'!$H$19/5)+('R&amp;C-Painel de Controle'!$H$20/20))*(AR54)))+((AR54)*('R&amp;C-Painel de Controle'!$H$10)+('R&amp;C-Painel de Controle'!$D$29))-((AR54)*('R&amp;C-Painel de Controle'!$H$91*(1+'R&amp;C-Painel de Controle'!$D$26))))*1000000/(AR49*1000)),((((('R&amp;C-Painel de Controle'!$H$16+'R&amp;C-Painel de Controle'!$H$21)+(('R&amp;C-Painel de Controle'!$H$19/5)+('R&amp;C-Painel de Controle'!$H$20)/20)*(AR54)))+((AR54)*(('R&amp;C-Painel de Controle'!$H$10)+('R&amp;C-Painel de Controle'!$D$29))))*1000000/(AR49*1000)))</f>
        <v>310.41695704570117</v>
      </c>
      <c r="AS53" s="315">
        <f>IF('R&amp;C-Painel de Controle'!$D$25="Sim",((((('R&amp;C-Painel de Controle'!$H$16+'R&amp;C-Painel de Controle'!$H$21)+(('R&amp;C-Painel de Controle'!$H$19/5)+('R&amp;C-Painel de Controle'!$H$20/20))*(AS54)))+((AS54)*('R&amp;C-Painel de Controle'!$H$10)+('R&amp;C-Painel de Controle'!$D$29))-((AS54)*('R&amp;C-Painel de Controle'!$H$91*(1+'R&amp;C-Painel de Controle'!$D$26))))*1000000/(AS49*1000)),((((('R&amp;C-Painel de Controle'!$H$16+'R&amp;C-Painel de Controle'!$H$21)+(('R&amp;C-Painel de Controle'!$H$19/5)+('R&amp;C-Painel de Controle'!$H$20)/20)*(AS54)))+((AS54)*(('R&amp;C-Painel de Controle'!$H$10)+('R&amp;C-Painel de Controle'!$D$29))))*1000000/(AS49*1000)))</f>
        <v>309.38708812525994</v>
      </c>
      <c r="AT53" s="315">
        <f>IF('R&amp;C-Painel de Controle'!$D$25="Sim",((((('R&amp;C-Painel de Controle'!$H$16+'R&amp;C-Painel de Controle'!$H$21)+(('R&amp;C-Painel de Controle'!$H$19/5)+('R&amp;C-Painel de Controle'!$H$20/20))*(AT54)))+((AT54)*('R&amp;C-Painel de Controle'!$H$10)+('R&amp;C-Painel de Controle'!$D$29))-((AT54)*('R&amp;C-Painel de Controle'!$H$91*(1+'R&amp;C-Painel de Controle'!$D$26))))*1000000/(AT49*1000)),((((('R&amp;C-Painel de Controle'!$H$16+'R&amp;C-Painel de Controle'!$H$21)+(('R&amp;C-Painel de Controle'!$H$19/5)+('R&amp;C-Painel de Controle'!$H$20)/20)*(AT54)))+((AT54)*(('R&amp;C-Painel de Controle'!$H$10)+('R&amp;C-Painel de Controle'!$D$29))))*1000000/(AT49*1000)))</f>
        <v>308.40512008483927</v>
      </c>
      <c r="AU53" s="315">
        <f>IF('R&amp;C-Painel de Controle'!$D$25="Sim",((((('R&amp;C-Painel de Controle'!$H$16+'R&amp;C-Painel de Controle'!$H$21)+(('R&amp;C-Painel de Controle'!$H$19/5)+('R&amp;C-Painel de Controle'!$H$20/20))*(AU54)))+((AU54)*('R&amp;C-Painel de Controle'!$H$10)+('R&amp;C-Painel de Controle'!$D$29))-((AU54)*('R&amp;C-Painel de Controle'!$H$91*(1+'R&amp;C-Painel de Controle'!$D$26))))*1000000/(AU49*1000)),((((('R&amp;C-Painel de Controle'!$H$16+'R&amp;C-Painel de Controle'!$H$21)+(('R&amp;C-Painel de Controle'!$H$19/5)+('R&amp;C-Painel de Controle'!$H$20)/20)*(AU54)))+((AU54)*(('R&amp;C-Painel de Controle'!$H$10)+('R&amp;C-Painel de Controle'!$D$29))))*1000000/(AU49*1000)))</f>
        <v>307.46778695534681</v>
      </c>
      <c r="AV53" s="315">
        <f>IF('R&amp;C-Painel de Controle'!$D$25="Sim",((((('R&amp;C-Painel de Controle'!$H$16+'R&amp;C-Painel de Controle'!$H$21)+(('R&amp;C-Painel de Controle'!$H$19/5)+('R&amp;C-Painel de Controle'!$H$20/20))*(AV54)))+((AV54)*('R&amp;C-Painel de Controle'!$H$10)+('R&amp;C-Painel de Controle'!$D$29))-((AV54)*('R&amp;C-Painel de Controle'!$H$91*(1+'R&amp;C-Painel de Controle'!$D$26))))*1000000/(AV49*1000)),((((('R&amp;C-Painel de Controle'!$H$16+'R&amp;C-Painel de Controle'!$H$21)+(('R&amp;C-Painel de Controle'!$H$19/5)+('R&amp;C-Painel de Controle'!$H$20)/20)*(AV54)))+((AV54)*(('R&amp;C-Painel de Controle'!$H$10)+('R&amp;C-Painel de Controle'!$D$29))))*1000000/(AV49*1000)))</f>
        <v>306.57211307605394</v>
      </c>
      <c r="AW53" s="315">
        <f>IF('R&amp;C-Painel de Controle'!$D$25="Sim",((((('R&amp;C-Painel de Controle'!$H$16+'R&amp;C-Painel de Controle'!$H$21)+(('R&amp;C-Painel de Controle'!$H$19/5)+('R&amp;C-Painel de Controle'!$H$20/20))*(AW54)))+((AW54)*('R&amp;C-Painel de Controle'!$H$10)+('R&amp;C-Painel de Controle'!$D$29))-((AW54)*('R&amp;C-Painel de Controle'!$H$91*(1+'R&amp;C-Painel de Controle'!$D$26))))*1000000/(AW49*1000)),((((('R&amp;C-Painel de Controle'!$H$16+'R&amp;C-Painel de Controle'!$H$21)+(('R&amp;C-Painel de Controle'!$H$19/5)+('R&amp;C-Painel de Controle'!$H$20)/20)*(AW54)))+((AW54)*(('R&amp;C-Painel de Controle'!$H$10)+('R&amp;C-Painel de Controle'!$D$29))))*1000000/(AW49*1000)))</f>
        <v>305.71538153933915</v>
      </c>
      <c r="AX53" s="315">
        <f>IF('R&amp;C-Painel de Controle'!$D$25="Sim",((((('R&amp;C-Painel de Controle'!$H$16+'R&amp;C-Painel de Controle'!$H$21)+(('R&amp;C-Painel de Controle'!$H$19/5)+('R&amp;C-Painel de Controle'!$H$20/20))*(AX54)))+((AX54)*('R&amp;C-Painel de Controle'!$H$10)+('R&amp;C-Painel de Controle'!$D$29))-((AX54)*('R&amp;C-Painel de Controle'!$H$91*(1+'R&amp;C-Painel de Controle'!$D$26))))*1000000/(AX49*1000)),((((('R&amp;C-Painel de Controle'!$H$16+'R&amp;C-Painel de Controle'!$H$21)+(('R&amp;C-Painel de Controle'!$H$19/5)+('R&amp;C-Painel de Controle'!$H$20)/20)*(AX54)))+((AX54)*(('R&amp;C-Painel de Controle'!$H$10)+('R&amp;C-Painel de Controle'!$D$29))))*1000000/(AX49*1000)))</f>
        <v>304.89510666376106</v>
      </c>
      <c r="AY53" s="315">
        <f>IF('R&amp;C-Painel de Controle'!$D$25="Sim",((((('R&amp;C-Painel de Controle'!$H$16+'R&amp;C-Painel de Controle'!$H$21)+(('R&amp;C-Painel de Controle'!$H$19/5)+('R&amp;C-Painel de Controle'!$H$20/20))*(AY54)))+((AY54)*('R&amp;C-Painel de Controle'!$H$10)+('R&amp;C-Painel de Controle'!$D$29))-((AY54)*('R&amp;C-Painel de Controle'!$H$91*(1+'R&amp;C-Painel de Controle'!$D$26))))*1000000/(AY49*1000)),((((('R&amp;C-Painel de Controle'!$H$16+'R&amp;C-Painel de Controle'!$H$21)+(('R&amp;C-Painel de Controle'!$H$19/5)+('R&amp;C-Painel de Controle'!$H$20)/20)*(AY54)))+((AY54)*(('R&amp;C-Painel de Controle'!$H$10)+('R&amp;C-Painel de Controle'!$D$29))))*1000000/(AY49*1000)))</f>
        <v>304.10900990799871</v>
      </c>
      <c r="AZ53" s="315">
        <f>IF('R&amp;C-Painel de Controle'!$D$25="Sim",((((('R&amp;C-Painel de Controle'!$H$16+'R&amp;C-Painel de Controle'!$H$21)+(('R&amp;C-Painel de Controle'!$H$19/5)+('R&amp;C-Painel de Controle'!$H$20/20))*(AZ54)))+((AZ54)*('R&amp;C-Painel de Controle'!$H$10)+('R&amp;C-Painel de Controle'!$D$29))-((AZ54)*('R&amp;C-Painel de Controle'!$H$91*(1+'R&amp;C-Painel de Controle'!$D$26))))*1000000/(AZ49*1000)),((((('R&amp;C-Painel de Controle'!$H$16+'R&amp;C-Painel de Controle'!$H$21)+(('R&amp;C-Painel de Controle'!$H$19/5)+('R&amp;C-Painel de Controle'!$H$20)/20)*(AZ54)))+((AZ54)*(('R&amp;C-Painel de Controle'!$H$10)+('R&amp;C-Painel de Controle'!$D$29))))*1000000/(AZ49*1000)))</f>
        <v>303.35499873410424</v>
      </c>
      <c r="BA53" s="315">
        <f>IF('R&amp;C-Painel de Controle'!$D$25="Sim",((((('R&amp;C-Painel de Controle'!$H$16+'R&amp;C-Painel de Controle'!$H$21)+(('R&amp;C-Painel de Controle'!$H$19/5)+('R&amp;C-Painel de Controle'!$H$20/20))*(BA54)))+((BA54)*('R&amp;C-Painel de Controle'!$H$10)+('R&amp;C-Painel de Controle'!$D$29))-((BA54)*('R&amp;C-Painel de Controle'!$H$91*(1+'R&amp;C-Painel de Controle'!$D$26))))*1000000/(BA49*1000)),((((('R&amp;C-Painel de Controle'!$H$16+'R&amp;C-Painel de Controle'!$H$21)+(('R&amp;C-Painel de Controle'!$H$19/5)+('R&amp;C-Painel de Controle'!$H$20)/20)*(BA54)))+((BA54)*(('R&amp;C-Painel de Controle'!$H$10)+('R&amp;C-Painel de Controle'!$D$29))))*1000000/(BA49*1000)))</f>
        <v>302.63114800716556</v>
      </c>
      <c r="BE53" s="402"/>
    </row>
    <row r="54" spans="1:57" ht="18" customHeight="1" x14ac:dyDescent="0.35">
      <c r="A54" s="1254"/>
      <c r="B54" s="311" t="s">
        <v>782</v>
      </c>
      <c r="C54" s="312" t="s">
        <v>388</v>
      </c>
      <c r="D54" s="1249">
        <v>1</v>
      </c>
      <c r="E54" s="1249">
        <v>2</v>
      </c>
      <c r="F54" s="1249">
        <v>3</v>
      </c>
      <c r="G54" s="1249">
        <v>4</v>
      </c>
      <c r="H54" s="1249">
        <v>5</v>
      </c>
      <c r="I54" s="1249">
        <v>6</v>
      </c>
      <c r="J54" s="1249">
        <v>7</v>
      </c>
      <c r="K54" s="1249">
        <v>8</v>
      </c>
      <c r="L54" s="1249">
        <v>9</v>
      </c>
      <c r="M54" s="1249">
        <v>10</v>
      </c>
      <c r="N54" s="1249">
        <v>11</v>
      </c>
      <c r="O54" s="1249">
        <v>12</v>
      </c>
      <c r="P54" s="1249">
        <v>13</v>
      </c>
      <c r="Q54" s="1249">
        <v>14</v>
      </c>
      <c r="R54" s="1263">
        <v>15</v>
      </c>
      <c r="S54" s="1263">
        <v>16</v>
      </c>
      <c r="T54" s="1263">
        <v>17</v>
      </c>
      <c r="U54" s="1249">
        <v>18</v>
      </c>
      <c r="V54" s="1249">
        <v>19</v>
      </c>
      <c r="W54" s="1249">
        <v>20</v>
      </c>
      <c r="X54" s="1249">
        <v>21</v>
      </c>
      <c r="Y54" s="1249">
        <v>22</v>
      </c>
      <c r="Z54" s="1249">
        <v>23</v>
      </c>
      <c r="AA54" s="1249">
        <v>24</v>
      </c>
      <c r="AB54" s="1249">
        <v>25</v>
      </c>
      <c r="AC54" s="1249">
        <v>26</v>
      </c>
      <c r="AD54" s="1249">
        <v>27</v>
      </c>
      <c r="AE54" s="1249">
        <v>28</v>
      </c>
      <c r="AF54" s="1249">
        <v>29</v>
      </c>
      <c r="AG54" s="1249">
        <v>30</v>
      </c>
      <c r="AH54" s="1249">
        <v>31</v>
      </c>
      <c r="AI54" s="1249">
        <v>32</v>
      </c>
      <c r="AJ54" s="1249">
        <v>33</v>
      </c>
      <c r="AK54" s="1249">
        <v>34</v>
      </c>
      <c r="AL54" s="1249">
        <v>35</v>
      </c>
      <c r="AM54" s="1249">
        <v>36</v>
      </c>
      <c r="AN54" s="1249">
        <v>37</v>
      </c>
      <c r="AO54" s="1249">
        <v>38</v>
      </c>
      <c r="AP54" s="1249">
        <v>39</v>
      </c>
      <c r="AQ54" s="1249">
        <v>40</v>
      </c>
      <c r="AR54" s="1249">
        <v>41</v>
      </c>
      <c r="AS54" s="1249">
        <v>42</v>
      </c>
      <c r="AT54" s="1249">
        <v>43</v>
      </c>
      <c r="AU54" s="1249">
        <v>44</v>
      </c>
      <c r="AV54" s="1249">
        <v>45</v>
      </c>
      <c r="AW54" s="1249">
        <v>46</v>
      </c>
      <c r="AX54" s="1249">
        <v>47</v>
      </c>
      <c r="AY54" s="1249">
        <v>48</v>
      </c>
      <c r="AZ54" s="1249">
        <v>49</v>
      </c>
      <c r="BA54" s="1249">
        <v>50</v>
      </c>
      <c r="BE54" s="402"/>
    </row>
    <row r="55" spans="1:57" ht="26.15" customHeight="1" x14ac:dyDescent="0.35">
      <c r="A55" s="869"/>
      <c r="B55" s="867"/>
      <c r="C55" s="868"/>
      <c r="D55" s="866"/>
      <c r="E55" s="866"/>
      <c r="F55" s="869"/>
      <c r="G55" s="869"/>
      <c r="H55" s="869"/>
      <c r="I55" s="869"/>
      <c r="J55" s="869"/>
      <c r="K55" s="869"/>
      <c r="L55" s="869"/>
      <c r="M55" s="869"/>
      <c r="N55" s="869"/>
      <c r="O55" s="869"/>
      <c r="P55" s="869"/>
      <c r="Q55" s="869"/>
      <c r="R55" s="869"/>
      <c r="S55" s="869"/>
      <c r="T55" s="869"/>
      <c r="U55" s="867"/>
      <c r="V55" s="867"/>
      <c r="W55" s="867"/>
      <c r="X55" s="869"/>
      <c r="Y55" s="869"/>
      <c r="Z55" s="869"/>
      <c r="AA55" s="869"/>
      <c r="AB55" s="869"/>
      <c r="AC55" s="869"/>
      <c r="AD55" s="869"/>
      <c r="AE55" s="869"/>
      <c r="AF55" s="869"/>
      <c r="AG55" s="869"/>
      <c r="AH55" s="869"/>
      <c r="AI55" s="869"/>
      <c r="AJ55" s="869"/>
      <c r="AK55" s="869"/>
      <c r="AL55" s="869"/>
      <c r="AM55" s="869"/>
      <c r="AN55" s="869"/>
      <c r="AO55" s="869"/>
      <c r="AP55" s="869"/>
      <c r="AQ55" s="869"/>
      <c r="AR55" s="869"/>
      <c r="AS55" s="869"/>
      <c r="AT55" s="869"/>
      <c r="AU55" s="869"/>
      <c r="AV55" s="869"/>
      <c r="AW55" s="869"/>
      <c r="AX55" s="869"/>
      <c r="AY55" s="869"/>
      <c r="AZ55" s="869"/>
      <c r="BA55" s="869"/>
      <c r="BB55" s="869"/>
      <c r="BC55" s="869"/>
      <c r="BD55" s="869"/>
      <c r="BE55" s="866"/>
    </row>
    <row r="56" spans="1:57" ht="14.25" customHeight="1" x14ac:dyDescent="0.35">
      <c r="A56" s="869"/>
      <c r="B56" s="867"/>
      <c r="C56" s="868"/>
      <c r="D56" s="866"/>
      <c r="E56" s="866"/>
      <c r="F56" s="866"/>
      <c r="G56" s="866"/>
      <c r="H56" s="866"/>
      <c r="I56" s="866"/>
      <c r="J56" s="866"/>
      <c r="K56" s="866"/>
      <c r="L56" s="866"/>
      <c r="M56" s="866"/>
      <c r="N56" s="866"/>
      <c r="O56" s="866"/>
      <c r="P56" s="866"/>
      <c r="Q56" s="866"/>
      <c r="R56" s="866"/>
      <c r="S56" s="866"/>
      <c r="T56" s="866"/>
      <c r="U56" s="867"/>
      <c r="V56" s="867"/>
      <c r="W56" s="867"/>
      <c r="X56" s="866"/>
      <c r="Y56" s="866"/>
      <c r="Z56" s="866"/>
      <c r="AA56" s="866"/>
      <c r="AB56" s="866"/>
      <c r="AC56" s="866"/>
      <c r="AD56" s="866"/>
      <c r="AE56" s="866"/>
      <c r="AF56" s="866"/>
      <c r="AG56" s="866"/>
      <c r="AH56" s="866"/>
      <c r="AI56" s="866"/>
      <c r="AJ56" s="866"/>
      <c r="AK56" s="866"/>
      <c r="AL56" s="866"/>
      <c r="AM56" s="866"/>
      <c r="AN56" s="866"/>
      <c r="AO56" s="866"/>
      <c r="AP56" s="866"/>
      <c r="AQ56" s="866"/>
      <c r="AR56" s="866"/>
      <c r="AS56" s="866"/>
      <c r="AT56" s="866"/>
      <c r="AU56" s="866"/>
      <c r="AV56" s="866"/>
      <c r="AW56" s="866"/>
      <c r="AX56" s="866"/>
      <c r="AY56" s="866"/>
      <c r="AZ56" s="866"/>
      <c r="BA56" s="866"/>
      <c r="BB56" s="866"/>
      <c r="BC56" s="866"/>
      <c r="BD56" s="866"/>
      <c r="BE56" s="866"/>
    </row>
    <row r="57" spans="1:57" ht="14.25" customHeight="1" x14ac:dyDescent="0.35">
      <c r="A57" s="869"/>
      <c r="B57" s="867"/>
      <c r="C57" s="868"/>
      <c r="D57" s="866"/>
      <c r="E57" s="866"/>
      <c r="F57" s="866"/>
      <c r="G57" s="866"/>
      <c r="H57" s="866"/>
      <c r="I57" s="866"/>
      <c r="J57" s="866"/>
      <c r="K57" s="866"/>
      <c r="L57" s="866"/>
      <c r="M57" s="866"/>
      <c r="N57" s="866"/>
      <c r="O57" s="866"/>
      <c r="P57" s="866"/>
      <c r="Q57" s="866"/>
      <c r="R57" s="866"/>
      <c r="S57" s="866"/>
      <c r="T57" s="866"/>
      <c r="U57" s="867"/>
      <c r="V57" s="867"/>
      <c r="W57" s="867"/>
      <c r="X57" s="866"/>
      <c r="Y57" s="866"/>
      <c r="Z57" s="866"/>
      <c r="AA57" s="866"/>
      <c r="AB57" s="866"/>
      <c r="AC57" s="866"/>
      <c r="AD57" s="866"/>
      <c r="AE57" s="866"/>
      <c r="AF57" s="866"/>
      <c r="AG57" s="866"/>
      <c r="AH57" s="866"/>
      <c r="AI57" s="866"/>
      <c r="AJ57" s="866"/>
      <c r="AK57" s="866"/>
      <c r="AL57" s="866"/>
      <c r="AM57" s="866"/>
      <c r="AN57" s="866"/>
      <c r="AO57" s="866"/>
      <c r="AP57" s="866"/>
      <c r="AQ57" s="866"/>
      <c r="AR57" s="866"/>
      <c r="AS57" s="866"/>
      <c r="AT57" s="866"/>
      <c r="AU57" s="866"/>
      <c r="AV57" s="866"/>
      <c r="AW57" s="866"/>
      <c r="AX57" s="866"/>
      <c r="AY57" s="866"/>
      <c r="AZ57" s="866"/>
      <c r="BA57" s="866"/>
      <c r="BB57" s="866"/>
      <c r="BC57" s="866"/>
      <c r="BD57" s="866"/>
      <c r="BE57" s="866"/>
    </row>
    <row r="58" spans="1:57" ht="14.25" customHeight="1" x14ac:dyDescent="0.35">
      <c r="A58" s="869"/>
      <c r="B58" s="867"/>
      <c r="C58" s="868"/>
      <c r="D58" s="866"/>
      <c r="E58" s="866"/>
      <c r="F58" s="866"/>
      <c r="G58" s="866"/>
      <c r="H58" s="866"/>
      <c r="I58" s="866"/>
      <c r="J58" s="866"/>
      <c r="K58" s="866"/>
      <c r="L58" s="866"/>
      <c r="M58" s="866"/>
      <c r="N58" s="866"/>
      <c r="O58" s="866"/>
      <c r="P58" s="866"/>
      <c r="Q58" s="866"/>
      <c r="R58" s="866"/>
      <c r="S58" s="866"/>
      <c r="T58" s="866"/>
      <c r="U58" s="867"/>
      <c r="V58" s="867"/>
      <c r="W58" s="867"/>
      <c r="X58" s="866"/>
      <c r="Y58" s="866"/>
      <c r="Z58" s="866"/>
      <c r="AA58" s="866"/>
      <c r="AB58" s="866"/>
      <c r="AC58" s="866"/>
      <c r="AD58" s="866"/>
      <c r="AE58" s="866"/>
      <c r="AF58" s="866"/>
      <c r="AG58" s="866"/>
      <c r="AH58" s="866"/>
      <c r="AI58" s="866"/>
      <c r="AJ58" s="866"/>
      <c r="AK58" s="866"/>
      <c r="AL58" s="866"/>
      <c r="AM58" s="866"/>
      <c r="AN58" s="866"/>
      <c r="AO58" s="866"/>
      <c r="AP58" s="866"/>
      <c r="AQ58" s="866"/>
      <c r="AR58" s="866"/>
      <c r="AS58" s="866"/>
      <c r="AT58" s="866"/>
      <c r="AU58" s="866"/>
      <c r="AV58" s="866"/>
      <c r="AW58" s="866"/>
      <c r="AX58" s="866"/>
      <c r="AY58" s="866"/>
      <c r="AZ58" s="866"/>
      <c r="BA58" s="866"/>
      <c r="BB58" s="866"/>
      <c r="BC58" s="866"/>
      <c r="BD58" s="866"/>
      <c r="BE58" s="866"/>
    </row>
    <row r="59" spans="1:57" ht="14.25" customHeight="1" x14ac:dyDescent="0.35">
      <c r="B59" s="38"/>
      <c r="C59" s="40"/>
    </row>
    <row r="60" spans="1:57" ht="14.25" customHeight="1" x14ac:dyDescent="0.35">
      <c r="B60" s="38"/>
      <c r="C60" s="40"/>
    </row>
    <row r="61" spans="1:57" ht="14.25" customHeight="1" x14ac:dyDescent="0.35">
      <c r="B61" s="38"/>
      <c r="C61" s="40"/>
    </row>
    <row r="62" spans="1:57" ht="14.25" customHeight="1" x14ac:dyDescent="0.35">
      <c r="B62" s="38"/>
      <c r="C62" s="40"/>
    </row>
    <row r="63" spans="1:57" ht="14.25" customHeight="1" x14ac:dyDescent="0.35">
      <c r="B63" s="38"/>
      <c r="C63" s="40"/>
    </row>
    <row r="64" spans="1:57" ht="14.25" customHeight="1" x14ac:dyDescent="0.35">
      <c r="B64" s="38"/>
      <c r="C64" s="40"/>
    </row>
    <row r="65" spans="2:3" ht="14.25" customHeight="1" x14ac:dyDescent="0.35">
      <c r="B65" s="38"/>
      <c r="C65" s="40"/>
    </row>
    <row r="66" spans="2:3" ht="14.25" customHeight="1" x14ac:dyDescent="0.35">
      <c r="B66" s="38"/>
      <c r="C66" s="40"/>
    </row>
    <row r="67" spans="2:3" ht="14.25" customHeight="1" x14ac:dyDescent="0.35">
      <c r="B67" s="38"/>
      <c r="C67" s="40"/>
    </row>
    <row r="68" spans="2:3" ht="14.25" customHeight="1" x14ac:dyDescent="0.35">
      <c r="B68" s="38"/>
      <c r="C68" s="40"/>
    </row>
    <row r="69" spans="2:3" ht="14.25" customHeight="1" x14ac:dyDescent="0.35">
      <c r="B69" s="38"/>
      <c r="C69" s="40"/>
    </row>
    <row r="70" spans="2:3" ht="14.25" customHeight="1" x14ac:dyDescent="0.35">
      <c r="B70" s="38"/>
      <c r="C70" s="40"/>
    </row>
    <row r="71" spans="2:3" ht="14.25" customHeight="1" x14ac:dyDescent="0.35">
      <c r="B71" s="38"/>
      <c r="C71" s="40"/>
    </row>
    <row r="72" spans="2:3" ht="14.25" customHeight="1" x14ac:dyDescent="0.35">
      <c r="B72" s="38"/>
      <c r="C72" s="40"/>
    </row>
    <row r="73" spans="2:3" ht="14.25" customHeight="1" x14ac:dyDescent="0.35">
      <c r="B73" s="38"/>
      <c r="C73" s="40"/>
    </row>
    <row r="74" spans="2:3" ht="14.25" customHeight="1" x14ac:dyDescent="0.35">
      <c r="B74" s="38"/>
      <c r="C74" s="40"/>
    </row>
    <row r="75" spans="2:3" ht="14.25" customHeight="1" x14ac:dyDescent="0.35">
      <c r="B75" s="38"/>
      <c r="C75" s="40"/>
    </row>
    <row r="76" spans="2:3" ht="14.25" customHeight="1" x14ac:dyDescent="0.35">
      <c r="B76" s="38"/>
      <c r="C76" s="40"/>
    </row>
    <row r="77" spans="2:3" ht="14.25" customHeight="1" x14ac:dyDescent="0.35">
      <c r="B77" s="38"/>
      <c r="C77" s="40"/>
    </row>
    <row r="78" spans="2:3" ht="14.25" customHeight="1" x14ac:dyDescent="0.35">
      <c r="B78" s="38"/>
      <c r="C78" s="40"/>
    </row>
    <row r="79" spans="2:3" ht="14.25" customHeight="1" x14ac:dyDescent="0.35">
      <c r="B79" s="38"/>
      <c r="C79" s="40"/>
    </row>
    <row r="80" spans="2:3" ht="14.25" customHeight="1" x14ac:dyDescent="0.35">
      <c r="B80" s="38"/>
      <c r="C80" s="40"/>
    </row>
    <row r="81" spans="2:3" ht="14.25" customHeight="1" x14ac:dyDescent="0.35">
      <c r="B81" s="38"/>
      <c r="C81" s="40"/>
    </row>
    <row r="82" spans="2:3" ht="14.25" customHeight="1" x14ac:dyDescent="0.35">
      <c r="B82" s="38"/>
      <c r="C82" s="40"/>
    </row>
    <row r="83" spans="2:3" ht="14.25" customHeight="1" x14ac:dyDescent="0.35">
      <c r="B83" s="38"/>
      <c r="C83" s="40"/>
    </row>
    <row r="84" spans="2:3" ht="14.25" customHeight="1" x14ac:dyDescent="0.35">
      <c r="B84" s="38"/>
      <c r="C84" s="40"/>
    </row>
    <row r="85" spans="2:3" ht="14.25" customHeight="1" x14ac:dyDescent="0.35">
      <c r="B85" s="38"/>
      <c r="C85" s="40"/>
    </row>
    <row r="86" spans="2:3" ht="14.25" customHeight="1" x14ac:dyDescent="0.35">
      <c r="B86" s="38"/>
      <c r="C86" s="40"/>
    </row>
    <row r="87" spans="2:3" ht="14.25" customHeight="1" x14ac:dyDescent="0.35">
      <c r="B87" s="38"/>
      <c r="C87" s="40"/>
    </row>
    <row r="88" spans="2:3" ht="14.25" customHeight="1" x14ac:dyDescent="0.35">
      <c r="B88" s="38"/>
      <c r="C88" s="40"/>
    </row>
    <row r="89" spans="2:3" ht="14.25" customHeight="1" x14ac:dyDescent="0.35">
      <c r="B89" s="38"/>
      <c r="C89" s="40"/>
    </row>
    <row r="90" spans="2:3" ht="14.25" customHeight="1" x14ac:dyDescent="0.35">
      <c r="B90" s="38"/>
      <c r="C90" s="40"/>
    </row>
    <row r="91" spans="2:3" ht="14.25" customHeight="1" x14ac:dyDescent="0.35">
      <c r="B91" s="38"/>
      <c r="C91" s="40"/>
    </row>
    <row r="92" spans="2:3" ht="14.25" customHeight="1" x14ac:dyDescent="0.35">
      <c r="B92" s="38"/>
      <c r="C92" s="40"/>
    </row>
    <row r="93" spans="2:3" ht="14.25" customHeight="1" x14ac:dyDescent="0.35">
      <c r="B93" s="38"/>
      <c r="C93" s="40"/>
    </row>
    <row r="94" spans="2:3" ht="14.25" customHeight="1" x14ac:dyDescent="0.35">
      <c r="B94" s="38"/>
      <c r="C94" s="40"/>
    </row>
    <row r="95" spans="2:3" ht="14.25" customHeight="1" x14ac:dyDescent="0.35">
      <c r="B95" s="38"/>
      <c r="C95" s="40"/>
    </row>
    <row r="96" spans="2:3" ht="14.25" customHeight="1" x14ac:dyDescent="0.35">
      <c r="B96" s="38"/>
      <c r="C96" s="40"/>
    </row>
    <row r="97" spans="2:3" ht="14.25" customHeight="1" x14ac:dyDescent="0.35">
      <c r="B97" s="38"/>
      <c r="C97" s="40"/>
    </row>
    <row r="98" spans="2:3" ht="14.25" customHeight="1" x14ac:dyDescent="0.35">
      <c r="B98" s="38"/>
      <c r="C98" s="40"/>
    </row>
    <row r="99" spans="2:3" ht="14.25" customHeight="1" x14ac:dyDescent="0.35">
      <c r="B99" s="38"/>
      <c r="C99" s="40"/>
    </row>
    <row r="100" spans="2:3" ht="14.25" customHeight="1" x14ac:dyDescent="0.35">
      <c r="B100" s="38"/>
      <c r="C100" s="40"/>
    </row>
    <row r="101" spans="2:3" ht="14.25" customHeight="1" x14ac:dyDescent="0.35">
      <c r="B101" s="38"/>
      <c r="C101" s="40"/>
    </row>
    <row r="102" spans="2:3" ht="14.25" customHeight="1" x14ac:dyDescent="0.35">
      <c r="B102" s="38"/>
      <c r="C102" s="40"/>
    </row>
    <row r="103" spans="2:3" ht="14.25" customHeight="1" x14ac:dyDescent="0.35">
      <c r="B103" s="38"/>
      <c r="C103" s="40"/>
    </row>
    <row r="104" spans="2:3" ht="14.25" customHeight="1" x14ac:dyDescent="0.35">
      <c r="B104" s="38"/>
      <c r="C104" s="40"/>
    </row>
    <row r="105" spans="2:3" ht="14.25" customHeight="1" x14ac:dyDescent="0.35">
      <c r="B105" s="38"/>
      <c r="C105" s="40"/>
    </row>
    <row r="106" spans="2:3" ht="14.25" customHeight="1" x14ac:dyDescent="0.35">
      <c r="B106" s="38"/>
      <c r="C106" s="40"/>
    </row>
    <row r="107" spans="2:3" ht="14.25" customHeight="1" x14ac:dyDescent="0.35">
      <c r="B107" s="38"/>
      <c r="C107" s="40"/>
    </row>
    <row r="108" spans="2:3" ht="14.25" customHeight="1" x14ac:dyDescent="0.35">
      <c r="B108" s="38"/>
      <c r="C108" s="40"/>
    </row>
    <row r="109" spans="2:3" ht="14.25" customHeight="1" x14ac:dyDescent="0.35">
      <c r="B109" s="38"/>
      <c r="C109" s="40"/>
    </row>
    <row r="110" spans="2:3" ht="14.25" customHeight="1" x14ac:dyDescent="0.35">
      <c r="B110" s="38"/>
      <c r="C110" s="40"/>
    </row>
    <row r="111" spans="2:3" ht="14.25" customHeight="1" x14ac:dyDescent="0.35">
      <c r="B111" s="38"/>
      <c r="C111" s="40"/>
    </row>
    <row r="112" spans="2:3" ht="14.25" customHeight="1" x14ac:dyDescent="0.35">
      <c r="B112" s="38"/>
      <c r="C112" s="40"/>
    </row>
    <row r="113" spans="2:3" ht="14.25" customHeight="1" x14ac:dyDescent="0.35">
      <c r="B113" s="38"/>
      <c r="C113" s="40"/>
    </row>
    <row r="114" spans="2:3" ht="14.25" customHeight="1" x14ac:dyDescent="0.35">
      <c r="B114" s="38"/>
      <c r="C114" s="40"/>
    </row>
    <row r="115" spans="2:3" ht="14.25" customHeight="1" x14ac:dyDescent="0.35">
      <c r="B115" s="38"/>
      <c r="C115" s="40"/>
    </row>
  </sheetData>
  <sheetProtection algorithmName="SHA-512" hashValue="djssBQlgF5GiW28wh5r2HLaN0mq7FnuMED+oblEmuSj51WHQIQsFfHy+v7TJreOs4b+5RA+z7o/IKAq0HGdxpA==" saltValue="WWa5yMsvQl/TAC36b0xHHg==" spinCount="100000" sheet="1" formatCells="0" formatColumns="0" formatRows="0" insertColumns="0" insertRows="0" insertHyperlinks="0" deleteColumns="0" deleteRows="0" sort="0" autoFilter="0" pivotTables="0"/>
  <mergeCells count="30">
    <mergeCell ref="C2:D2"/>
    <mergeCell ref="U6:Y6"/>
    <mergeCell ref="N3:P3"/>
    <mergeCell ref="X20:Y20"/>
    <mergeCell ref="X29:Y29"/>
    <mergeCell ref="X21:Y21"/>
    <mergeCell ref="X25:Y25"/>
    <mergeCell ref="X24:Y24"/>
    <mergeCell ref="X28:Y28"/>
    <mergeCell ref="U20:W22"/>
    <mergeCell ref="X22:Y22"/>
    <mergeCell ref="U24:W26"/>
    <mergeCell ref="X26:Y26"/>
    <mergeCell ref="U28:W30"/>
    <mergeCell ref="X30:Y30"/>
    <mergeCell ref="G2:H2"/>
    <mergeCell ref="N2:P2"/>
    <mergeCell ref="U2:AA4"/>
    <mergeCell ref="U16:W18"/>
    <mergeCell ref="X16:Y16"/>
    <mergeCell ref="X17:Y17"/>
    <mergeCell ref="X18:Y18"/>
    <mergeCell ref="U8:W10"/>
    <mergeCell ref="X8:Y8"/>
    <mergeCell ref="X9:Y9"/>
    <mergeCell ref="X10:Y10"/>
    <mergeCell ref="U12:W14"/>
    <mergeCell ref="X12:Y12"/>
    <mergeCell ref="X13:Y13"/>
    <mergeCell ref="X14:Y14"/>
  </mergeCells>
  <conditionalFormatting sqref="A4">
    <cfRule type="expression" dxfId="434" priority="1">
      <formula xml:space="preserve"> $A$4 &lt;&gt; 0</formula>
    </cfRule>
  </conditionalFormatting>
  <pageMargins left="0.511811024" right="0.511811024" top="0.78740157499999996" bottom="0.78740157499999996" header="0" footer="0"/>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outlinePr summaryBelow="0"/>
  </sheetPr>
  <dimension ref="A1:AB104"/>
  <sheetViews>
    <sheetView zoomScale="75" zoomScaleNormal="75" workbookViewId="0">
      <selection activeCell="L47" sqref="L47"/>
    </sheetView>
  </sheetViews>
  <sheetFormatPr defaultColWidth="14.453125" defaultRowHeight="15" customHeight="1" outlineLevelRow="1" x14ac:dyDescent="0.35"/>
  <cols>
    <col min="1" max="1" width="1.7265625" customWidth="1"/>
    <col min="2" max="2" width="60.7265625" customWidth="1"/>
    <col min="3" max="3" width="1.7265625" customWidth="1"/>
    <col min="4" max="4" width="11.7265625" customWidth="1"/>
    <col min="5" max="5" width="15.7265625" customWidth="1"/>
    <col min="6" max="6" width="11.7265625" customWidth="1"/>
    <col min="7" max="7" width="1.7265625" customWidth="1"/>
    <col min="8" max="8" width="11.7265625" customWidth="1"/>
    <col min="9" max="9" width="15.7265625" customWidth="1"/>
    <col min="10" max="10" width="11.7265625" customWidth="1"/>
    <col min="11" max="11" width="1.7265625" customWidth="1"/>
    <col min="12" max="12" width="11.7265625" customWidth="1"/>
    <col min="13" max="13" width="15.7265625" customWidth="1"/>
    <col min="14" max="14" width="11.7265625" customWidth="1"/>
    <col min="15" max="15" width="1.7265625" customWidth="1"/>
    <col min="16" max="16" width="11.7265625" customWidth="1"/>
    <col min="17" max="17" width="15.7265625" customWidth="1"/>
    <col min="18" max="18" width="11.7265625" customWidth="1"/>
    <col min="19" max="19" width="1.7265625" customWidth="1"/>
    <col min="20" max="20" width="11.7265625" customWidth="1"/>
    <col min="21" max="21" width="15.7265625" customWidth="1"/>
    <col min="22" max="22" width="11.7265625" customWidth="1"/>
    <col min="23" max="24" width="9.453125" hidden="1" customWidth="1"/>
    <col min="25" max="25" width="9.7265625" hidden="1" customWidth="1"/>
    <col min="26" max="27" width="9.453125" hidden="1" customWidth="1"/>
    <col min="28" max="28" width="8.7265625" customWidth="1"/>
  </cols>
  <sheetData>
    <row r="1" spans="1:28" s="328" customFormat="1" ht="20.149999999999999" customHeight="1" x14ac:dyDescent="0.35">
      <c r="A1" s="435"/>
      <c r="B1" s="2296" t="s">
        <v>860</v>
      </c>
      <c r="C1" s="435"/>
      <c r="D1" s="435"/>
      <c r="E1" s="435"/>
      <c r="F1" s="435"/>
      <c r="G1" s="435"/>
      <c r="H1" s="435"/>
      <c r="I1" s="435"/>
      <c r="J1" s="435"/>
      <c r="K1" s="435"/>
      <c r="L1" s="435"/>
      <c r="M1" s="435"/>
      <c r="N1" s="435"/>
      <c r="O1" s="435"/>
      <c r="P1" s="435"/>
      <c r="Q1" s="435"/>
      <c r="R1" s="435"/>
      <c r="S1" s="435"/>
      <c r="T1" s="435"/>
      <c r="U1" s="435"/>
      <c r="V1" s="435"/>
      <c r="W1" s="326"/>
      <c r="X1" s="326"/>
      <c r="Y1" s="326"/>
      <c r="Z1" s="326"/>
      <c r="AA1" s="326"/>
      <c r="AB1" s="326"/>
    </row>
    <row r="2" spans="1:28" s="328" customFormat="1" ht="20.149999999999999" customHeight="1" x14ac:dyDescent="0.45">
      <c r="A2" s="439"/>
      <c r="B2" s="2296"/>
      <c r="C2" s="438"/>
      <c r="D2" s="986">
        <f>'R-Resumo Bal. Massa'!B19*(1+'R&amp;C-Painel de Controle'!H54)</f>
        <v>49.499999999999993</v>
      </c>
      <c r="E2" s="1148" t="s">
        <v>19</v>
      </c>
      <c r="F2" s="1146"/>
      <c r="G2" s="987"/>
      <c r="H2" s="988">
        <f>D2*313</f>
        <v>15493.499999999998</v>
      </c>
      <c r="I2" s="998" t="s">
        <v>291</v>
      </c>
      <c r="J2" s="989"/>
      <c r="K2" s="990"/>
      <c r="L2" s="999" t="str">
        <f>IF(D2&gt;0,"Sim","Não")</f>
        <v>Sim</v>
      </c>
      <c r="M2" s="991"/>
      <c r="N2" s="989"/>
      <c r="O2" s="990"/>
      <c r="P2" s="992" t="s">
        <v>493</v>
      </c>
      <c r="Q2" s="2294" t="str">
        <f>'R-Definição'!D2</f>
        <v>São Judas Tadeu</v>
      </c>
      <c r="R2" s="2295"/>
      <c r="S2" s="990"/>
      <c r="T2" s="992" t="s">
        <v>494</v>
      </c>
      <c r="U2" s="2294" t="str">
        <f>'R-Definição'!D3</f>
        <v>Rota Futura 1</v>
      </c>
      <c r="V2" s="2295"/>
      <c r="W2" s="329"/>
      <c r="X2" s="329"/>
      <c r="Y2" s="329"/>
      <c r="Z2" s="329"/>
      <c r="AA2" s="329"/>
      <c r="AB2" s="329"/>
    </row>
    <row r="3" spans="1:28" s="328" customFormat="1" ht="20.149999999999999" customHeight="1" x14ac:dyDescent="0.35">
      <c r="A3" s="435"/>
      <c r="B3" s="2296"/>
      <c r="C3" s="387"/>
      <c r="D3" s="436"/>
      <c r="E3" s="1027"/>
      <c r="F3" s="1144"/>
      <c r="G3" s="436"/>
      <c r="H3" s="436"/>
      <c r="I3" s="436"/>
      <c r="J3" s="436"/>
      <c r="K3" s="436"/>
      <c r="L3" s="435" t="s">
        <v>954</v>
      </c>
      <c r="M3" s="962" t="s">
        <v>324</v>
      </c>
      <c r="N3" s="436"/>
      <c r="O3" s="437"/>
      <c r="P3" s="436"/>
      <c r="Q3" s="436"/>
      <c r="R3" s="436"/>
      <c r="S3" s="436"/>
      <c r="T3" s="436"/>
      <c r="U3" s="436"/>
      <c r="V3" s="434"/>
      <c r="W3" s="326"/>
      <c r="X3" s="326"/>
      <c r="Y3" s="326"/>
      <c r="Z3" s="326"/>
      <c r="AA3" s="326"/>
      <c r="AB3" s="326"/>
    </row>
    <row r="4" spans="1:28" s="328" customFormat="1" ht="7.5" customHeight="1" x14ac:dyDescent="0.35">
      <c r="A4" s="435"/>
      <c r="B4" s="733"/>
      <c r="C4" s="393"/>
      <c r="D4" s="1121"/>
      <c r="E4" s="1121"/>
      <c r="F4" s="1144"/>
      <c r="G4" s="393"/>
      <c r="H4" s="1121"/>
      <c r="I4" s="1121"/>
      <c r="J4" s="1121"/>
      <c r="K4" s="393"/>
      <c r="L4" s="1121"/>
      <c r="M4" s="1121"/>
      <c r="N4" s="1121"/>
      <c r="O4" s="393"/>
      <c r="P4" s="1121"/>
      <c r="Q4" s="1121"/>
      <c r="R4" s="1121"/>
      <c r="S4" s="1027"/>
      <c r="T4" s="1121"/>
      <c r="U4" s="1121"/>
      <c r="V4" s="1028"/>
      <c r="W4" s="326"/>
      <c r="X4" s="326"/>
      <c r="Y4" s="326"/>
      <c r="Z4" s="326"/>
      <c r="AA4" s="326"/>
      <c r="AB4" s="326"/>
    </row>
    <row r="5" spans="1:28" s="957" customFormat="1" ht="17.899999999999999" customHeight="1" x14ac:dyDescent="0.35">
      <c r="A5" s="974"/>
      <c r="B5" s="993" t="s">
        <v>859</v>
      </c>
      <c r="C5" s="994"/>
      <c r="D5" s="995">
        <v>4</v>
      </c>
      <c r="E5" s="1148" t="s">
        <v>870</v>
      </c>
      <c r="F5" s="1145"/>
      <c r="G5" s="996"/>
      <c r="H5" s="996"/>
      <c r="I5" s="996"/>
      <c r="J5" s="996"/>
      <c r="K5" s="996"/>
      <c r="L5" s="996"/>
      <c r="M5" s="996"/>
      <c r="N5" s="996"/>
      <c r="O5" s="996"/>
      <c r="P5" s="996"/>
      <c r="Q5" s="996"/>
      <c r="R5" s="996"/>
      <c r="S5" s="996"/>
      <c r="T5" s="996"/>
      <c r="U5" s="996"/>
      <c r="V5" s="997"/>
      <c r="W5" s="975"/>
      <c r="X5" s="975"/>
      <c r="Y5" s="975"/>
      <c r="Z5" s="975"/>
      <c r="AA5" s="975"/>
      <c r="AB5" s="975"/>
    </row>
    <row r="6" spans="1:28" s="328" customFormat="1" ht="7.5" customHeight="1" thickBot="1" x14ac:dyDescent="0.4">
      <c r="A6" s="435"/>
      <c r="B6" s="733"/>
      <c r="C6" s="393"/>
      <c r="D6" s="1121"/>
      <c r="E6" s="1121"/>
      <c r="F6" s="1144"/>
      <c r="G6" s="393"/>
      <c r="H6" s="1121"/>
      <c r="I6" s="1121"/>
      <c r="J6" s="1121"/>
      <c r="K6" s="393"/>
      <c r="L6" s="1121"/>
      <c r="M6" s="1121"/>
      <c r="N6" s="1121"/>
      <c r="O6" s="393"/>
      <c r="P6" s="1121"/>
      <c r="Q6" s="1121"/>
      <c r="R6" s="1121"/>
      <c r="S6" s="1027"/>
      <c r="T6" s="1121"/>
      <c r="U6" s="1121"/>
      <c r="V6" s="1028"/>
      <c r="W6" s="326"/>
      <c r="X6" s="326"/>
      <c r="Y6" s="326"/>
      <c r="Z6" s="326"/>
      <c r="AA6" s="326"/>
      <c r="AB6" s="326"/>
    </row>
    <row r="7" spans="1:28" s="982" customFormat="1" ht="20.149999999999999" customHeight="1" thickBot="1" x14ac:dyDescent="0.5">
      <c r="A7" s="977"/>
      <c r="B7" s="977"/>
      <c r="C7" s="977"/>
      <c r="D7" s="977"/>
      <c r="E7" s="1149" t="str">
        <f>IF(AND(L2="Sim",$D$2&gt;D11,$D$2&lt;=F11),"SIM","NÃO")</f>
        <v>NÃO</v>
      </c>
      <c r="F7" s="1147"/>
      <c r="G7" s="977"/>
      <c r="H7" s="981"/>
      <c r="I7" s="1138" t="str">
        <f>IF(AND(L2="Sim",$D$2&gt;H11,$D$2&lt;=J11),"SIM","NÃO")</f>
        <v>NÃO</v>
      </c>
      <c r="J7" s="981"/>
      <c r="K7" s="977"/>
      <c r="L7" s="981"/>
      <c r="M7" s="1138" t="str">
        <f>IF(AND(L2="Sim",$D$2&gt;L11,$D$2&lt;=N11),"SIM","NÃO")</f>
        <v>NÃO</v>
      </c>
      <c r="N7" s="981"/>
      <c r="O7" s="1139"/>
      <c r="P7" s="981"/>
      <c r="Q7" s="1138" t="str">
        <f>IF(AND(L2="Sim",$D$2&gt;P11,$D$2&lt;=R11),"SIM","NÃO")</f>
        <v>NÃO</v>
      </c>
      <c r="R7" s="981"/>
      <c r="S7" s="977"/>
      <c r="T7" s="981"/>
      <c r="U7" s="1140" t="str">
        <f>IF(AND(L2="Sim",$D$2&gt;T11,$D$2&lt;=V11*1.5),"SIM","NÃO")</f>
        <v>SIM</v>
      </c>
      <c r="V7" s="977"/>
      <c r="W7" s="981"/>
      <c r="X7" s="981"/>
      <c r="Y7" s="981"/>
      <c r="Z7" s="981"/>
      <c r="AA7" s="981"/>
      <c r="AB7" s="981"/>
    </row>
    <row r="8" spans="1:28" s="328" customFormat="1" ht="7.5" customHeight="1" thickBot="1" x14ac:dyDescent="0.4">
      <c r="A8" s="435"/>
      <c r="B8" s="733"/>
      <c r="C8" s="393"/>
      <c r="D8" s="1121"/>
      <c r="E8" s="1121"/>
      <c r="F8" s="1121"/>
      <c r="G8" s="393"/>
      <c r="H8" s="1121"/>
      <c r="I8" s="1121"/>
      <c r="J8" s="1121"/>
      <c r="K8" s="393"/>
      <c r="L8" s="1121"/>
      <c r="M8" s="1121"/>
      <c r="N8" s="1121"/>
      <c r="O8" s="393"/>
      <c r="P8" s="1121"/>
      <c r="Q8" s="1121"/>
      <c r="R8" s="1121"/>
      <c r="S8" s="1027"/>
      <c r="T8" s="1121"/>
      <c r="U8" s="1121"/>
      <c r="V8" s="1028"/>
      <c r="W8" s="326"/>
      <c r="X8" s="326"/>
      <c r="Y8" s="326"/>
      <c r="Z8" s="326"/>
      <c r="AA8" s="326"/>
      <c r="AB8" s="326"/>
    </row>
    <row r="9" spans="1:28" s="983" customFormat="1" ht="17.899999999999999" customHeight="1" thickTop="1" thickBot="1" x14ac:dyDescent="0.5">
      <c r="A9" s="984"/>
      <c r="B9" s="2288" t="s">
        <v>697</v>
      </c>
      <c r="C9" s="1023"/>
      <c r="D9" s="2291" t="s">
        <v>702</v>
      </c>
      <c r="E9" s="2292"/>
      <c r="F9" s="2292"/>
      <c r="G9" s="2292"/>
      <c r="H9" s="2292"/>
      <c r="I9" s="2292"/>
      <c r="J9" s="2292"/>
      <c r="K9" s="2292"/>
      <c r="L9" s="2292"/>
      <c r="M9" s="2292"/>
      <c r="N9" s="2292"/>
      <c r="O9" s="2292"/>
      <c r="P9" s="2292"/>
      <c r="Q9" s="2292"/>
      <c r="R9" s="2292"/>
      <c r="S9" s="2292"/>
      <c r="T9" s="2292"/>
      <c r="U9" s="2292"/>
      <c r="V9" s="2293"/>
      <c r="W9" s="985"/>
      <c r="X9" s="985"/>
      <c r="Y9" s="985"/>
      <c r="Z9" s="985"/>
      <c r="AA9" s="985"/>
      <c r="AB9" s="985"/>
    </row>
    <row r="10" spans="1:28" s="328" customFormat="1" ht="7.5" customHeight="1" x14ac:dyDescent="0.35">
      <c r="A10" s="435"/>
      <c r="B10" s="2289"/>
      <c r="C10" s="393"/>
      <c r="D10" s="1122"/>
      <c r="E10" s="877"/>
      <c r="F10" s="877"/>
      <c r="G10" s="871"/>
      <c r="H10" s="877"/>
      <c r="I10" s="877"/>
      <c r="J10" s="877"/>
      <c r="K10" s="871"/>
      <c r="L10" s="877"/>
      <c r="M10" s="877"/>
      <c r="N10" s="877"/>
      <c r="O10" s="871"/>
      <c r="P10" s="877"/>
      <c r="Q10" s="877"/>
      <c r="R10" s="877"/>
      <c r="S10" s="871"/>
      <c r="T10" s="877"/>
      <c r="U10" s="877"/>
      <c r="V10" s="1123"/>
      <c r="W10" s="326"/>
      <c r="X10" s="326"/>
      <c r="Y10" s="326"/>
      <c r="Z10" s="326"/>
      <c r="AA10" s="326"/>
      <c r="AB10" s="326"/>
    </row>
    <row r="11" spans="1:28" s="957" customFormat="1" ht="20.149999999999999" customHeight="1" thickBot="1" x14ac:dyDescent="0.4">
      <c r="A11" s="974"/>
      <c r="B11" s="2290"/>
      <c r="C11" s="1024"/>
      <c r="D11" s="1124">
        <v>2.5</v>
      </c>
      <c r="E11" s="1125" t="s">
        <v>19</v>
      </c>
      <c r="F11" s="1126">
        <v>10</v>
      </c>
      <c r="G11" s="1127"/>
      <c r="H11" s="1126">
        <f>F11</f>
        <v>10</v>
      </c>
      <c r="I11" s="1125" t="s">
        <v>19</v>
      </c>
      <c r="J11" s="1126">
        <v>20</v>
      </c>
      <c r="K11" s="1127"/>
      <c r="L11" s="1126">
        <f>J11</f>
        <v>20</v>
      </c>
      <c r="M11" s="1125" t="s">
        <v>19</v>
      </c>
      <c r="N11" s="1126">
        <v>30</v>
      </c>
      <c r="O11" s="1127"/>
      <c r="P11" s="1126">
        <f>N11</f>
        <v>30</v>
      </c>
      <c r="Q11" s="1125" t="s">
        <v>19</v>
      </c>
      <c r="R11" s="1126">
        <v>40</v>
      </c>
      <c r="S11" s="1127"/>
      <c r="T11" s="1126">
        <f>R11</f>
        <v>40</v>
      </c>
      <c r="U11" s="1125" t="s">
        <v>19</v>
      </c>
      <c r="V11" s="1128">
        <v>50</v>
      </c>
      <c r="W11" s="975"/>
      <c r="X11" s="975"/>
      <c r="Y11" s="975"/>
      <c r="Z11" s="975"/>
      <c r="AA11" s="975"/>
      <c r="AB11" s="975"/>
    </row>
    <row r="12" spans="1:28" s="328" customFormat="1" ht="15" customHeight="1" thickTop="1" thickBot="1" x14ac:dyDescent="0.4">
      <c r="A12" s="435"/>
      <c r="B12" s="1031"/>
      <c r="C12" s="776"/>
      <c r="D12" s="1032"/>
      <c r="E12" s="1032"/>
      <c r="F12" s="1032"/>
      <c r="G12" s="871"/>
      <c r="H12" s="1032"/>
      <c r="I12" s="1032"/>
      <c r="J12" s="1032"/>
      <c r="K12" s="871"/>
      <c r="L12" s="1032"/>
      <c r="M12" s="1032"/>
      <c r="N12" s="1032"/>
      <c r="O12" s="776"/>
      <c r="P12" s="1032"/>
      <c r="Q12" s="1032"/>
      <c r="R12" s="1032"/>
      <c r="S12" s="776"/>
      <c r="T12" s="1032"/>
      <c r="U12" s="1032"/>
      <c r="V12" s="1033"/>
      <c r="W12" s="326"/>
      <c r="X12" s="326"/>
      <c r="Y12" s="326"/>
      <c r="Z12" s="326"/>
      <c r="AA12" s="326"/>
      <c r="AB12" s="326"/>
    </row>
    <row r="13" spans="1:28" s="982" customFormat="1" ht="25.15" customHeight="1" thickTop="1" thickBot="1" x14ac:dyDescent="0.5">
      <c r="A13" s="1026"/>
      <c r="B13" s="1060" t="s">
        <v>497</v>
      </c>
      <c r="C13" s="1026"/>
      <c r="D13" s="1062" t="s">
        <v>858</v>
      </c>
      <c r="E13" s="1063" t="s">
        <v>499</v>
      </c>
      <c r="F13" s="1064" t="s">
        <v>332</v>
      </c>
      <c r="G13" s="997"/>
      <c r="H13" s="1062" t="s">
        <v>858</v>
      </c>
      <c r="I13" s="1063" t="s">
        <v>499</v>
      </c>
      <c r="J13" s="1064" t="s">
        <v>332</v>
      </c>
      <c r="K13" s="997"/>
      <c r="L13" s="1062" t="s">
        <v>858</v>
      </c>
      <c r="M13" s="1063" t="s">
        <v>499</v>
      </c>
      <c r="N13" s="1064" t="s">
        <v>332</v>
      </c>
      <c r="O13" s="997"/>
      <c r="P13" s="1062" t="s">
        <v>858</v>
      </c>
      <c r="Q13" s="1063" t="s">
        <v>499</v>
      </c>
      <c r="R13" s="1064" t="s">
        <v>332</v>
      </c>
      <c r="S13" s="997"/>
      <c r="T13" s="1062" t="s">
        <v>858</v>
      </c>
      <c r="U13" s="1063" t="s">
        <v>499</v>
      </c>
      <c r="V13" s="1064" t="s">
        <v>332</v>
      </c>
      <c r="W13" s="1113">
        <v>6.25</v>
      </c>
      <c r="X13" s="1114">
        <v>15</v>
      </c>
      <c r="Y13" s="1114">
        <v>25</v>
      </c>
      <c r="Z13" s="1114">
        <v>35</v>
      </c>
      <c r="AA13" s="1114">
        <v>45</v>
      </c>
      <c r="AB13" s="981"/>
    </row>
    <row r="14" spans="1:28" s="328" customFormat="1" ht="7.5" customHeight="1" x14ac:dyDescent="0.35">
      <c r="A14" s="1025"/>
      <c r="B14" s="1055"/>
      <c r="C14" s="393"/>
      <c r="D14" s="1057"/>
      <c r="E14" s="728"/>
      <c r="F14" s="1058"/>
      <c r="G14" s="393"/>
      <c r="H14" s="1057"/>
      <c r="I14" s="728"/>
      <c r="J14" s="1058"/>
      <c r="K14" s="1027"/>
      <c r="L14" s="1057"/>
      <c r="M14" s="728"/>
      <c r="N14" s="1058"/>
      <c r="O14" s="393"/>
      <c r="P14" s="1057"/>
      <c r="Q14" s="728"/>
      <c r="R14" s="1058"/>
      <c r="S14" s="1027"/>
      <c r="T14" s="1057"/>
      <c r="U14" s="728"/>
      <c r="V14" s="1059"/>
      <c r="W14" s="1028"/>
      <c r="X14" s="326"/>
      <c r="Y14" s="326"/>
      <c r="Z14" s="326"/>
      <c r="AA14" s="326"/>
      <c r="AB14" s="326"/>
    </row>
    <row r="15" spans="1:28" s="957" customFormat="1" ht="20.149999999999999" customHeight="1" x14ac:dyDescent="0.35">
      <c r="A15" s="1024"/>
      <c r="B15" s="1035" t="s">
        <v>427</v>
      </c>
      <c r="C15" s="1024"/>
      <c r="D15" s="1513">
        <v>200</v>
      </c>
      <c r="E15" s="1514" t="str">
        <f>(IF(E$7="SIM",(($H$2*D15)*E21*(1+'R&amp;C-Painel de Controle'!$D$62)+($H$2*D15*(1-E21)/$D$5*'R&amp;C-Painel de Controle'!D53*(1+'R&amp;C-Painel de Controle'!D55)))/1000000,"-"))</f>
        <v>-</v>
      </c>
      <c r="F15" s="1515">
        <v>0.1</v>
      </c>
      <c r="G15" s="1023"/>
      <c r="H15" s="1513">
        <v>50</v>
      </c>
      <c r="I15" s="1514" t="str">
        <f>(IF(I$7="SIM",((((($D$2/10*H15*1000)+(I30/10*12500)+(7500))/1000)+(I30/10*400))*(((I21)*(1+'R&amp;C-Painel de Controle'!$D$62))+((1-I21)/($D$5)*('R&amp;C-Painel de Controle'!$D$53)*(1+'R&amp;C-Painel de Controle'!$D$55))))/1000,"-"))</f>
        <v>-</v>
      </c>
      <c r="J15" s="1515">
        <v>0.1</v>
      </c>
      <c r="K15" s="1023"/>
      <c r="L15" s="1513">
        <v>50</v>
      </c>
      <c r="M15" s="1514" t="str">
        <f>(IF(M$7="SIM",((((($D$2/10*L15*1000)+(M30/10*12500)+(7500))/1000)+(M30/10*400))*(((M21)*(1+'R&amp;C-Painel de Controle'!$D$62))+((1-M21)/($D$5)*('R&amp;C-Painel de Controle'!$D$53)*(1+'R&amp;C-Painel de Controle'!$D$55))))/1000,"-"))</f>
        <v>-</v>
      </c>
      <c r="N15" s="1515">
        <v>0.1</v>
      </c>
      <c r="O15" s="1023"/>
      <c r="P15" s="1513">
        <v>50</v>
      </c>
      <c r="Q15" s="1514" t="str">
        <f>(IF(Q$7="SIM",((((($D$2/10*P15*1000)+(Q30/10*12500)+(7500))/1000)+(Q30/10*400))*(((Q21)*(1+'R&amp;C-Painel de Controle'!$D$62))+((1-Q21)/($D$5)*('R&amp;C-Painel de Controle'!$D$53)*(1+'R&amp;C-Painel de Controle'!$D$55))))/1000,"-"))</f>
        <v>-</v>
      </c>
      <c r="R15" s="1515">
        <v>0.1</v>
      </c>
      <c r="S15" s="1026"/>
      <c r="T15" s="1513">
        <v>50</v>
      </c>
      <c r="U15" s="1514">
        <f>(IF(U$7="SIM",((((($D$2/10*T15*1000)+(U30/10*12500)+(7500))/1000)+(U30/10*400))*(((U21)*(1+'R&amp;C-Painel de Controle'!$D$62))+((1-U21)/($D$5)*('R&amp;C-Painel de Controle'!$D$53)*(1+'R&amp;C-Painel de Controle'!$D$55))))/1000,"-"))</f>
        <v>10.464374999999997</v>
      </c>
      <c r="V15" s="1515">
        <v>0.1</v>
      </c>
      <c r="W15" s="1029">
        <v>0.23474999999999999</v>
      </c>
      <c r="X15" s="976">
        <v>2.5575000000000001</v>
      </c>
      <c r="Y15" s="976">
        <v>4.2575000000000003</v>
      </c>
      <c r="Z15" s="976">
        <v>5.9574999999999996</v>
      </c>
      <c r="AA15" s="976">
        <v>7.6574999999999998</v>
      </c>
      <c r="AB15" s="975"/>
    </row>
    <row r="16" spans="1:28" s="957" customFormat="1" ht="20.149999999999999" customHeight="1" x14ac:dyDescent="0.35">
      <c r="A16" s="1024"/>
      <c r="B16" s="1035" t="s">
        <v>698</v>
      </c>
      <c r="C16" s="1024"/>
      <c r="D16" s="1516">
        <v>1250</v>
      </c>
      <c r="E16" s="1514" t="str">
        <f>(IF(E$7="SIM",((D17-F17)*('R&amp;C-Painel de Controle'!$D$58*0.25)+(F17*'R&amp;C-Painel de Controle'!$D$61*0.75)+((50)+(15+E30/5*30)+(25+E30/10*25)*1750))/1000000,"-"))</f>
        <v>-</v>
      </c>
      <c r="F16" s="1517">
        <v>0.05</v>
      </c>
      <c r="G16" s="1023"/>
      <c r="H16" s="1516">
        <v>1250</v>
      </c>
      <c r="I16" s="1514" t="str">
        <f>(IF(I$7="SIM",((H17-J17)*('R&amp;C-Painel de Controle'!$D$58*0.25)+(J17*'R&amp;C-Painel de Controle'!$D$61*0.75)+(((75)+(15+I30/5*30)+(25+I30/10*25))*H16))/1000000,"-"))</f>
        <v>-</v>
      </c>
      <c r="J16" s="1517">
        <v>0.05</v>
      </c>
      <c r="K16" s="1023"/>
      <c r="L16" s="1516">
        <v>1250</v>
      </c>
      <c r="M16" s="1514" t="str">
        <f>(IF(M$7="SIM",((L17-N17)*('R&amp;C-Painel de Controle'!$D$58*0.25)+(N17*'R&amp;C-Painel de Controle'!$D$61*0.75)+(((100)+(15+M30/5*30)+(25+M30/10*25))*L16))/1000000,"-"))</f>
        <v>-</v>
      </c>
      <c r="N16" s="1517">
        <v>0.05</v>
      </c>
      <c r="O16" s="1026"/>
      <c r="P16" s="1516">
        <v>1250</v>
      </c>
      <c r="Q16" s="1514" t="str">
        <f>(IF(Q$7="SIM",((P17-R17)*('R&amp;C-Painel de Controle'!$D$58*0.25)+(R17*'R&amp;C-Painel de Controle'!$D$61*0.75)+(((125)+(15+Q30/5*30)+(25+Q30/10*25))*P16))/1000000,"-"))</f>
        <v>-</v>
      </c>
      <c r="R16" s="1517">
        <v>0.05</v>
      </c>
      <c r="S16" s="1023"/>
      <c r="T16" s="1516">
        <v>1250</v>
      </c>
      <c r="U16" s="1514">
        <f>(IF(U$7="SIM",((T17-V17)*('R&amp;C-Painel de Controle'!$D$58*0.25)+(V17*'R&amp;C-Painel de Controle'!$D$61*0.75)+(((150)+(15+U30/5*30)+(25+U30/10*25))*T16))/1000000,"-"))</f>
        <v>13.694533455623615</v>
      </c>
      <c r="V16" s="1517">
        <v>0.05</v>
      </c>
      <c r="W16" s="1029">
        <v>0.80446499999999999</v>
      </c>
      <c r="X16" s="976">
        <v>3.4448249999999998</v>
      </c>
      <c r="Y16" s="976">
        <v>4.0352499999999996</v>
      </c>
      <c r="Z16" s="976">
        <v>5.4588791666666658</v>
      </c>
      <c r="AA16" s="976">
        <v>6.3754312500000001</v>
      </c>
      <c r="AB16" s="975"/>
    </row>
    <row r="17" spans="1:28" s="957" customFormat="1" ht="20.149999999999999" customHeight="1" x14ac:dyDescent="0.35">
      <c r="A17" s="1024"/>
      <c r="B17" s="1035" t="s">
        <v>857</v>
      </c>
      <c r="C17" s="1024"/>
      <c r="D17" s="1518">
        <f>(2*(20*(20+(SQRT(F17))+20))+2*(20*(SQRT(F17)))+F17+50+E30/5*25+E30/5*25)</f>
        <v>19062.22517584563</v>
      </c>
      <c r="E17" s="1514" t="str">
        <f>(IF(E$7="SIM",('R&amp;C-Painel de Controle'!$D$56+0.25)*D17/1000000,"-"))</f>
        <v>-</v>
      </c>
      <c r="F17" s="1519">
        <f>(((E22*E30/10)/0.5)/25*20)+((E22*E30/10)/0.5)+(((E22*E30/10)/0.5)/25*15)</f>
        <v>7424.9999999999973</v>
      </c>
      <c r="G17" s="1023"/>
      <c r="H17" s="1518">
        <f>(2*(20*(20+(SQRT(J17))+20))+2*(20*(SQRT(J17)))+J17+50+I30/5*25+I30/5*25)</f>
        <v>27982.433652485022</v>
      </c>
      <c r="I17" s="1514" t="str">
        <f>(IF(I$7="SIM",('R&amp;C-Painel de Controle'!$D$56+0.25)*H17/1000000,"-"))</f>
        <v>-</v>
      </c>
      <c r="J17" s="1519">
        <f>((I22*I30/10)/25*25)+(I22*I30/10)+((I22*I30/10)/25*25)</f>
        <v>14293.124999999995</v>
      </c>
      <c r="K17" s="1023"/>
      <c r="L17" s="1518">
        <f>(2*(20*(20+(SQRT(N17))+20))+2*(20*(SQRT(N17)))+N17+100+M30/5*25+M30/5*25)</f>
        <v>21512.975313691488</v>
      </c>
      <c r="M17" s="1514" t="str">
        <f>(IF(M$7="SIM",('R&amp;C-Painel de Controle'!$D$56+0.25)*L17/1000000,"-"))</f>
        <v>-</v>
      </c>
      <c r="N17" s="1519">
        <f>((M22*M30/10)/50*25)+(M22*M30/10)+((M22*M30/10)/50*25)</f>
        <v>9528.7499999999964</v>
      </c>
      <c r="O17" s="1026"/>
      <c r="P17" s="1518">
        <f>(2*(20*(20+(SQRT(R17))+20))+2*(20*(SQRT(R17)))+R17+150+Q30/5*25+Q30/5*25)</f>
        <v>21562.975313691488</v>
      </c>
      <c r="Q17" s="1514" t="str">
        <f>(IF(Q$7="SIM",('R&amp;C-Painel de Controle'!$D$56+0.25)*P17/1000000,"-"))</f>
        <v>-</v>
      </c>
      <c r="R17" s="1519">
        <f>((Q22*Q30/10)/75*50)+(Q22*Q30/10)+((Q22*Q30/10)/75*25)</f>
        <v>9528.7499999999964</v>
      </c>
      <c r="S17" s="1023"/>
      <c r="T17" s="1518">
        <f>(2*(20*(20+(SQRT(V17))+20))+2*(20*(SQRT(V17)))+V17+200+U30/5*25+U30/5*25)</f>
        <v>19917.517644988951</v>
      </c>
      <c r="U17" s="1514">
        <f>(IF(U$7="SIM",('R&amp;C-Painel de Controle'!$D$56+0.25)*T17/1000000,"-"))</f>
        <v>1.7975559674602528</v>
      </c>
      <c r="V17" s="1519">
        <f>((U22*U30/10)/100*50)+(U22*U30/10)+((U22*U30/10)/100*25)</f>
        <v>8337.6562499999964</v>
      </c>
      <c r="W17" s="1029">
        <v>0.40139999999999998</v>
      </c>
      <c r="X17" s="976">
        <v>1.10331</v>
      </c>
      <c r="Y17" s="976">
        <v>1.0467</v>
      </c>
      <c r="Z17" s="976">
        <v>1.2973199999999998</v>
      </c>
      <c r="AA17" s="976">
        <v>1.4480325000000001</v>
      </c>
      <c r="AB17" s="975"/>
    </row>
    <row r="18" spans="1:28" s="957" customFormat="1" ht="20.149999999999999" customHeight="1" x14ac:dyDescent="0.35">
      <c r="A18" s="1024"/>
      <c r="B18" s="1035" t="s">
        <v>495</v>
      </c>
      <c r="C18" s="1024"/>
      <c r="D18" s="1513" t="str">
        <f>IF(E7="SIM",(E15+E16)*F18*1000000/$H$2,"-")</f>
        <v>-</v>
      </c>
      <c r="E18" s="1514" t="str">
        <f>(IF(E$7="SIM",D18*$H$2/1000000,"-"))</f>
        <v>-</v>
      </c>
      <c r="F18" s="1515">
        <v>0.1</v>
      </c>
      <c r="G18" s="1023"/>
      <c r="H18" s="1513" t="str">
        <f>IF(I7="SIM",(I15+I16)*J18*1000000/$H$2,"-")</f>
        <v>-</v>
      </c>
      <c r="I18" s="1514" t="str">
        <f>(IF(I$7="SIM",H18*$H$2/1000000,"-"))</f>
        <v>-</v>
      </c>
      <c r="J18" s="1515">
        <v>0.1</v>
      </c>
      <c r="K18" s="1023"/>
      <c r="L18" s="1513" t="str">
        <f>IF(M7="SIM",(M15+M16)*N18*1000000/$H$2,"-")</f>
        <v>-</v>
      </c>
      <c r="M18" s="1514" t="str">
        <f>(IF(M$7="SIM",L18*$H$2/1000000,"-"))</f>
        <v>-</v>
      </c>
      <c r="N18" s="1515">
        <v>0.1</v>
      </c>
      <c r="O18" s="1023"/>
      <c r="P18" s="1513" t="str">
        <f>IF(Q7="SIM",(Q15+Q16)*R18*1000000/$H$2,"-")</f>
        <v>-</v>
      </c>
      <c r="Q18" s="1514" t="str">
        <f>(IF(Q$7="SIM",P18*$H$2/1000000,"-"))</f>
        <v>-</v>
      </c>
      <c r="R18" s="1515">
        <v>7.4999999999999997E-2</v>
      </c>
      <c r="S18" s="1026"/>
      <c r="T18" s="1513">
        <f>IF(U7="SIM",(U15+U16)*V18*1000000/$H$2,"-")</f>
        <v>77.964657616495998</v>
      </c>
      <c r="U18" s="1514">
        <f>(IF(U$7="SIM",T18*$H$2/1000000,"-"))</f>
        <v>1.2079454227811806</v>
      </c>
      <c r="V18" s="1515">
        <v>0.05</v>
      </c>
      <c r="W18" s="1029">
        <v>2.5980375E-2</v>
      </c>
      <c r="X18" s="976">
        <v>0.15005812499999999</v>
      </c>
      <c r="Y18" s="976">
        <v>0.20731875</v>
      </c>
      <c r="Z18" s="976">
        <v>0.28540947916666665</v>
      </c>
      <c r="AA18" s="976">
        <v>0.35082328125000006</v>
      </c>
      <c r="AB18" s="975"/>
    </row>
    <row r="19" spans="1:28" s="982" customFormat="1" ht="25.15" customHeight="1" thickBot="1" x14ac:dyDescent="0.5">
      <c r="A19" s="1026"/>
      <c r="B19" s="1036" t="s">
        <v>428</v>
      </c>
      <c r="C19" s="1026"/>
      <c r="D19" s="1520">
        <v>2.5000000000000001E-2</v>
      </c>
      <c r="E19" s="1037" t="str">
        <f>IF(E7="SIM",SUM(E15:E18)*(1+D19),"-")</f>
        <v>-</v>
      </c>
      <c r="F19" s="1112"/>
      <c r="G19" s="1026"/>
      <c r="H19" s="1521">
        <v>0.05</v>
      </c>
      <c r="I19" s="1037" t="str">
        <f>IF(I7="SIM",SUM(I15:I18)*(1+H19),"-")</f>
        <v>-</v>
      </c>
      <c r="J19" s="1038" t="s">
        <v>332</v>
      </c>
      <c r="K19" s="1026"/>
      <c r="L19" s="1521">
        <v>0.05</v>
      </c>
      <c r="M19" s="1037" t="str">
        <f>IF(M7="SIM",SUM(M15:M18)*(1+L19),"-")</f>
        <v>-</v>
      </c>
      <c r="N19" s="1112" t="s">
        <v>332</v>
      </c>
      <c r="O19" s="1026"/>
      <c r="P19" s="1521">
        <v>0.05</v>
      </c>
      <c r="Q19" s="1037" t="str">
        <f>IF(Q7="SIM",SUM(Q15:Q18)*(1+P19),"-")</f>
        <v>-</v>
      </c>
      <c r="R19" s="1112" t="s">
        <v>332</v>
      </c>
      <c r="S19" s="1026"/>
      <c r="T19" s="1521">
        <v>0.05</v>
      </c>
      <c r="U19" s="1037">
        <f>IF(U7="SIM",SUM(U15:U18)*(1+T19),"-")</f>
        <v>28.522630338158294</v>
      </c>
      <c r="V19" s="1112" t="s">
        <v>332</v>
      </c>
      <c r="W19" s="1030">
        <v>1.503260259375</v>
      </c>
      <c r="X19" s="980">
        <v>7.6184777812500002</v>
      </c>
      <c r="Y19" s="980">
        <v>10.0241071875</v>
      </c>
      <c r="Z19" s="980">
        <v>13.649064078124999</v>
      </c>
      <c r="AA19" s="980">
        <v>16.623376382812502</v>
      </c>
      <c r="AB19" s="981"/>
    </row>
    <row r="20" spans="1:28" s="260" customFormat="1" ht="17.899999999999999" customHeight="1" outlineLevel="1" thickTop="1" x14ac:dyDescent="0.35">
      <c r="A20" s="412"/>
      <c r="B20" s="1034" t="s">
        <v>429</v>
      </c>
      <c r="C20" s="835"/>
      <c r="D20" s="1522"/>
      <c r="E20" s="1523" t="str">
        <f>IF(E7="SIM",E19*1000000/$H$2,"-")</f>
        <v>-</v>
      </c>
      <c r="F20" s="1522"/>
      <c r="G20" s="1312"/>
      <c r="H20" s="1522" t="s">
        <v>332</v>
      </c>
      <c r="I20" s="1523" t="str">
        <f>IF(I7="SIM",I19*1000000/$H$2,"-")</f>
        <v>-</v>
      </c>
      <c r="J20" s="1522" t="s">
        <v>332</v>
      </c>
      <c r="K20" s="1312"/>
      <c r="L20" s="1522" t="s">
        <v>332</v>
      </c>
      <c r="M20" s="1523" t="str">
        <f>IF(M7="SIM",M19*1000000/$H$2,"-")</f>
        <v>-</v>
      </c>
      <c r="N20" s="1522" t="s">
        <v>332</v>
      </c>
      <c r="O20" s="1312"/>
      <c r="P20" s="1522" t="s">
        <v>332</v>
      </c>
      <c r="Q20" s="1523" t="str">
        <f>IF(Q7="SIM",Q19*1000000/$H$2,"-")</f>
        <v>-</v>
      </c>
      <c r="R20" s="1522" t="s">
        <v>332</v>
      </c>
      <c r="S20" s="1312"/>
      <c r="T20" s="1522" t="s">
        <v>332</v>
      </c>
      <c r="U20" s="1523">
        <f>IF(U7="SIM",U19*1000000/$H$2,"-")</f>
        <v>1840.9417070486525</v>
      </c>
      <c r="V20" s="1522" t="s">
        <v>332</v>
      </c>
      <c r="W20" s="958">
        <v>1280.7329153354631</v>
      </c>
      <c r="X20" s="958">
        <v>1622.6789736421724</v>
      </c>
      <c r="Y20" s="958">
        <v>1281.0360623003196</v>
      </c>
      <c r="Z20" s="958">
        <v>1245.9209564696484</v>
      </c>
      <c r="AA20" s="958">
        <v>1180.218415535144</v>
      </c>
      <c r="AB20" s="148"/>
    </row>
    <row r="21" spans="1:28" s="328" customFormat="1" ht="17.899999999999999" customHeight="1" outlineLevel="1" x14ac:dyDescent="0.35">
      <c r="A21" s="435"/>
      <c r="B21" s="230" t="s">
        <v>696</v>
      </c>
      <c r="C21" s="776"/>
      <c r="D21" s="1524"/>
      <c r="E21" s="1525">
        <f>'R&amp;C-Painel de Controle'!$G$54</f>
        <v>1</v>
      </c>
      <c r="F21" s="1526"/>
      <c r="G21" s="1527"/>
      <c r="H21" s="1526"/>
      <c r="I21" s="1525">
        <f>'R&amp;C-Painel de Controle'!$G$54</f>
        <v>1</v>
      </c>
      <c r="J21" s="1526"/>
      <c r="K21" s="1528"/>
      <c r="L21" s="1526"/>
      <c r="M21" s="1525">
        <f>'R&amp;C-Painel de Controle'!$G$54</f>
        <v>1</v>
      </c>
      <c r="N21" s="1526"/>
      <c r="O21" s="1528"/>
      <c r="P21" s="1526"/>
      <c r="Q21" s="1525">
        <f>'R&amp;C-Painel de Controle'!$G$54</f>
        <v>1</v>
      </c>
      <c r="R21" s="1526"/>
      <c r="S21" s="978"/>
      <c r="T21" s="1526"/>
      <c r="U21" s="1525">
        <f>'R&amp;C-Painel de Controle'!$G$54</f>
        <v>1</v>
      </c>
      <c r="V21" s="1524"/>
      <c r="W21" s="326"/>
      <c r="X21" s="330">
        <f t="shared" ref="X21:AA21" si="0">(X20-W20)/X20</f>
        <v>0.21072933331920657</v>
      </c>
      <c r="Y21" s="330">
        <f t="shared" si="0"/>
        <v>-0.26669265713595486</v>
      </c>
      <c r="Z21" s="330">
        <f t="shared" si="0"/>
        <v>-2.8184055857099297E-2</v>
      </c>
      <c r="AA21" s="330">
        <f t="shared" si="0"/>
        <v>-5.5669815069537845E-2</v>
      </c>
      <c r="AB21" s="326"/>
    </row>
    <row r="22" spans="1:28" s="328" customFormat="1" ht="17.899999999999999" customHeight="1" outlineLevel="1" x14ac:dyDescent="0.35">
      <c r="A22" s="435"/>
      <c r="B22" s="230" t="s">
        <v>783</v>
      </c>
      <c r="C22" s="776"/>
      <c r="D22" s="1529">
        <v>5</v>
      </c>
      <c r="E22" s="1529">
        <f>(D22*F22)/(8)*(10)</f>
        <v>50</v>
      </c>
      <c r="F22" s="1529">
        <v>8</v>
      </c>
      <c r="G22" s="1528"/>
      <c r="H22" s="1529">
        <f>2+2*2.5</f>
        <v>7</v>
      </c>
      <c r="I22" s="1529">
        <f>(H22*J22)</f>
        <v>192.5</v>
      </c>
      <c r="J22" s="1529">
        <f>11*2.5</f>
        <v>27.5</v>
      </c>
      <c r="K22" s="1527"/>
      <c r="L22" s="1529">
        <f>2+2*2.5</f>
        <v>7</v>
      </c>
      <c r="M22" s="1529">
        <f>(L22*N22)</f>
        <v>192.5</v>
      </c>
      <c r="N22" s="1529">
        <f>11*2.5</f>
        <v>27.5</v>
      </c>
      <c r="O22" s="978"/>
      <c r="P22" s="1529">
        <f>2+2*2.5</f>
        <v>7</v>
      </c>
      <c r="Q22" s="1529">
        <f>(P22*R22)</f>
        <v>192.5</v>
      </c>
      <c r="R22" s="1529">
        <f>11*2.5</f>
        <v>27.5</v>
      </c>
      <c r="S22" s="978"/>
      <c r="T22" s="1529">
        <f>2+2*2.5</f>
        <v>7</v>
      </c>
      <c r="U22" s="1529">
        <f>(T22*V22)</f>
        <v>192.5</v>
      </c>
      <c r="V22" s="1529">
        <f>11*2.5</f>
        <v>27.5</v>
      </c>
      <c r="W22" s="326"/>
      <c r="X22" s="326"/>
      <c r="Y22" s="326"/>
      <c r="Z22" s="326"/>
      <c r="AA22" s="326"/>
      <c r="AB22" s="326"/>
    </row>
    <row r="23" spans="1:28" s="260" customFormat="1" ht="17.899999999999999" customHeight="1" outlineLevel="1" x14ac:dyDescent="0.35">
      <c r="A23" s="412"/>
      <c r="B23" s="224" t="s">
        <v>492</v>
      </c>
      <c r="C23" s="835"/>
      <c r="D23" s="1530"/>
      <c r="E23" s="1531" t="str">
        <f>IF(E7="SIM",(E15*F15+E16*F16)/4,"-")</f>
        <v>-</v>
      </c>
      <c r="F23" s="1532"/>
      <c r="G23" s="1312"/>
      <c r="H23" s="1532"/>
      <c r="I23" s="1531" t="str">
        <f>IF(I7="SIM",(I15*J15+I16*J16)/4,"-")</f>
        <v>-</v>
      </c>
      <c r="J23" s="1532"/>
      <c r="K23" s="1312"/>
      <c r="L23" s="1532"/>
      <c r="M23" s="1531" t="str">
        <f>IF(M7="SIM",(M15*N15+M16*N16)/4,"-")</f>
        <v>-</v>
      </c>
      <c r="N23" s="1532"/>
      <c r="O23" s="1312"/>
      <c r="P23" s="1532"/>
      <c r="Q23" s="1531" t="str">
        <f>IF(Q7="SIM",(Q15*R15+Q16*R16)/4,"-")</f>
        <v>-</v>
      </c>
      <c r="R23" s="1532"/>
      <c r="S23" s="1312"/>
      <c r="T23" s="1532"/>
      <c r="U23" s="1531">
        <f>IF(U7="SIM",(U15*V15+U16*V16)/4,"-")</f>
        <v>0.43279104319529516</v>
      </c>
      <c r="V23" s="1532"/>
      <c r="W23" s="148"/>
      <c r="X23" s="148"/>
      <c r="Y23" s="148"/>
      <c r="Z23" s="148"/>
      <c r="AA23" s="148"/>
      <c r="AB23" s="148"/>
    </row>
    <row r="24" spans="1:28" s="973" customFormat="1" ht="15" customHeight="1" thickBot="1" x14ac:dyDescent="0.4">
      <c r="A24" s="402"/>
      <c r="B24" s="1045"/>
      <c r="C24" s="875"/>
      <c r="D24" s="1533"/>
      <c r="E24" s="1533"/>
      <c r="F24" s="1533"/>
      <c r="G24" s="1528"/>
      <c r="H24" s="1533"/>
      <c r="I24" s="1533"/>
      <c r="J24" s="1533"/>
      <c r="K24" s="1528"/>
      <c r="L24" s="1533"/>
      <c r="M24" s="1533"/>
      <c r="N24" s="1533"/>
      <c r="O24" s="1528"/>
      <c r="P24" s="1533"/>
      <c r="Q24" s="1533"/>
      <c r="R24" s="1533"/>
      <c r="S24" s="1528"/>
      <c r="T24" s="1533"/>
      <c r="U24" s="1533"/>
      <c r="V24" s="1533"/>
      <c r="W24" s="971"/>
      <c r="X24" s="971"/>
      <c r="Y24" s="971"/>
      <c r="Z24" s="971"/>
      <c r="AA24" s="971"/>
      <c r="AB24" s="972"/>
    </row>
    <row r="25" spans="1:28" s="328" customFormat="1" ht="25.15" customHeight="1" thickTop="1" thickBot="1" x14ac:dyDescent="0.4">
      <c r="A25" s="1025"/>
      <c r="B25" s="1061" t="s">
        <v>496</v>
      </c>
      <c r="C25" s="393"/>
      <c r="D25" s="1115" t="s">
        <v>858</v>
      </c>
      <c r="E25" s="1116" t="s">
        <v>867</v>
      </c>
      <c r="F25" s="1117" t="s">
        <v>332</v>
      </c>
      <c r="G25" s="1604"/>
      <c r="H25" s="1118" t="s">
        <v>858</v>
      </c>
      <c r="I25" s="1119" t="s">
        <v>867</v>
      </c>
      <c r="J25" s="1120" t="s">
        <v>332</v>
      </c>
      <c r="K25" s="1604"/>
      <c r="L25" s="1118" t="s">
        <v>858</v>
      </c>
      <c r="M25" s="1119" t="s">
        <v>867</v>
      </c>
      <c r="N25" s="1120" t="s">
        <v>332</v>
      </c>
      <c r="O25" s="1604"/>
      <c r="P25" s="1118" t="s">
        <v>858</v>
      </c>
      <c r="Q25" s="1119" t="s">
        <v>867</v>
      </c>
      <c r="R25" s="1120" t="s">
        <v>332</v>
      </c>
      <c r="S25" s="1604"/>
      <c r="T25" s="1118" t="s">
        <v>858</v>
      </c>
      <c r="U25" s="1119" t="s">
        <v>867</v>
      </c>
      <c r="V25" s="1120" t="s">
        <v>332</v>
      </c>
      <c r="W25" s="1028"/>
      <c r="X25" s="326"/>
      <c r="Y25" s="326"/>
      <c r="Z25" s="326"/>
      <c r="AA25" s="326"/>
      <c r="AB25" s="326"/>
    </row>
    <row r="26" spans="1:28" s="328" customFormat="1" ht="7.5" customHeight="1" thickBot="1" x14ac:dyDescent="0.4">
      <c r="A26" s="1025"/>
      <c r="B26" s="1056"/>
      <c r="C26" s="393"/>
      <c r="D26" s="1535"/>
      <c r="E26" s="1536"/>
      <c r="F26" s="1537"/>
      <c r="G26" s="1023"/>
      <c r="H26" s="1535"/>
      <c r="I26" s="1536"/>
      <c r="J26" s="1537"/>
      <c r="K26" s="1023"/>
      <c r="L26" s="1535"/>
      <c r="M26" s="1536"/>
      <c r="N26" s="1537"/>
      <c r="O26" s="1023"/>
      <c r="P26" s="1535"/>
      <c r="Q26" s="1536"/>
      <c r="R26" s="1537"/>
      <c r="S26" s="1026"/>
      <c r="T26" s="1535"/>
      <c r="U26" s="1536"/>
      <c r="V26" s="1537"/>
      <c r="W26" s="1028"/>
      <c r="X26" s="326"/>
      <c r="Y26" s="326"/>
      <c r="Z26" s="326"/>
      <c r="AA26" s="326"/>
      <c r="AB26" s="326"/>
    </row>
    <row r="27" spans="1:28" s="957" customFormat="1" ht="20.149999999999999" customHeight="1" thickTop="1" thickBot="1" x14ac:dyDescent="0.4">
      <c r="A27" s="997"/>
      <c r="B27" s="1048" t="s">
        <v>432</v>
      </c>
      <c r="C27" s="997"/>
      <c r="D27" s="1053"/>
      <c r="E27" s="1538" t="str">
        <f>IF(AND(E$7="SIM",'R&amp;C-Painel de Controle'!$C$67="Regime CLT"),E31*2.4*12/$H$2,IF(AND(E$7="SIM",'R&amp;C-Painel de Controle'!$C$67="Regime Cooperativa"),E31*1.4*12/$H$2,"-"))</f>
        <v>-</v>
      </c>
      <c r="F27" s="1539"/>
      <c r="G27" s="1540"/>
      <c r="H27" s="1541"/>
      <c r="I27" s="1542" t="str">
        <f>IF(AND(I$7="SIM",'R&amp;C-Painel de Controle'!$C$67="Regime CLT"),I31*2.4*12/$H$2,IF(AND(I$7="SIM",'R&amp;C-Painel de Controle'!$C$67="Regime Cooperativa"),I31*1.4*12/$H$2,"-"))</f>
        <v>-</v>
      </c>
      <c r="J27" s="1543"/>
      <c r="K27" s="1544"/>
      <c r="L27" s="1541"/>
      <c r="M27" s="1542" t="str">
        <f>IF(AND(M$7="SIM",'R&amp;C-Painel de Controle'!$C$67="Regime CLT"),M31*2.4*12/$H$2,IF(AND(M$7="SIM",'R&amp;C-Painel de Controle'!$C$67="Regime Cooperativa"),M31*1.4*12/$H$2,"-"))</f>
        <v>-</v>
      </c>
      <c r="N27" s="1543"/>
      <c r="O27" s="1026"/>
      <c r="P27" s="1541"/>
      <c r="Q27" s="1542" t="str">
        <f>IF(AND(Q$7="SIM",'R&amp;C-Painel de Controle'!$C$67="Regime CLT"),Q31*2.4*12/$H$2,IF(AND(Q$7="SIM",'R&amp;C-Painel de Controle'!$C$67="Regime Cooperativa"),Q31*1.4*12/$H$2,"-"))</f>
        <v>-</v>
      </c>
      <c r="R27" s="1543"/>
      <c r="S27" s="1026"/>
      <c r="T27" s="1541"/>
      <c r="U27" s="1545">
        <f>IF(AND(U$7="SIM",'R&amp;C-Painel de Controle'!$C$67="Regime CLT"),U31*2.4*12/$H$2,IF(AND(U$7="SIM",'R&amp;C-Painel de Controle'!$C$67="Regime Cooperativa"),U31*1.4*12/$H$2,"-"))</f>
        <v>709.89447187530243</v>
      </c>
      <c r="V27" s="1546"/>
      <c r="W27" s="1041"/>
      <c r="X27" s="956"/>
      <c r="Y27" s="956"/>
      <c r="Z27" s="956"/>
      <c r="AA27" s="956"/>
      <c r="AB27" s="956"/>
    </row>
    <row r="28" spans="1:28" s="328" customFormat="1" ht="17.899999999999999" customHeight="1" outlineLevel="1" thickTop="1" x14ac:dyDescent="0.35">
      <c r="A28" s="1025"/>
      <c r="B28" s="1049" t="s">
        <v>431</v>
      </c>
      <c r="C28" s="393"/>
      <c r="D28" s="1547">
        <f>F28/1.25</f>
        <v>0.08</v>
      </c>
      <c r="E28" s="1548">
        <f>IF('R-Definição'!$I$32="Baixa",D28,F28)</f>
        <v>0.08</v>
      </c>
      <c r="F28" s="1549">
        <v>0.1</v>
      </c>
      <c r="G28" s="1544"/>
      <c r="H28" s="1547">
        <v>0.1</v>
      </c>
      <c r="I28" s="1548">
        <f>IF('R-Definição'!$I$32="Baixa",H28,J28)</f>
        <v>0.1</v>
      </c>
      <c r="J28" s="1550">
        <f>H28*1.25</f>
        <v>0.125</v>
      </c>
      <c r="K28" s="1023"/>
      <c r="L28" s="1547">
        <v>0.1</v>
      </c>
      <c r="M28" s="1548">
        <f>IF('R-Definição'!$I$32="Baixa",L28,N28)</f>
        <v>0.1</v>
      </c>
      <c r="N28" s="1550">
        <f>L28*1.25</f>
        <v>0.125</v>
      </c>
      <c r="O28" s="1026"/>
      <c r="P28" s="1547">
        <v>0.1</v>
      </c>
      <c r="Q28" s="1548">
        <f>IF('R-Definição'!$I$32="Baixa",P28,R28)</f>
        <v>0.1</v>
      </c>
      <c r="R28" s="1550">
        <f>P28*1.25</f>
        <v>0.125</v>
      </c>
      <c r="S28" s="1026"/>
      <c r="T28" s="1547">
        <v>0.1</v>
      </c>
      <c r="U28" s="1548">
        <f>IF('R-Definição'!$I$32="Baixa",T28,V28)</f>
        <v>0.1</v>
      </c>
      <c r="V28" s="1550">
        <f>T28*1.25</f>
        <v>0.125</v>
      </c>
      <c r="W28" s="1028"/>
      <c r="X28" s="326"/>
      <c r="Y28" s="326"/>
      <c r="Z28" s="326"/>
      <c r="AA28" s="326"/>
      <c r="AB28" s="326"/>
    </row>
    <row r="29" spans="1:28" s="328" customFormat="1" ht="17.899999999999999" customHeight="1" outlineLevel="1" x14ac:dyDescent="0.35">
      <c r="A29" s="1025"/>
      <c r="B29" s="1049" t="s">
        <v>687</v>
      </c>
      <c r="C29" s="393"/>
      <c r="D29" s="1054"/>
      <c r="E29" s="1529">
        <v>2</v>
      </c>
      <c r="F29" s="1551"/>
      <c r="G29" s="1552"/>
      <c r="H29" s="1553"/>
      <c r="I29" s="1529">
        <v>2</v>
      </c>
      <c r="J29" s="1551"/>
      <c r="K29" s="1544"/>
      <c r="L29" s="1553"/>
      <c r="M29" s="1529">
        <v>2</v>
      </c>
      <c r="N29" s="1551"/>
      <c r="O29" s="1026"/>
      <c r="P29" s="1553"/>
      <c r="Q29" s="1529">
        <v>2</v>
      </c>
      <c r="R29" s="1551"/>
      <c r="S29" s="1023"/>
      <c r="T29" s="1553"/>
      <c r="U29" s="1529">
        <v>2</v>
      </c>
      <c r="V29" s="1550"/>
      <c r="W29" s="1028"/>
      <c r="X29" s="326"/>
      <c r="Y29" s="326"/>
      <c r="Z29" s="326"/>
      <c r="AA29" s="326"/>
      <c r="AB29" s="326"/>
    </row>
    <row r="30" spans="1:28" s="328" customFormat="1" ht="17.899999999999999" customHeight="1" outlineLevel="1" x14ac:dyDescent="0.35">
      <c r="A30" s="1025"/>
      <c r="B30" s="1049" t="s">
        <v>688</v>
      </c>
      <c r="C30" s="393"/>
      <c r="D30" s="1054"/>
      <c r="E30" s="1554">
        <f>$D$2/E29/E28</f>
        <v>309.37499999999994</v>
      </c>
      <c r="F30" s="1550"/>
      <c r="G30" s="1544"/>
      <c r="H30" s="1555"/>
      <c r="I30" s="1554">
        <f>$D$2/I29/I28</f>
        <v>247.49999999999994</v>
      </c>
      <c r="J30" s="1550"/>
      <c r="K30" s="1552"/>
      <c r="L30" s="1555"/>
      <c r="M30" s="1554">
        <f>$D$2/M29/M28</f>
        <v>247.49999999999994</v>
      </c>
      <c r="N30" s="1550"/>
      <c r="O30" s="1023"/>
      <c r="P30" s="1555"/>
      <c r="Q30" s="1554">
        <f>$D$2/Q29/Q28</f>
        <v>247.49999999999994</v>
      </c>
      <c r="R30" s="1550"/>
      <c r="S30" s="1023"/>
      <c r="T30" s="1555"/>
      <c r="U30" s="1554">
        <f>$D$2/U29/U28</f>
        <v>247.49999999999994</v>
      </c>
      <c r="V30" s="1546"/>
      <c r="W30" s="1028"/>
      <c r="X30" s="326"/>
      <c r="Y30" s="326"/>
      <c r="Z30" s="326"/>
      <c r="AA30" s="326"/>
      <c r="AB30" s="326"/>
    </row>
    <row r="31" spans="1:28" s="328" customFormat="1" ht="17.899999999999999" customHeight="1" outlineLevel="1" thickBot="1" x14ac:dyDescent="0.4">
      <c r="A31" s="1025"/>
      <c r="B31" s="1049" t="s">
        <v>689</v>
      </c>
      <c r="C31" s="393"/>
      <c r="D31" s="1054"/>
      <c r="E31" s="1556" t="str">
        <f>(IF(E$7="SIM",1*0.6*0.25*'R&amp;C-Painel de Controle'!$D$64+(E30/40)*E29*0.6*0.25*'R&amp;C-Painel de Controle'!$D$65+E30*E29*'R&amp;C-Painel de Controle'!$D$68,"-"))</f>
        <v>-</v>
      </c>
      <c r="F31" s="1550"/>
      <c r="G31" s="1544"/>
      <c r="H31" s="1555"/>
      <c r="I31" s="1542" t="str">
        <f>(IF(I$7="SIM",1*0.7*0.25*'R&amp;C-Painel de Controle'!$D$64+(I30/40)*I29*0.7*0.25*'R&amp;C-Painel de Controle'!$D$65+I30*I29*'R&amp;C-Painel de Controle'!$D$68,"-"))</f>
        <v>-</v>
      </c>
      <c r="J31" s="1550"/>
      <c r="K31" s="1544"/>
      <c r="L31" s="1555"/>
      <c r="M31" s="1542" t="str">
        <f>(IF(M$7="SIM",1*0.8*0.25*'R&amp;C-Painel de Controle'!$D$64+(M30/40)*M29*0.8*0.25*'R&amp;C-Painel de Controle'!$D$65+M30*M29*'R&amp;C-Painel de Controle'!$D$68,"-"))</f>
        <v>-</v>
      </c>
      <c r="N31" s="1550"/>
      <c r="O31" s="1023"/>
      <c r="P31" s="1555"/>
      <c r="Q31" s="1542" t="str">
        <f>(IF(Q$7="SIM",1*0.9*0.25*'R&amp;C-Painel de Controle'!$D$64+(Q30/40)*Q29*0.9*0.25*'R&amp;C-Painel de Controle'!$D$65+Q30*Q29*'R&amp;C-Painel de Controle'!$D$68,"-"))</f>
        <v>-</v>
      </c>
      <c r="R31" s="1550"/>
      <c r="S31" s="1026"/>
      <c r="T31" s="1555"/>
      <c r="U31" s="1542">
        <f>(IF(U$7="SIM",1*1*0.25*'R&amp;C-Painel de Controle'!$D$64+(U30/40)*U29*1*0.25*'R&amp;C-Painel de Controle'!$D$65+U30*U29*'R&amp;C-Painel de Controle'!$D$68,"-"))</f>
        <v>654687.49999999988</v>
      </c>
      <c r="V31" s="1546"/>
      <c r="W31" s="1028"/>
      <c r="X31" s="326"/>
      <c r="Y31" s="326"/>
      <c r="Z31" s="326"/>
      <c r="AA31" s="326"/>
      <c r="AB31" s="326"/>
    </row>
    <row r="32" spans="1:28" s="957" customFormat="1" ht="20.149999999999999" customHeight="1" thickTop="1" thickBot="1" x14ac:dyDescent="0.4">
      <c r="A32" s="1024"/>
      <c r="B32" s="1048" t="s">
        <v>433</v>
      </c>
      <c r="C32" s="1024"/>
      <c r="D32" s="1053"/>
      <c r="E32" s="1538" t="str">
        <f>(IF(E$7="SIM",(E33*$H$2/1000*'R&amp;C-Painel de Controle'!$D$69+E34/1000*'R&amp;C-Painel de Controle'!$D$70*12)/$H$2,"-"))</f>
        <v>-</v>
      </c>
      <c r="F32" s="1539"/>
      <c r="G32" s="1540"/>
      <c r="H32" s="1541"/>
      <c r="I32" s="1542" t="str">
        <f>(IF(I$7="SIM",(I33*$H$2/1000*'R&amp;C-Painel de Controle'!$D$69+I34/1000*'R&amp;C-Painel de Controle'!$D$70*12)/$H$2,"-"))</f>
        <v>-</v>
      </c>
      <c r="J32" s="1543"/>
      <c r="K32" s="1544"/>
      <c r="L32" s="1541"/>
      <c r="M32" s="1542" t="str">
        <f>(IF(M$7="SIM",(M33*$H$2/1000*'R&amp;C-Painel de Controle'!$D$69+M34/1000*'R&amp;C-Painel de Controle'!$D$70*12)/$H$2,"-"))</f>
        <v>-</v>
      </c>
      <c r="N32" s="1543"/>
      <c r="O32" s="1023"/>
      <c r="P32" s="1541"/>
      <c r="Q32" s="1542" t="str">
        <f>(IF(Q$7="SIM",(Q33*$H$2/1000*'R&amp;C-Painel de Controle'!$D$69+Q34/1000*'R&amp;C-Painel de Controle'!$D$70*12)/$H$2,"-"))</f>
        <v>-</v>
      </c>
      <c r="R32" s="1543"/>
      <c r="S32" s="1026"/>
      <c r="T32" s="1541"/>
      <c r="U32" s="1545">
        <f>(IF(U$7="SIM",(U33*$H$2/1000*'R&amp;C-Painel de Controle'!$D$69+U34/1000*'R&amp;C-Painel de Controle'!$D$70*12)/$H$2,"-"))</f>
        <v>6.3765248329944813</v>
      </c>
      <c r="V32" s="1546"/>
      <c r="W32" s="1042"/>
      <c r="X32" s="975"/>
      <c r="Y32" s="975"/>
      <c r="Z32" s="975"/>
      <c r="AA32" s="975"/>
      <c r="AB32" s="975"/>
    </row>
    <row r="33" spans="1:28" s="328" customFormat="1" ht="17.899999999999999" customHeight="1" outlineLevel="1" thickTop="1" x14ac:dyDescent="0.35">
      <c r="A33" s="1025"/>
      <c r="B33" s="1049" t="s">
        <v>690</v>
      </c>
      <c r="C33" s="393"/>
      <c r="D33" s="1054"/>
      <c r="E33" s="1557">
        <v>2.5</v>
      </c>
      <c r="F33" s="1550"/>
      <c r="G33" s="1544"/>
      <c r="H33" s="1555"/>
      <c r="I33" s="1526">
        <v>15</v>
      </c>
      <c r="J33" s="1550"/>
      <c r="K33" s="1540"/>
      <c r="L33" s="1555"/>
      <c r="M33" s="1526">
        <v>15</v>
      </c>
      <c r="N33" s="1550"/>
      <c r="O33" s="1026"/>
      <c r="P33" s="1555"/>
      <c r="Q33" s="1526">
        <v>15</v>
      </c>
      <c r="R33" s="1550"/>
      <c r="S33" s="1023"/>
      <c r="T33" s="1555"/>
      <c r="U33" s="1526">
        <v>15</v>
      </c>
      <c r="V33" s="1546"/>
      <c r="W33" s="1028"/>
      <c r="X33" s="326"/>
      <c r="Y33" s="326"/>
      <c r="Z33" s="326"/>
      <c r="AA33" s="326"/>
      <c r="AB33" s="326"/>
    </row>
    <row r="34" spans="1:28" s="328" customFormat="1" ht="17.899999999999999" customHeight="1" outlineLevel="1" thickBot="1" x14ac:dyDescent="0.4">
      <c r="A34" s="1025"/>
      <c r="B34" s="1049" t="s">
        <v>691</v>
      </c>
      <c r="C34" s="393"/>
      <c r="D34" s="1555"/>
      <c r="E34" s="1558">
        <f>E33*F11*(0.9)*0.92/16</f>
        <v>1.29375</v>
      </c>
      <c r="F34" s="1550"/>
      <c r="G34" s="1544"/>
      <c r="H34" s="1555"/>
      <c r="I34" s="1559">
        <f>I33*J11*(0.9)*0.92/16</f>
        <v>15.525</v>
      </c>
      <c r="J34" s="1550"/>
      <c r="K34" s="1544"/>
      <c r="L34" s="1555"/>
      <c r="M34" s="1559">
        <f>M33*N11*(0.9)*0.92/16</f>
        <v>23.287500000000001</v>
      </c>
      <c r="N34" s="1550"/>
      <c r="O34" s="1023"/>
      <c r="P34" s="1555"/>
      <c r="Q34" s="1559">
        <f>Q33*R11*(0.9)*0.92/16</f>
        <v>31.05</v>
      </c>
      <c r="R34" s="1550"/>
      <c r="S34" s="1023"/>
      <c r="T34" s="1555"/>
      <c r="U34" s="1559">
        <f>U33*V11*(0.9)*0.92/16</f>
        <v>38.8125</v>
      </c>
      <c r="V34" s="1546"/>
      <c r="W34" s="1028"/>
      <c r="X34" s="326"/>
      <c r="Y34" s="326"/>
      <c r="Z34" s="326"/>
      <c r="AA34" s="326"/>
      <c r="AB34" s="326"/>
    </row>
    <row r="35" spans="1:28" s="957" customFormat="1" ht="20.149999999999999" customHeight="1" thickTop="1" thickBot="1" x14ac:dyDescent="0.4">
      <c r="A35" s="1024"/>
      <c r="B35" s="1048" t="s">
        <v>434</v>
      </c>
      <c r="C35" s="1024"/>
      <c r="D35" s="1053"/>
      <c r="E35" s="1538" t="str">
        <f>(IF(E$7="SIM",(E15*1000000*E36+E37*12)/$H$2,"-"))</f>
        <v>-</v>
      </c>
      <c r="F35" s="1539"/>
      <c r="G35" s="1540"/>
      <c r="H35" s="1541"/>
      <c r="I35" s="1542" t="str">
        <f>(IF(I$7="SIM",(I15*1000000*I36+I37*12)/$H$2,"-"))</f>
        <v>-</v>
      </c>
      <c r="J35" s="1543"/>
      <c r="K35" s="1544"/>
      <c r="L35" s="1541"/>
      <c r="M35" s="1542" t="str">
        <f>(IF(M$7="SIM",(M15*1000000*M36+M37*12)/$H$2,"-"))</f>
        <v>-</v>
      </c>
      <c r="N35" s="1543"/>
      <c r="O35" s="1023"/>
      <c r="P35" s="1541"/>
      <c r="Q35" s="1542" t="str">
        <f>(IF(Q$7="SIM",(Q15*1000000*Q36+Q37*12)/$H$2,"-"))</f>
        <v>-</v>
      </c>
      <c r="R35" s="1543"/>
      <c r="S35" s="1026"/>
      <c r="T35" s="1541"/>
      <c r="U35" s="1545">
        <f>(IF(U$7="SIM",(U15*1000000*U36+U37*12)/$H$2,"-"))</f>
        <v>36.24806370413399</v>
      </c>
      <c r="V35" s="1546"/>
      <c r="W35" s="1042"/>
      <c r="X35" s="975"/>
      <c r="Y35" s="975"/>
      <c r="Z35" s="975"/>
      <c r="AA35" s="975"/>
      <c r="AB35" s="975"/>
    </row>
    <row r="36" spans="1:28" s="328" customFormat="1" ht="17.899999999999999" customHeight="1" outlineLevel="1" thickTop="1" x14ac:dyDescent="0.35">
      <c r="A36" s="1025"/>
      <c r="B36" s="1049" t="s">
        <v>692</v>
      </c>
      <c r="C36" s="393"/>
      <c r="D36" s="1054"/>
      <c r="E36" s="1560">
        <v>2.5000000000000001E-2</v>
      </c>
      <c r="F36" s="1550"/>
      <c r="G36" s="1544"/>
      <c r="H36" s="1555"/>
      <c r="I36" s="1561">
        <v>2.5000000000000001E-2</v>
      </c>
      <c r="J36" s="1550"/>
      <c r="K36" s="1540"/>
      <c r="L36" s="1555"/>
      <c r="M36" s="1561">
        <v>2.5000000000000001E-2</v>
      </c>
      <c r="N36" s="1550"/>
      <c r="O36" s="1026"/>
      <c r="P36" s="1555"/>
      <c r="Q36" s="1561">
        <v>2.5000000000000001E-2</v>
      </c>
      <c r="R36" s="1550"/>
      <c r="S36" s="1026"/>
      <c r="T36" s="1555"/>
      <c r="U36" s="1561">
        <v>2.5000000000000001E-2</v>
      </c>
      <c r="V36" s="1546"/>
      <c r="W36" s="1028"/>
      <c r="X36" s="326"/>
      <c r="Y36" s="326"/>
      <c r="Z36" s="326"/>
      <c r="AA36" s="326"/>
      <c r="AB36" s="326"/>
    </row>
    <row r="37" spans="1:28" s="328" customFormat="1" ht="17.899999999999999" customHeight="1" outlineLevel="1" thickBot="1" x14ac:dyDescent="0.4">
      <c r="A37" s="1025"/>
      <c r="B37" s="1049" t="s">
        <v>498</v>
      </c>
      <c r="C37" s="393"/>
      <c r="D37" s="1054"/>
      <c r="E37" s="1556">
        <v>10000</v>
      </c>
      <c r="F37" s="1550"/>
      <c r="G37" s="1544"/>
      <c r="H37" s="1555"/>
      <c r="I37" s="1542">
        <v>25000</v>
      </c>
      <c r="J37" s="1550"/>
      <c r="K37" s="1544"/>
      <c r="L37" s="1555"/>
      <c r="M37" s="1542">
        <v>25000</v>
      </c>
      <c r="N37" s="1550"/>
      <c r="O37" s="1026"/>
      <c r="P37" s="1555"/>
      <c r="Q37" s="1542">
        <v>25000</v>
      </c>
      <c r="R37" s="1550"/>
      <c r="S37" s="1023"/>
      <c r="T37" s="1555"/>
      <c r="U37" s="1542">
        <v>25000</v>
      </c>
      <c r="V37" s="1546"/>
      <c r="W37" s="1028"/>
      <c r="X37" s="326"/>
      <c r="Y37" s="326"/>
      <c r="Z37" s="326"/>
      <c r="AA37" s="326"/>
      <c r="AB37" s="326"/>
    </row>
    <row r="38" spans="1:28" s="957" customFormat="1" ht="20.149999999999999" customHeight="1" thickTop="1" thickBot="1" x14ac:dyDescent="0.4">
      <c r="A38" s="997"/>
      <c r="B38" s="1048" t="s">
        <v>695</v>
      </c>
      <c r="C38" s="1024"/>
      <c r="D38" s="1562">
        <v>0.1</v>
      </c>
      <c r="E38" s="1563" t="str">
        <f>(IF(E$7="SIM",D38*E39*E40*12/$H$2,"-"))</f>
        <v>-</v>
      </c>
      <c r="F38" s="1539"/>
      <c r="G38" s="1540"/>
      <c r="H38" s="1564">
        <v>0.1</v>
      </c>
      <c r="I38" s="1565" t="str">
        <f>(IF(I$7="SIM",H38*I39*I40*12/$H$2,"-"))</f>
        <v>-</v>
      </c>
      <c r="J38" s="1543"/>
      <c r="K38" s="1544"/>
      <c r="L38" s="1564">
        <v>0.1</v>
      </c>
      <c r="M38" s="1565" t="str">
        <f>(IF(M$7="SIM",L38*M39*M40*12/$H$2,"-"))</f>
        <v>-</v>
      </c>
      <c r="N38" s="1543"/>
      <c r="O38" s="1026"/>
      <c r="P38" s="1564">
        <v>0.1</v>
      </c>
      <c r="Q38" s="1565" t="str">
        <f>(IF(Q$7="SIM",P38*Q39*Q40*12/$H$2,"-"))</f>
        <v>-</v>
      </c>
      <c r="R38" s="1543"/>
      <c r="S38" s="1023"/>
      <c r="T38" s="1564">
        <v>0.1</v>
      </c>
      <c r="U38" s="1566">
        <f>(IF(U$7="SIM",T38*U39*U40*12/$H$2,"-"))</f>
        <v>11.617775196049958</v>
      </c>
      <c r="V38" s="1546"/>
      <c r="W38" s="1041"/>
      <c r="X38" s="956"/>
      <c r="Y38" s="956"/>
      <c r="Z38" s="956"/>
      <c r="AA38" s="956"/>
      <c r="AB38" s="956"/>
    </row>
    <row r="39" spans="1:28" s="328" customFormat="1" ht="17.899999999999999" customHeight="1" outlineLevel="1" thickTop="1" x14ac:dyDescent="0.35">
      <c r="A39" s="1040"/>
      <c r="B39" s="1049" t="s">
        <v>693</v>
      </c>
      <c r="C39" s="1027"/>
      <c r="D39" s="1054"/>
      <c r="E39" s="1567">
        <f>'R&amp;C-Painel de Controle'!$D$71</f>
        <v>100000</v>
      </c>
      <c r="F39" s="1550"/>
      <c r="G39" s="1544"/>
      <c r="H39" s="1555"/>
      <c r="I39" s="1542">
        <f>'R&amp;C-Painel de Controle'!$D$71</f>
        <v>100000</v>
      </c>
      <c r="J39" s="1550"/>
      <c r="K39" s="1540"/>
      <c r="L39" s="1555"/>
      <c r="M39" s="1542">
        <f>'R&amp;C-Painel de Controle'!$D$71</f>
        <v>100000</v>
      </c>
      <c r="N39" s="1550"/>
      <c r="O39" s="1023"/>
      <c r="P39" s="1555"/>
      <c r="Q39" s="1542">
        <f>'R&amp;C-Painel de Controle'!$D$71</f>
        <v>100000</v>
      </c>
      <c r="R39" s="1550"/>
      <c r="S39" s="1026"/>
      <c r="T39" s="1555"/>
      <c r="U39" s="1542">
        <f>'R&amp;C-Painel de Controle'!$D$71</f>
        <v>100000</v>
      </c>
      <c r="V39" s="1546"/>
      <c r="W39" s="1043"/>
      <c r="X39" s="327"/>
      <c r="Y39" s="327"/>
      <c r="Z39" s="327"/>
      <c r="AA39" s="327"/>
      <c r="AB39" s="327"/>
    </row>
    <row r="40" spans="1:28" s="328" customFormat="1" ht="17.899999999999999" customHeight="1" outlineLevel="1" thickBot="1" x14ac:dyDescent="0.4">
      <c r="A40" s="1025"/>
      <c r="B40" s="1049" t="s">
        <v>694</v>
      </c>
      <c r="C40" s="1027"/>
      <c r="D40" s="1054"/>
      <c r="E40" s="1568">
        <v>0.25</v>
      </c>
      <c r="F40" s="1550"/>
      <c r="G40" s="1544"/>
      <c r="H40" s="1555"/>
      <c r="I40" s="1525">
        <v>0.5</v>
      </c>
      <c r="J40" s="1550"/>
      <c r="K40" s="1544"/>
      <c r="L40" s="1555"/>
      <c r="M40" s="1525">
        <v>1</v>
      </c>
      <c r="N40" s="1550"/>
      <c r="O40" s="1026"/>
      <c r="P40" s="1555"/>
      <c r="Q40" s="1525">
        <v>1.25</v>
      </c>
      <c r="R40" s="1550"/>
      <c r="S40" s="1023"/>
      <c r="T40" s="1555"/>
      <c r="U40" s="1525">
        <v>1.5</v>
      </c>
      <c r="V40" s="1546"/>
      <c r="W40" s="1028"/>
      <c r="X40" s="326"/>
      <c r="Y40" s="326"/>
      <c r="Z40" s="326"/>
      <c r="AA40" s="326"/>
      <c r="AB40" s="326"/>
    </row>
    <row r="41" spans="1:28" s="957" customFormat="1" ht="20.149999999999999" customHeight="1" thickTop="1" thickBot="1" x14ac:dyDescent="0.4">
      <c r="A41" s="1024"/>
      <c r="B41" s="1048" t="s">
        <v>441</v>
      </c>
      <c r="C41" s="1024"/>
      <c r="D41" s="1053"/>
      <c r="E41" s="1569" t="str">
        <f>(IF(E$7="SIM",0.05*'R&amp;C-Painel de Controle'!$D$75,"-"))</f>
        <v>-</v>
      </c>
      <c r="F41" s="1539"/>
      <c r="G41" s="1540"/>
      <c r="H41" s="1541"/>
      <c r="I41" s="1559" t="str">
        <f>(IF(I$7="SIM",2.5+1.5*'R&amp;C-Painel de Controle'!$D$75,"-"))</f>
        <v>-</v>
      </c>
      <c r="J41" s="1543"/>
      <c r="K41" s="1540"/>
      <c r="L41" s="1541"/>
      <c r="M41" s="1559" t="str">
        <f>(IF(M$7="SIM",2.5+1.5*'R&amp;C-Painel de Controle'!$D$75,"-"))</f>
        <v>-</v>
      </c>
      <c r="N41" s="1543"/>
      <c r="O41" s="1023"/>
      <c r="P41" s="1541"/>
      <c r="Q41" s="1559" t="str">
        <f>(IF(Q$7="SIM",2.5+1.5*'R&amp;C-Painel de Controle'!$D$75,"-"))</f>
        <v>-</v>
      </c>
      <c r="R41" s="1543"/>
      <c r="S41" s="1026"/>
      <c r="T41" s="1541"/>
      <c r="U41" s="1570">
        <f>(IF(U$7="SIM",2.5+1.5*'R&amp;C-Painel de Controle'!$D$75,"-"))</f>
        <v>7</v>
      </c>
      <c r="V41" s="1546"/>
      <c r="W41" s="1042"/>
      <c r="X41" s="975"/>
      <c r="Y41" s="975"/>
      <c r="Z41" s="975"/>
      <c r="AA41" s="975"/>
      <c r="AB41" s="975"/>
    </row>
    <row r="42" spans="1:28" s="982" customFormat="1" ht="25.15" customHeight="1" thickTop="1" thickBot="1" x14ac:dyDescent="0.5">
      <c r="A42" s="1026"/>
      <c r="B42" s="1050" t="s">
        <v>437</v>
      </c>
      <c r="C42" s="1026"/>
      <c r="D42" s="1562">
        <v>0.05</v>
      </c>
      <c r="E42" s="1104" t="str">
        <f>(IF(E$7="SIM",(E27+E32+E35+E38+E41)*(1+D42),"-"))</f>
        <v>-</v>
      </c>
      <c r="F42" s="1105"/>
      <c r="G42" s="1080"/>
      <c r="H42" s="1564">
        <v>0.1</v>
      </c>
      <c r="I42" s="1011" t="str">
        <f>(IF(I$7="SIM",(I27+I32+I35+I38+I41)*(1+H42),"-"))</f>
        <v>-</v>
      </c>
      <c r="J42" s="1106"/>
      <c r="K42" s="1080"/>
      <c r="L42" s="1564">
        <v>0.1</v>
      </c>
      <c r="M42" s="1011" t="str">
        <f>(IF(M$7="SIM",(M27+M32+M35+M38+M41)*(1+L42),"-"))</f>
        <v>-</v>
      </c>
      <c r="N42" s="1106"/>
      <c r="O42" s="1026"/>
      <c r="P42" s="1564">
        <v>0.1</v>
      </c>
      <c r="Q42" s="1011" t="str">
        <f>(IF(Q$7="SIM",(Q27+Q32+Q35+Q38+Q41)*(1+P42),"-"))</f>
        <v>-</v>
      </c>
      <c r="R42" s="1106"/>
      <c r="S42" s="1026"/>
      <c r="T42" s="1564">
        <v>0.1</v>
      </c>
      <c r="U42" s="1107">
        <f>(IF(U$7="SIM",(U27+U32+U35+U38+U41)*(1+T42),"-"))</f>
        <v>848.25051916932898</v>
      </c>
      <c r="V42" s="1108"/>
      <c r="W42" s="1044"/>
      <c r="X42" s="981"/>
      <c r="Y42" s="981"/>
      <c r="Z42" s="981"/>
      <c r="AA42" s="981"/>
      <c r="AB42" s="981"/>
    </row>
    <row r="43" spans="1:28" s="982" customFormat="1" ht="25.15" customHeight="1" thickTop="1" thickBot="1" x14ac:dyDescent="0.5">
      <c r="A43" s="1026"/>
      <c r="B43" s="1050" t="s">
        <v>438</v>
      </c>
      <c r="C43" s="1026"/>
      <c r="D43" s="1053"/>
      <c r="E43" s="1109" t="str">
        <f>(IF(E$7="SIM",E42*$H$2/1000000,"-"))</f>
        <v>-</v>
      </c>
      <c r="F43" s="1110"/>
      <c r="G43" s="1026"/>
      <c r="H43" s="1054"/>
      <c r="I43" s="1010" t="str">
        <f>(IF(I$7="SIM",I42*$H$2/1000000,"-"))</f>
        <v>-</v>
      </c>
      <c r="J43" s="1108"/>
      <c r="K43" s="1080"/>
      <c r="L43" s="1054"/>
      <c r="M43" s="1010" t="str">
        <f>(IF(M$7="SIM",M42*$H$2/1000000,"-"))</f>
        <v>-</v>
      </c>
      <c r="N43" s="1108"/>
      <c r="O43" s="1026"/>
      <c r="P43" s="1111"/>
      <c r="Q43" s="1010" t="str">
        <f>(IF(Q$7="SIM",Q42*$H$2/1000000,"-"))</f>
        <v>-</v>
      </c>
      <c r="R43" s="1108"/>
      <c r="S43" s="1026"/>
      <c r="T43" s="1054"/>
      <c r="U43" s="979">
        <f>(IF(U$7="SIM",U42*$H$2/1000000,"-"))</f>
        <v>13.142369418749997</v>
      </c>
      <c r="V43" s="1108"/>
      <c r="W43" s="1044"/>
      <c r="X43" s="981"/>
      <c r="Y43" s="981"/>
      <c r="Z43" s="981"/>
      <c r="AA43" s="981"/>
      <c r="AB43" s="981"/>
    </row>
    <row r="44" spans="1:28" s="957" customFormat="1" ht="20.149999999999999" customHeight="1" thickTop="1" thickBot="1" x14ac:dyDescent="0.4">
      <c r="A44" s="1024"/>
      <c r="B44" s="1051" t="s">
        <v>439</v>
      </c>
      <c r="C44" s="1024"/>
      <c r="D44" s="1053"/>
      <c r="E44" s="1571" t="str">
        <f>(IF(E$7="SIM",(((E27*$H$2/12)+(E34/1000*'R&amp;C-Painel de Controle'!$D$70*12)+(E37*12)+(E39*E40*12))/1000000),"-"))</f>
        <v>-</v>
      </c>
      <c r="F44" s="1572"/>
      <c r="G44" s="1023"/>
      <c r="H44" s="1054"/>
      <c r="I44" s="1573" t="str">
        <f>(IF(I$7="SIM",(((I27*$H$2/12)+(I34/1000*'R&amp;C-Painel de Controle'!$D$70*12)+(I37*12)+(I39*I40*12))/1000000),"-"))</f>
        <v>-</v>
      </c>
      <c r="J44" s="1546"/>
      <c r="K44" s="1023"/>
      <c r="L44" s="1054"/>
      <c r="M44" s="1573" t="str">
        <f>(IF(M$7="SIM",(((M27*$H$2/12)+(M34/1000*'R&amp;C-Painel de Controle'!$D$70*12)+(M37*12)+(M39*M40*12))/1000000),"-"))</f>
        <v>-</v>
      </c>
      <c r="N44" s="1546"/>
      <c r="O44" s="1026"/>
      <c r="P44" s="1054"/>
      <c r="Q44" s="1573" t="str">
        <f>(IF(Q$7="SIM",(((Q27*$H$2/12)+(Q34/1000*'R&amp;C-Painel de Controle'!$D$70*12)+(Q37*12)+(Q39*Q40*12))/1000000),"-"))</f>
        <v>-</v>
      </c>
      <c r="R44" s="1546"/>
      <c r="S44" s="1023"/>
      <c r="T44" s="1054"/>
      <c r="U44" s="1514">
        <f>(IF(U$7="SIM",(((U27*$H$2/12)+(U34/1000*'R&amp;C-Painel de Controle'!$D$70*12)+(U37*12)+(U39*U40*12))/1000000),"-"))</f>
        <v>3.0282062499999993</v>
      </c>
      <c r="V44" s="1546"/>
      <c r="W44" s="1042"/>
      <c r="X44" s="975"/>
      <c r="Y44" s="975"/>
      <c r="Z44" s="975"/>
      <c r="AA44" s="975"/>
      <c r="AB44" s="975"/>
    </row>
    <row r="45" spans="1:28" s="957" customFormat="1" ht="20.149999999999999" customHeight="1" thickTop="1" thickBot="1" x14ac:dyDescent="0.4">
      <c r="A45" s="1024"/>
      <c r="B45" s="1052" t="s">
        <v>440</v>
      </c>
      <c r="C45" s="1024"/>
      <c r="D45" s="1574"/>
      <c r="E45" s="1575" t="str">
        <f>(IF(E$7="SIM",((E43-E44)*1000000)/$H$2,"-"))</f>
        <v>-</v>
      </c>
      <c r="F45" s="1576"/>
      <c r="G45" s="1023"/>
      <c r="H45" s="1577"/>
      <c r="I45" s="1578" t="str">
        <f>(IF(I$7="SIM",((I43-I44)*1000000)/$H$2,"-"))</f>
        <v>-</v>
      </c>
      <c r="J45" s="1579"/>
      <c r="K45" s="1023"/>
      <c r="L45" s="1577"/>
      <c r="M45" s="1578" t="str">
        <f>(IF(M$7="SIM",((M43-M44)*1000000)/$H$2,"-"))</f>
        <v>-</v>
      </c>
      <c r="N45" s="1579"/>
      <c r="O45" s="1023"/>
      <c r="P45" s="1577"/>
      <c r="Q45" s="1578" t="str">
        <f>(IF(Q$7="SIM",((Q43-Q44)*1000000)/$H$2,"-"))</f>
        <v>-</v>
      </c>
      <c r="R45" s="1579"/>
      <c r="S45" s="1026"/>
      <c r="T45" s="1577"/>
      <c r="U45" s="1580">
        <f>(IF(U$7="SIM",((U43-U44)*1000000)/$H$2,"-"))</f>
        <v>652.80041105947646</v>
      </c>
      <c r="V45" s="1579"/>
      <c r="W45" s="1042"/>
      <c r="X45" s="975"/>
      <c r="Y45" s="975"/>
      <c r="Z45" s="975"/>
      <c r="AA45" s="975"/>
      <c r="AB45" s="975"/>
    </row>
    <row r="46" spans="1:28" ht="14.25" customHeight="1" thickTop="1" x14ac:dyDescent="0.35">
      <c r="A46" s="349"/>
      <c r="B46" s="1047"/>
      <c r="C46" s="349"/>
      <c r="D46" s="873"/>
      <c r="E46" s="873"/>
      <c r="F46" s="873"/>
      <c r="G46" s="349"/>
      <c r="H46" s="873"/>
      <c r="I46" s="873"/>
      <c r="J46" s="873"/>
      <c r="K46" s="349"/>
      <c r="L46" s="873"/>
      <c r="M46" s="873"/>
      <c r="N46" s="873"/>
      <c r="O46" s="349"/>
      <c r="P46" s="873"/>
      <c r="Q46" s="873"/>
      <c r="R46" s="873"/>
      <c r="S46" s="874"/>
      <c r="T46" s="873"/>
      <c r="U46" s="873"/>
      <c r="V46" s="873"/>
      <c r="W46" s="37"/>
      <c r="X46" s="37"/>
      <c r="Y46" s="37"/>
      <c r="Z46" s="37"/>
      <c r="AA46" s="37"/>
      <c r="AB46" s="37"/>
    </row>
    <row r="47" spans="1:28" ht="14.25" customHeight="1" x14ac:dyDescent="0.35">
      <c r="A47" s="349"/>
      <c r="B47" s="872"/>
      <c r="C47" s="349"/>
      <c r="D47" s="349"/>
      <c r="E47" s="349"/>
      <c r="F47" s="349"/>
      <c r="G47" s="349"/>
      <c r="H47" s="349"/>
      <c r="I47" s="349"/>
      <c r="J47" s="349"/>
      <c r="K47" s="349"/>
      <c r="L47" s="349"/>
      <c r="M47" s="349"/>
      <c r="N47" s="349"/>
      <c r="O47" s="349"/>
      <c r="P47" s="349"/>
      <c r="Q47" s="349"/>
      <c r="R47" s="349"/>
      <c r="S47" s="349"/>
      <c r="T47" s="349"/>
      <c r="U47" s="349"/>
      <c r="V47" s="349"/>
      <c r="W47" s="37"/>
      <c r="X47" s="37"/>
      <c r="Y47" s="37"/>
      <c r="Z47" s="37"/>
      <c r="AA47" s="37"/>
      <c r="AB47" s="37"/>
    </row>
    <row r="48" spans="1:28" ht="14.25" customHeight="1" x14ac:dyDescent="0.35">
      <c r="A48" s="349"/>
      <c r="B48" s="872"/>
      <c r="C48" s="349"/>
      <c r="D48" s="349"/>
      <c r="E48" s="349"/>
      <c r="F48" s="349"/>
      <c r="G48" s="349"/>
      <c r="H48" s="349"/>
      <c r="I48" s="349"/>
      <c r="J48" s="349"/>
      <c r="K48" s="349"/>
      <c r="L48" s="349"/>
      <c r="M48" s="349"/>
      <c r="N48" s="349"/>
      <c r="O48" s="349"/>
      <c r="P48" s="349"/>
      <c r="Q48" s="349"/>
      <c r="R48" s="349"/>
      <c r="S48" s="349"/>
      <c r="T48" s="349"/>
      <c r="U48" s="349"/>
      <c r="V48" s="349"/>
      <c r="W48" s="37"/>
      <c r="X48" s="37"/>
      <c r="Y48" s="37"/>
      <c r="Z48" s="37"/>
      <c r="AA48" s="37"/>
      <c r="AB48" s="37"/>
    </row>
    <row r="49" spans="1:28" ht="14.25" customHeight="1" x14ac:dyDescent="0.35">
      <c r="A49" s="37"/>
      <c r="B49" s="4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row>
    <row r="50" spans="1:28" ht="14.25" customHeight="1" x14ac:dyDescent="0.35">
      <c r="A50" s="37"/>
      <c r="B50" s="4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row>
    <row r="51" spans="1:28" ht="14.25" customHeight="1" x14ac:dyDescent="0.35">
      <c r="A51" s="37"/>
      <c r="B51" s="4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row>
    <row r="52" spans="1:28" ht="14.25" customHeight="1" x14ac:dyDescent="0.35">
      <c r="A52" s="37"/>
      <c r="B52" s="4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row>
    <row r="53" spans="1:28" ht="14.25" customHeight="1" x14ac:dyDescent="0.35">
      <c r="A53" s="37"/>
      <c r="B53" s="4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row>
    <row r="54" spans="1:28" ht="14.25" customHeight="1" x14ac:dyDescent="0.35">
      <c r="A54" s="37"/>
      <c r="B54" s="4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row>
    <row r="55" spans="1:28" ht="14.25" customHeight="1" x14ac:dyDescent="0.35">
      <c r="A55" s="37"/>
      <c r="B55" s="4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row>
    <row r="56" spans="1:28" ht="14.25" customHeight="1" x14ac:dyDescent="0.35">
      <c r="A56" s="37"/>
      <c r="B56" s="4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row>
    <row r="57" spans="1:28" ht="14.25" customHeight="1" x14ac:dyDescent="0.35">
      <c r="A57" s="37"/>
      <c r="B57" s="4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row>
    <row r="58" spans="1:28" ht="14.25" customHeight="1" x14ac:dyDescent="0.35">
      <c r="A58" s="37"/>
      <c r="B58" s="4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row>
    <row r="59" spans="1:28" ht="14.25" customHeight="1" x14ac:dyDescent="0.35">
      <c r="A59" s="37"/>
      <c r="B59" s="4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row>
    <row r="60" spans="1:28" ht="14.25" customHeight="1" x14ac:dyDescent="0.35">
      <c r="A60" s="37"/>
      <c r="B60" s="4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row>
    <row r="61" spans="1:28" ht="14.25" customHeight="1" x14ac:dyDescent="0.35">
      <c r="A61" s="37"/>
      <c r="B61" s="4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row>
    <row r="62" spans="1:28" ht="14.25" customHeight="1" x14ac:dyDescent="0.35">
      <c r="A62" s="37"/>
      <c r="B62" s="4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row>
    <row r="63" spans="1:28" ht="14.25" customHeight="1" x14ac:dyDescent="0.35">
      <c r="A63" s="37"/>
      <c r="B63" s="4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row>
    <row r="64" spans="1:28" ht="14.25" customHeight="1" x14ac:dyDescent="0.35">
      <c r="A64" s="37"/>
      <c r="B64" s="4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row>
    <row r="65" spans="1:28" ht="14.25" customHeight="1" x14ac:dyDescent="0.35">
      <c r="A65" s="37"/>
      <c r="B65" s="4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row>
    <row r="66" spans="1:28" ht="14.25" customHeight="1" x14ac:dyDescent="0.35">
      <c r="A66" s="37"/>
      <c r="B66" s="4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row>
    <row r="67" spans="1:28" ht="14.25" customHeight="1" x14ac:dyDescent="0.35">
      <c r="A67" s="37"/>
      <c r="B67" s="4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row>
    <row r="68" spans="1:28" ht="14.25" customHeight="1" x14ac:dyDescent="0.35">
      <c r="A68" s="37"/>
      <c r="B68" s="4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row>
    <row r="69" spans="1:28" ht="14.25" customHeight="1" x14ac:dyDescent="0.35">
      <c r="A69" s="37"/>
      <c r="B69" s="4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row>
    <row r="70" spans="1:28" ht="14.25" customHeight="1" x14ac:dyDescent="0.35">
      <c r="A70" s="37"/>
      <c r="B70" s="4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row>
    <row r="71" spans="1:28" ht="14.25" customHeight="1" x14ac:dyDescent="0.35">
      <c r="A71" s="37"/>
      <c r="B71" s="4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row>
    <row r="72" spans="1:28" ht="14.25" customHeight="1" x14ac:dyDescent="0.35">
      <c r="A72" s="37"/>
      <c r="B72" s="4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row>
    <row r="73" spans="1:28" ht="14.25" customHeight="1" x14ac:dyDescent="0.35">
      <c r="A73" s="37"/>
      <c r="B73" s="4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row>
    <row r="74" spans="1:28" ht="14.25" customHeight="1" x14ac:dyDescent="0.35">
      <c r="A74" s="37"/>
      <c r="B74" s="4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row>
    <row r="75" spans="1:28" ht="14.25" customHeight="1" x14ac:dyDescent="0.35">
      <c r="A75" s="37"/>
      <c r="B75" s="4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row>
    <row r="76" spans="1:28" ht="14.25" customHeight="1" x14ac:dyDescent="0.35">
      <c r="A76" s="37"/>
      <c r="B76" s="4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row>
    <row r="77" spans="1:28" ht="14.25" customHeight="1" x14ac:dyDescent="0.35">
      <c r="A77" s="37"/>
      <c r="B77" s="4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row>
    <row r="78" spans="1:28" ht="14.25" customHeight="1" x14ac:dyDescent="0.35">
      <c r="A78" s="37"/>
      <c r="B78" s="4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row>
    <row r="79" spans="1:28" ht="14.25" customHeight="1" x14ac:dyDescent="0.35">
      <c r="A79" s="37"/>
      <c r="B79" s="4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row>
    <row r="80" spans="1:28" ht="14.25" customHeight="1" x14ac:dyDescent="0.35">
      <c r="A80" s="37"/>
      <c r="B80" s="4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row>
    <row r="81" spans="1:28" ht="14.25" customHeight="1" x14ac:dyDescent="0.35">
      <c r="A81" s="37"/>
      <c r="B81" s="4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row>
    <row r="82" spans="1:28" ht="14.25" customHeight="1" x14ac:dyDescent="0.35">
      <c r="A82" s="37"/>
      <c r="B82" s="4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row>
    <row r="83" spans="1:28" ht="14.25" customHeight="1" x14ac:dyDescent="0.35">
      <c r="A83" s="37"/>
      <c r="B83" s="4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row>
    <row r="84" spans="1:28" ht="14.25" customHeight="1" x14ac:dyDescent="0.35">
      <c r="A84" s="37"/>
      <c r="B84" s="4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row>
    <row r="85" spans="1:28" ht="14.25" customHeight="1" x14ac:dyDescent="0.35">
      <c r="A85" s="37"/>
      <c r="B85" s="4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row>
    <row r="86" spans="1:28" ht="14.25" customHeight="1" x14ac:dyDescent="0.35">
      <c r="A86" s="37"/>
      <c r="B86" s="4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row>
    <row r="87" spans="1:28" ht="14.25" customHeight="1" x14ac:dyDescent="0.35">
      <c r="A87" s="37"/>
      <c r="B87" s="4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row>
    <row r="88" spans="1:28" ht="14.25" customHeight="1" x14ac:dyDescent="0.35">
      <c r="A88" s="37"/>
      <c r="B88" s="4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row>
    <row r="89" spans="1:28" ht="14.25" customHeight="1" x14ac:dyDescent="0.35">
      <c r="A89" s="37"/>
      <c r="B89" s="4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row>
    <row r="90" spans="1:28" ht="14.25" customHeight="1" x14ac:dyDescent="0.35">
      <c r="A90" s="37"/>
      <c r="B90" s="4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row>
    <row r="91" spans="1:28" ht="14.25" customHeight="1" x14ac:dyDescent="0.35">
      <c r="A91" s="37"/>
      <c r="B91" s="4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row>
    <row r="92" spans="1:28" ht="14.25" customHeight="1" x14ac:dyDescent="0.35">
      <c r="A92" s="37"/>
      <c r="B92" s="4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row>
    <row r="93" spans="1:28" ht="14.25" customHeight="1" x14ac:dyDescent="0.35">
      <c r="A93" s="37"/>
      <c r="B93" s="4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row>
    <row r="94" spans="1:28" ht="14.25" customHeight="1" x14ac:dyDescent="0.35">
      <c r="A94" s="37"/>
      <c r="B94" s="4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row>
    <row r="95" spans="1:28" ht="14.25" customHeight="1" x14ac:dyDescent="0.35">
      <c r="A95" s="37"/>
      <c r="B95" s="4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row>
    <row r="96" spans="1:28" ht="14.25" customHeight="1" x14ac:dyDescent="0.35">
      <c r="A96" s="37"/>
      <c r="B96" s="4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row>
    <row r="97" spans="1:28" ht="14.25" customHeight="1" x14ac:dyDescent="0.35">
      <c r="A97" s="37"/>
      <c r="B97" s="4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row>
    <row r="98" spans="1:28" ht="14.25" customHeight="1" x14ac:dyDescent="0.35">
      <c r="A98" s="37"/>
      <c r="B98" s="4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row>
    <row r="99" spans="1:28" ht="14.25" customHeight="1" x14ac:dyDescent="0.35">
      <c r="A99" s="37"/>
      <c r="B99" s="4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row>
    <row r="100" spans="1:28" ht="14.25" customHeight="1" x14ac:dyDescent="0.35">
      <c r="A100" s="37"/>
      <c r="B100" s="4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row>
    <row r="101" spans="1:28" ht="14.25" customHeight="1" x14ac:dyDescent="0.35">
      <c r="A101" s="37"/>
      <c r="B101" s="4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row>
    <row r="102" spans="1:28" ht="14.25" customHeight="1" x14ac:dyDescent="0.35">
      <c r="A102" s="37"/>
      <c r="B102" s="4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row>
    <row r="103" spans="1:28" ht="14.25" customHeight="1" x14ac:dyDescent="0.35">
      <c r="A103" s="37"/>
      <c r="B103" s="4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row>
    <row r="104" spans="1:28" ht="14.25" customHeight="1" x14ac:dyDescent="0.35">
      <c r="A104" s="37"/>
      <c r="B104" s="4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row>
  </sheetData>
  <sheetProtection formatColumns="0" formatRows="0"/>
  <mergeCells count="5">
    <mergeCell ref="B9:B11"/>
    <mergeCell ref="D9:V9"/>
    <mergeCell ref="Q2:R2"/>
    <mergeCell ref="U2:V2"/>
    <mergeCell ref="B1:B3"/>
  </mergeCells>
  <conditionalFormatting sqref="L2">
    <cfRule type="expression" dxfId="433" priority="51">
      <formula>L$2="NÃO"</formula>
    </cfRule>
  </conditionalFormatting>
  <conditionalFormatting sqref="L2">
    <cfRule type="expression" dxfId="432" priority="52">
      <formula>L$2= "SIM"</formula>
    </cfRule>
  </conditionalFormatting>
  <conditionalFormatting sqref="D2">
    <cfRule type="expression" dxfId="431" priority="167">
      <formula>AND($L$2="Sim",$D$2&lt;$D$11)</formula>
    </cfRule>
  </conditionalFormatting>
  <conditionalFormatting sqref="D2">
    <cfRule type="expression" dxfId="430" priority="168">
      <formula>AND($L$2="Sim",$D$2&gt;$V$11)</formula>
    </cfRule>
  </conditionalFormatting>
  <conditionalFormatting sqref="E32 I7 E7 M7 Q7 Q27 U35 I27 M27 E27 U27 M32 I32 Q32 U32 Q35 E35 M35 I35 U38 Q38 M38 I38 E38 E41:E45 I41:I45 M41:M45 Q41:Q45 U41:U45">
    <cfRule type="expression" dxfId="429" priority="169">
      <formula>E$7="NÃO"</formula>
    </cfRule>
  </conditionalFormatting>
  <conditionalFormatting sqref="E32 I7 E7 M7 Q7 U7 Q27 U35 I27 M27 E27 U27 M32 I32 Q32 U32 Q35 E35 M35 I35 U38 Q38 M38 I38 E38 E41:E45 I41:I45 M41:M45 Q41:Q45 U41:U45">
    <cfRule type="expression" dxfId="428" priority="170">
      <formula>E$7= "SIM"</formula>
    </cfRule>
  </conditionalFormatting>
  <conditionalFormatting sqref="U7">
    <cfRule type="expression" dxfId="427" priority="183">
      <formula>U$7="NÃO"</formula>
    </cfRule>
  </conditionalFormatting>
  <conditionalFormatting sqref="U15">
    <cfRule type="expression" dxfId="426" priority="49">
      <formula>U$7="NÃO"</formula>
    </cfRule>
  </conditionalFormatting>
  <conditionalFormatting sqref="U15">
    <cfRule type="expression" dxfId="425" priority="50">
      <formula>U$7= "SIM"</formula>
    </cfRule>
  </conditionalFormatting>
  <conditionalFormatting sqref="U16">
    <cfRule type="expression" dxfId="424" priority="47">
      <formula>U$7="NÃO"</formula>
    </cfRule>
  </conditionalFormatting>
  <conditionalFormatting sqref="U16">
    <cfRule type="expression" dxfId="423" priority="48">
      <formula>U$7= "SIM"</formula>
    </cfRule>
  </conditionalFormatting>
  <conditionalFormatting sqref="U17">
    <cfRule type="expression" dxfId="422" priority="45">
      <formula>U$7="NÃO"</formula>
    </cfRule>
  </conditionalFormatting>
  <conditionalFormatting sqref="U17">
    <cfRule type="expression" dxfId="421" priority="46">
      <formula>U$7= "SIM"</formula>
    </cfRule>
  </conditionalFormatting>
  <conditionalFormatting sqref="U18">
    <cfRule type="expression" dxfId="420" priority="43">
      <formula>U$7="NÃO"</formula>
    </cfRule>
  </conditionalFormatting>
  <conditionalFormatting sqref="U18">
    <cfRule type="expression" dxfId="419" priority="44">
      <formula>U$7= "SIM"</formula>
    </cfRule>
  </conditionalFormatting>
  <conditionalFormatting sqref="U19">
    <cfRule type="expression" dxfId="418" priority="41">
      <formula>U$7="NÃO"</formula>
    </cfRule>
  </conditionalFormatting>
  <conditionalFormatting sqref="U19">
    <cfRule type="expression" dxfId="417" priority="42">
      <formula>U$7= "SIM"</formula>
    </cfRule>
  </conditionalFormatting>
  <conditionalFormatting sqref="M15">
    <cfRule type="expression" dxfId="416" priority="39">
      <formula>M$7="NÃO"</formula>
    </cfRule>
  </conditionalFormatting>
  <conditionalFormatting sqref="M15">
    <cfRule type="expression" dxfId="415" priority="40">
      <formula>M$7= "SIM"</formula>
    </cfRule>
  </conditionalFormatting>
  <conditionalFormatting sqref="M16">
    <cfRule type="expression" dxfId="414" priority="37">
      <formula>M$7="NÃO"</formula>
    </cfRule>
  </conditionalFormatting>
  <conditionalFormatting sqref="M16">
    <cfRule type="expression" dxfId="413" priority="38">
      <formula>M$7= "SIM"</formula>
    </cfRule>
  </conditionalFormatting>
  <conditionalFormatting sqref="M17">
    <cfRule type="expression" dxfId="412" priority="35">
      <formula>M$7="NÃO"</formula>
    </cfRule>
  </conditionalFormatting>
  <conditionalFormatting sqref="M17">
    <cfRule type="expression" dxfId="411" priority="36">
      <formula>M$7= "SIM"</formula>
    </cfRule>
  </conditionalFormatting>
  <conditionalFormatting sqref="M18">
    <cfRule type="expression" dxfId="410" priority="33">
      <formula>M$7="NÃO"</formula>
    </cfRule>
  </conditionalFormatting>
  <conditionalFormatting sqref="M18">
    <cfRule type="expression" dxfId="409" priority="34">
      <formula>M$7= "SIM"</formula>
    </cfRule>
  </conditionalFormatting>
  <conditionalFormatting sqref="M19">
    <cfRule type="expression" dxfId="408" priority="31">
      <formula>M$7="NÃO"</formula>
    </cfRule>
  </conditionalFormatting>
  <conditionalFormatting sqref="M19">
    <cfRule type="expression" dxfId="407" priority="32">
      <formula>M$7= "SIM"</formula>
    </cfRule>
  </conditionalFormatting>
  <conditionalFormatting sqref="Q15">
    <cfRule type="expression" dxfId="406" priority="29">
      <formula>Q$7="NÃO"</formula>
    </cfRule>
  </conditionalFormatting>
  <conditionalFormatting sqref="Q15">
    <cfRule type="expression" dxfId="405" priority="30">
      <formula>Q$7= "SIM"</formula>
    </cfRule>
  </conditionalFormatting>
  <conditionalFormatting sqref="Q16">
    <cfRule type="expression" dxfId="404" priority="27">
      <formula>Q$7="NÃO"</formula>
    </cfRule>
  </conditionalFormatting>
  <conditionalFormatting sqref="Q16">
    <cfRule type="expression" dxfId="403" priority="28">
      <formula>Q$7= "SIM"</formula>
    </cfRule>
  </conditionalFormatting>
  <conditionalFormatting sqref="Q17">
    <cfRule type="expression" dxfId="402" priority="25">
      <formula>Q$7="NÃO"</formula>
    </cfRule>
  </conditionalFormatting>
  <conditionalFormatting sqref="Q17">
    <cfRule type="expression" dxfId="401" priority="26">
      <formula>Q$7= "SIM"</formula>
    </cfRule>
  </conditionalFormatting>
  <conditionalFormatting sqref="Q18">
    <cfRule type="expression" dxfId="400" priority="23">
      <formula>Q$7="NÃO"</formula>
    </cfRule>
  </conditionalFormatting>
  <conditionalFormatting sqref="Q18">
    <cfRule type="expression" dxfId="399" priority="24">
      <formula>Q$7= "SIM"</formula>
    </cfRule>
  </conditionalFormatting>
  <conditionalFormatting sqref="Q19">
    <cfRule type="expression" dxfId="398" priority="21">
      <formula>Q$7="NÃO"</formula>
    </cfRule>
  </conditionalFormatting>
  <conditionalFormatting sqref="Q19">
    <cfRule type="expression" dxfId="397" priority="22">
      <formula>Q$7= "SIM"</formula>
    </cfRule>
  </conditionalFormatting>
  <conditionalFormatting sqref="I15">
    <cfRule type="expression" dxfId="396" priority="19">
      <formula>I$7="NÃO"</formula>
    </cfRule>
  </conditionalFormatting>
  <conditionalFormatting sqref="I15">
    <cfRule type="expression" dxfId="395" priority="20">
      <formula>I$7= "SIM"</formula>
    </cfRule>
  </conditionalFormatting>
  <conditionalFormatting sqref="I16">
    <cfRule type="expression" dxfId="394" priority="17">
      <formula>I$7="NÃO"</formula>
    </cfRule>
  </conditionalFormatting>
  <conditionalFormatting sqref="I16">
    <cfRule type="expression" dxfId="393" priority="18">
      <formula>I$7= "SIM"</formula>
    </cfRule>
  </conditionalFormatting>
  <conditionalFormatting sqref="I17">
    <cfRule type="expression" dxfId="392" priority="15">
      <formula>I$7="NÃO"</formula>
    </cfRule>
  </conditionalFormatting>
  <conditionalFormatting sqref="I17">
    <cfRule type="expression" dxfId="391" priority="16">
      <formula>I$7= "SIM"</formula>
    </cfRule>
  </conditionalFormatting>
  <conditionalFormatting sqref="I18">
    <cfRule type="expression" dxfId="390" priority="13">
      <formula>I$7="NÃO"</formula>
    </cfRule>
  </conditionalFormatting>
  <conditionalFormatting sqref="I18">
    <cfRule type="expression" dxfId="389" priority="14">
      <formula>I$7= "SIM"</formula>
    </cfRule>
  </conditionalFormatting>
  <conditionalFormatting sqref="I19">
    <cfRule type="expression" dxfId="388" priority="11">
      <formula>I$7="NÃO"</formula>
    </cfRule>
  </conditionalFormatting>
  <conditionalFormatting sqref="I19">
    <cfRule type="expression" dxfId="387" priority="12">
      <formula>I$7= "SIM"</formula>
    </cfRule>
  </conditionalFormatting>
  <conditionalFormatting sqref="E15">
    <cfRule type="expression" dxfId="386" priority="9">
      <formula>E$7="NÃO"</formula>
    </cfRule>
  </conditionalFormatting>
  <conditionalFormatting sqref="E15">
    <cfRule type="expression" dxfId="385" priority="10">
      <formula>E$7= "SIM"</formula>
    </cfRule>
  </conditionalFormatting>
  <conditionalFormatting sqref="E16">
    <cfRule type="expression" dxfId="384" priority="7">
      <formula>E$7="NÃO"</formula>
    </cfRule>
  </conditionalFormatting>
  <conditionalFormatting sqref="E16">
    <cfRule type="expression" dxfId="383" priority="8">
      <formula>E$7= "SIM"</formula>
    </cfRule>
  </conditionalFormatting>
  <conditionalFormatting sqref="E17">
    <cfRule type="expression" dxfId="382" priority="5">
      <formula>E$7="NÃO"</formula>
    </cfRule>
  </conditionalFormatting>
  <conditionalFormatting sqref="E17">
    <cfRule type="expression" dxfId="381" priority="6">
      <formula>E$7= "SIM"</formula>
    </cfRule>
  </conditionalFormatting>
  <conditionalFormatting sqref="E18">
    <cfRule type="expression" dxfId="380" priority="3">
      <formula>E$7="NÃO"</formula>
    </cfRule>
  </conditionalFormatting>
  <conditionalFormatting sqref="E18">
    <cfRule type="expression" dxfId="379" priority="4">
      <formula>E$7= "SIM"</formula>
    </cfRule>
  </conditionalFormatting>
  <conditionalFormatting sqref="E19">
    <cfRule type="expression" dxfId="378" priority="1">
      <formula>E$7="NÃO"</formula>
    </cfRule>
  </conditionalFormatting>
  <conditionalFormatting sqref="E19">
    <cfRule type="expression" dxfId="377" priority="2">
      <formula>E$7= "SIM"</formula>
    </cfRule>
  </conditionalFormatting>
  <pageMargins left="0.511811024" right="0.511811024" top="0.78740157499999996" bottom="0.78740157499999996" header="0" footer="0"/>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outlinePr summaryBelow="0"/>
  </sheetPr>
  <dimension ref="A1:AB104"/>
  <sheetViews>
    <sheetView zoomScale="76" zoomScaleNormal="76" workbookViewId="0">
      <selection activeCell="B1" sqref="B1:B3"/>
    </sheetView>
  </sheetViews>
  <sheetFormatPr defaultColWidth="14.453125" defaultRowHeight="15" customHeight="1" outlineLevelRow="1" x14ac:dyDescent="0.35"/>
  <cols>
    <col min="1" max="1" width="1.7265625" customWidth="1"/>
    <col min="2" max="2" width="60.7265625" customWidth="1"/>
    <col min="3" max="3" width="1.7265625" customWidth="1"/>
    <col min="4" max="4" width="11.7265625" customWidth="1"/>
    <col min="5" max="5" width="15.7265625" customWidth="1"/>
    <col min="6" max="6" width="11.7265625" customWidth="1"/>
    <col min="7" max="7" width="1.7265625" customWidth="1"/>
    <col min="8" max="8" width="11.7265625" customWidth="1"/>
    <col min="9" max="9" width="15.7265625" customWidth="1"/>
    <col min="10" max="10" width="11.7265625" customWidth="1"/>
    <col min="11" max="11" width="1.7265625" customWidth="1"/>
    <col min="12" max="12" width="11.7265625" customWidth="1"/>
    <col min="13" max="13" width="15.7265625" customWidth="1"/>
    <col min="14" max="14" width="11.7265625" customWidth="1"/>
    <col min="15" max="15" width="1.7265625" customWidth="1"/>
    <col min="16" max="16" width="11.7265625" customWidth="1"/>
    <col min="17" max="17" width="15.7265625" customWidth="1"/>
    <col min="18" max="18" width="11.7265625" customWidth="1"/>
    <col min="19" max="19" width="1.7265625" customWidth="1"/>
    <col min="20" max="20" width="11.7265625" customWidth="1"/>
    <col min="21" max="21" width="15.7265625" customWidth="1"/>
    <col min="22" max="22" width="11.7265625" customWidth="1"/>
    <col min="23" max="27" width="8.7265625" hidden="1" customWidth="1"/>
    <col min="28" max="28" width="8.7265625" customWidth="1"/>
  </cols>
  <sheetData>
    <row r="1" spans="1:28" ht="20.149999999999999" customHeight="1" x14ac:dyDescent="0.35">
      <c r="A1" s="402"/>
      <c r="B1" s="2303" t="s">
        <v>869</v>
      </c>
      <c r="C1" s="441"/>
      <c r="D1" s="441"/>
      <c r="E1" s="441"/>
      <c r="F1" s="441"/>
      <c r="G1" s="441"/>
      <c r="H1" s="441"/>
      <c r="I1" s="441"/>
      <c r="J1" s="441"/>
      <c r="K1" s="441"/>
      <c r="L1" s="441"/>
      <c r="M1" s="441"/>
      <c r="N1" s="441"/>
      <c r="O1" s="441"/>
      <c r="P1" s="441"/>
      <c r="Q1" s="441"/>
      <c r="R1" s="441"/>
      <c r="S1" s="441"/>
      <c r="T1" s="441"/>
      <c r="U1" s="441"/>
      <c r="V1" s="441"/>
      <c r="W1" s="402"/>
      <c r="X1" s="402"/>
      <c r="Y1" s="402"/>
      <c r="Z1" s="402"/>
      <c r="AA1" s="402"/>
      <c r="AB1" s="402"/>
    </row>
    <row r="2" spans="1:28" ht="20.149999999999999" customHeight="1" x14ac:dyDescent="0.45">
      <c r="A2" s="442"/>
      <c r="B2" s="2303"/>
      <c r="C2" s="444"/>
      <c r="D2" s="1021">
        <f>('R-Resumo Bal. Massa'!B20+'R-Resumo Bal. Massa'!B21)*(1+'R&amp;C-Painel de Controle'!H57)</f>
        <v>2214</v>
      </c>
      <c r="E2" s="1022" t="s">
        <v>19</v>
      </c>
      <c r="H2" s="1156">
        <f>D2*313</f>
        <v>692982</v>
      </c>
      <c r="I2" s="1155" t="s">
        <v>291</v>
      </c>
      <c r="L2" s="1137" t="str">
        <f>IF(D2&gt;0,"Sim","Não")</f>
        <v>Sim</v>
      </c>
      <c r="M2" s="439"/>
      <c r="N2" s="439"/>
      <c r="O2" s="439"/>
      <c r="P2" s="1157" t="s">
        <v>493</v>
      </c>
      <c r="Q2" s="2294" t="str">
        <f>'R-Definição'!D2</f>
        <v>São Judas Tadeu</v>
      </c>
      <c r="R2" s="2295"/>
      <c r="S2" s="437"/>
      <c r="T2" s="1157" t="s">
        <v>494</v>
      </c>
      <c r="U2" s="2294" t="str">
        <f>'R-Definição'!D3</f>
        <v>Rota Futura 1</v>
      </c>
      <c r="V2" s="2295"/>
      <c r="W2" s="52"/>
      <c r="X2" s="52"/>
      <c r="Y2" s="52"/>
      <c r="Z2" s="52"/>
      <c r="AA2" s="52"/>
      <c r="AB2" s="52"/>
    </row>
    <row r="3" spans="1:28" ht="20.149999999999999" customHeight="1" x14ac:dyDescent="0.35">
      <c r="A3" s="402"/>
      <c r="B3" s="2303"/>
      <c r="C3" s="435"/>
      <c r="D3" s="434"/>
      <c r="E3" s="434"/>
      <c r="F3" s="434"/>
      <c r="G3" s="434"/>
      <c r="H3" s="434"/>
      <c r="I3" s="434"/>
      <c r="J3" s="434"/>
      <c r="K3" s="434"/>
      <c r="L3" s="434"/>
      <c r="M3" s="434"/>
      <c r="N3" s="434"/>
      <c r="O3" s="439"/>
      <c r="P3" s="434"/>
      <c r="Q3" s="434"/>
      <c r="R3" s="434"/>
      <c r="S3" s="434"/>
      <c r="T3" s="434"/>
      <c r="U3" s="434"/>
      <c r="V3" s="434"/>
      <c r="W3" s="37"/>
      <c r="X3" s="37"/>
      <c r="Y3" s="37"/>
      <c r="Z3" s="37"/>
      <c r="AA3" s="37"/>
      <c r="AB3" s="37"/>
    </row>
    <row r="4" spans="1:28" s="328" customFormat="1" ht="7.5" customHeight="1" x14ac:dyDescent="0.35">
      <c r="A4" s="435"/>
      <c r="B4" s="733"/>
      <c r="C4" s="393"/>
      <c r="D4" s="1121"/>
      <c r="E4" s="1121"/>
      <c r="F4" s="1121"/>
      <c r="G4" s="393"/>
      <c r="H4" s="1121"/>
      <c r="I4" s="1121"/>
      <c r="J4" s="1121"/>
      <c r="K4" s="393"/>
      <c r="L4" s="1121"/>
      <c r="M4" s="1121"/>
      <c r="N4" s="1121"/>
      <c r="O4" s="393"/>
      <c r="P4" s="1121"/>
      <c r="Q4" s="1121"/>
      <c r="R4" s="1121"/>
      <c r="S4" s="1027"/>
      <c r="T4" s="1121"/>
      <c r="U4" s="1121"/>
      <c r="V4" s="1028"/>
      <c r="W4" s="326"/>
      <c r="X4" s="326"/>
      <c r="Y4" s="326"/>
      <c r="Z4" s="326"/>
      <c r="AA4" s="326"/>
      <c r="AB4" s="326"/>
    </row>
    <row r="5" spans="1:28" ht="17.899999999999999" customHeight="1" x14ac:dyDescent="0.35">
      <c r="A5" s="402"/>
      <c r="B5" s="993" t="s">
        <v>859</v>
      </c>
      <c r="C5" s="445"/>
      <c r="D5" s="961">
        <v>4.25</v>
      </c>
      <c r="E5" s="998" t="s">
        <v>870</v>
      </c>
      <c r="F5" s="996"/>
      <c r="G5" s="996"/>
      <c r="H5" s="996"/>
      <c r="I5" s="996"/>
      <c r="J5" s="996"/>
      <c r="K5" s="996"/>
      <c r="L5" s="996"/>
      <c r="M5" s="996"/>
      <c r="N5" s="996"/>
      <c r="O5" s="996"/>
      <c r="P5" s="996"/>
      <c r="Q5" s="996"/>
      <c r="R5" s="996"/>
      <c r="S5" s="996"/>
      <c r="T5" s="996"/>
      <c r="U5" s="996"/>
      <c r="V5" s="327"/>
      <c r="W5" s="37"/>
      <c r="X5" s="37"/>
      <c r="Y5" s="37"/>
      <c r="Z5" s="37"/>
      <c r="AA5" s="37"/>
      <c r="AB5" s="37"/>
    </row>
    <row r="6" spans="1:28" s="328" customFormat="1" ht="7.5" customHeight="1" x14ac:dyDescent="0.35">
      <c r="A6" s="435"/>
      <c r="B6" s="733"/>
      <c r="C6" s="393"/>
      <c r="D6" s="1121"/>
      <c r="E6" s="1121"/>
      <c r="F6" s="1121"/>
      <c r="G6" s="393"/>
      <c r="H6" s="1121"/>
      <c r="I6" s="1121"/>
      <c r="J6" s="1121"/>
      <c r="K6" s="393"/>
      <c r="L6" s="1121"/>
      <c r="M6" s="1121"/>
      <c r="N6" s="1121"/>
      <c r="O6" s="393"/>
      <c r="P6" s="1121"/>
      <c r="Q6" s="1121"/>
      <c r="R6" s="1121"/>
      <c r="S6" s="1027"/>
      <c r="T6" s="1121"/>
      <c r="U6" s="1121"/>
      <c r="V6" s="1028"/>
      <c r="W6" s="326"/>
      <c r="X6" s="326"/>
      <c r="Y6" s="326"/>
      <c r="Z6" s="326"/>
      <c r="AA6" s="326"/>
      <c r="AB6" s="326"/>
    </row>
    <row r="7" spans="1:28" s="1143" customFormat="1" ht="20.149999999999999" customHeight="1" x14ac:dyDescent="0.45">
      <c r="A7" s="1003"/>
      <c r="B7" s="977"/>
      <c r="C7" s="977"/>
      <c r="D7" s="977"/>
      <c r="E7" s="1114" t="str">
        <f>IF(AND(L2="Sim",$D$2&gt;D11,$D$2&lt;=F11),"SIM","NÃO")</f>
        <v>NÃO</v>
      </c>
      <c r="F7" s="981"/>
      <c r="G7" s="977"/>
      <c r="H7" s="981"/>
      <c r="I7" s="1141" t="str">
        <f>IF(AND(L2="Sim",$D$2&gt;H11,$D$2&lt;=J11),"SIM","NÃO")</f>
        <v>NÃO</v>
      </c>
      <c r="J7" s="981"/>
      <c r="K7" s="977"/>
      <c r="L7" s="981"/>
      <c r="M7" s="1114" t="str">
        <f>IF(AND(L2="Sim",$D$2&gt;L11,$D$2&lt;=N11),"SIM","NÃO")</f>
        <v>NÃO</v>
      </c>
      <c r="N7" s="981"/>
      <c r="O7" s="1139"/>
      <c r="P7" s="981"/>
      <c r="Q7" s="1114" t="str">
        <f>IF(AND(L2="Sim",$D$2&gt;P11,$D$2&lt;=R11),"SIM","NÃO")</f>
        <v>NÃO</v>
      </c>
      <c r="R7" s="981"/>
      <c r="S7" s="977"/>
      <c r="T7" s="981"/>
      <c r="U7" s="1142" t="str">
        <f>IF(AND(L2="Sim",$D$2&gt;T11,$D$2&lt;=V11*1.5),"SIM","NÃO")</f>
        <v>SIM</v>
      </c>
      <c r="V7" s="977"/>
      <c r="W7" s="1005"/>
      <c r="X7" s="1005"/>
      <c r="Y7" s="1005"/>
      <c r="Z7" s="1005"/>
      <c r="AA7" s="1005"/>
      <c r="AB7" s="1005"/>
    </row>
    <row r="8" spans="1:28" s="328" customFormat="1" ht="7.5" customHeight="1" thickBot="1" x14ac:dyDescent="0.4">
      <c r="A8" s="435"/>
      <c r="B8" s="733"/>
      <c r="C8" s="393"/>
      <c r="D8" s="1121"/>
      <c r="E8" s="1121"/>
      <c r="F8" s="1121"/>
      <c r="G8" s="393"/>
      <c r="H8" s="1121"/>
      <c r="I8" s="1121"/>
      <c r="J8" s="1121"/>
      <c r="K8" s="393"/>
      <c r="L8" s="1121"/>
      <c r="M8" s="1121"/>
      <c r="N8" s="1121"/>
      <c r="O8" s="393"/>
      <c r="P8" s="1121"/>
      <c r="Q8" s="1121"/>
      <c r="R8" s="1121"/>
      <c r="S8" s="1027"/>
      <c r="T8" s="1121"/>
      <c r="U8" s="1121"/>
      <c r="V8" s="1028"/>
      <c r="W8" s="326"/>
      <c r="X8" s="326"/>
      <c r="Y8" s="326"/>
      <c r="Z8" s="326"/>
      <c r="AA8" s="326"/>
      <c r="AB8" s="326"/>
    </row>
    <row r="9" spans="1:28" s="1006" customFormat="1" ht="17.899999999999999" customHeight="1" thickTop="1" thickBot="1" x14ac:dyDescent="0.5">
      <c r="A9" s="1074"/>
      <c r="B9" s="2297" t="s">
        <v>697</v>
      </c>
      <c r="C9" s="1023"/>
      <c r="D9" s="2300" t="s">
        <v>701</v>
      </c>
      <c r="E9" s="2301"/>
      <c r="F9" s="2301"/>
      <c r="G9" s="2301"/>
      <c r="H9" s="2301"/>
      <c r="I9" s="2301"/>
      <c r="J9" s="2301"/>
      <c r="K9" s="2301"/>
      <c r="L9" s="2301"/>
      <c r="M9" s="2301"/>
      <c r="N9" s="2301"/>
      <c r="O9" s="2301"/>
      <c r="P9" s="2301"/>
      <c r="Q9" s="2301"/>
      <c r="R9" s="2301"/>
      <c r="S9" s="2301"/>
      <c r="T9" s="2301"/>
      <c r="U9" s="2301"/>
      <c r="V9" s="2302"/>
      <c r="W9" s="1129"/>
      <c r="X9" s="1009"/>
      <c r="Y9" s="1009"/>
      <c r="Z9" s="1009"/>
      <c r="AA9" s="1009"/>
      <c r="AB9" s="1009"/>
    </row>
    <row r="10" spans="1:28" s="1006" customFormat="1" ht="7.5" customHeight="1" x14ac:dyDescent="0.45">
      <c r="A10" s="1074"/>
      <c r="B10" s="2298"/>
      <c r="C10" s="1023"/>
      <c r="D10" s="1132"/>
      <c r="E10" s="1020"/>
      <c r="F10" s="1020"/>
      <c r="G10" s="978"/>
      <c r="H10" s="1020"/>
      <c r="I10" s="1020"/>
      <c r="J10" s="1020"/>
      <c r="K10" s="978"/>
      <c r="L10" s="1020"/>
      <c r="M10" s="1020"/>
      <c r="N10" s="1020"/>
      <c r="O10" s="978"/>
      <c r="P10" s="1020"/>
      <c r="Q10" s="1020"/>
      <c r="R10" s="1020"/>
      <c r="S10" s="978"/>
      <c r="T10" s="1020"/>
      <c r="U10" s="1020"/>
      <c r="V10" s="1133"/>
      <c r="W10" s="1129"/>
      <c r="X10" s="1009"/>
      <c r="Y10" s="1009"/>
      <c r="Z10" s="1009"/>
      <c r="AA10" s="1009"/>
      <c r="AB10" s="1009"/>
    </row>
    <row r="11" spans="1:28" s="1006" customFormat="1" ht="17.899999999999999" customHeight="1" thickBot="1" x14ac:dyDescent="0.5">
      <c r="A11" s="1074"/>
      <c r="B11" s="2299"/>
      <c r="C11" s="1023"/>
      <c r="D11" s="1124">
        <v>50</v>
      </c>
      <c r="E11" s="1126" t="s">
        <v>19</v>
      </c>
      <c r="F11" s="1126">
        <v>250</v>
      </c>
      <c r="G11" s="1127"/>
      <c r="H11" s="1126">
        <f>F11</f>
        <v>250</v>
      </c>
      <c r="I11" s="1126" t="s">
        <v>19</v>
      </c>
      <c r="J11" s="1126">
        <v>500</v>
      </c>
      <c r="K11" s="1127"/>
      <c r="L11" s="1126">
        <f>J11</f>
        <v>500</v>
      </c>
      <c r="M11" s="1126" t="s">
        <v>19</v>
      </c>
      <c r="N11" s="1126">
        <v>1500</v>
      </c>
      <c r="O11" s="1127"/>
      <c r="P11" s="1126">
        <f>N11</f>
        <v>1500</v>
      </c>
      <c r="Q11" s="1126" t="s">
        <v>19</v>
      </c>
      <c r="R11" s="1126">
        <v>2000</v>
      </c>
      <c r="S11" s="1127"/>
      <c r="T11" s="1126">
        <f>R11</f>
        <v>2000</v>
      </c>
      <c r="U11" s="1126" t="s">
        <v>19</v>
      </c>
      <c r="V11" s="1128">
        <v>2500</v>
      </c>
      <c r="W11" s="1129"/>
      <c r="X11" s="1009"/>
      <c r="Y11" s="1009"/>
      <c r="Z11" s="1009"/>
      <c r="AA11" s="1009"/>
      <c r="AB11" s="1009"/>
    </row>
    <row r="12" spans="1:28" ht="15" customHeight="1" thickTop="1" thickBot="1" x14ac:dyDescent="0.4">
      <c r="A12" s="402"/>
      <c r="B12" s="1130"/>
      <c r="C12" s="875"/>
      <c r="D12" s="1131"/>
      <c r="E12" s="1131"/>
      <c r="F12" s="1131"/>
      <c r="G12" s="875"/>
      <c r="H12" s="1131"/>
      <c r="I12" s="1131"/>
      <c r="J12" s="1131"/>
      <c r="K12" s="875"/>
      <c r="L12" s="1131"/>
      <c r="M12" s="1131"/>
      <c r="N12" s="1131"/>
      <c r="O12" s="875"/>
      <c r="P12" s="1131"/>
      <c r="Q12" s="1131"/>
      <c r="R12" s="1131"/>
      <c r="S12" s="875"/>
      <c r="T12" s="1131"/>
      <c r="U12" s="1131"/>
      <c r="V12" s="1131"/>
      <c r="W12" s="37"/>
      <c r="X12" s="37"/>
      <c r="Y12" s="37"/>
      <c r="Z12" s="37"/>
      <c r="AA12" s="37"/>
      <c r="AB12" s="37"/>
    </row>
    <row r="13" spans="1:28" ht="25.15" customHeight="1" thickTop="1" thickBot="1" x14ac:dyDescent="0.4">
      <c r="A13" s="1071"/>
      <c r="B13" s="1060" t="s">
        <v>497</v>
      </c>
      <c r="C13" s="1025"/>
      <c r="D13" s="1062" t="s">
        <v>858</v>
      </c>
      <c r="E13" s="1063" t="s">
        <v>499</v>
      </c>
      <c r="F13" s="1064" t="s">
        <v>332</v>
      </c>
      <c r="G13" s="997"/>
      <c r="H13" s="1062" t="s">
        <v>858</v>
      </c>
      <c r="I13" s="1063" t="s">
        <v>499</v>
      </c>
      <c r="J13" s="1064" t="s">
        <v>332</v>
      </c>
      <c r="K13" s="997"/>
      <c r="L13" s="1062" t="s">
        <v>858</v>
      </c>
      <c r="M13" s="1063" t="s">
        <v>499</v>
      </c>
      <c r="N13" s="1064" t="s">
        <v>332</v>
      </c>
      <c r="O13" s="997"/>
      <c r="P13" s="1062" t="s">
        <v>858</v>
      </c>
      <c r="Q13" s="1063" t="s">
        <v>499</v>
      </c>
      <c r="R13" s="1064" t="s">
        <v>332</v>
      </c>
      <c r="S13" s="997"/>
      <c r="T13" s="1062" t="s">
        <v>858</v>
      </c>
      <c r="U13" s="1063" t="s">
        <v>499</v>
      </c>
      <c r="V13" s="1064" t="s">
        <v>332</v>
      </c>
      <c r="W13" s="1076"/>
      <c r="X13" s="37"/>
      <c r="Y13" s="37"/>
      <c r="Z13" s="37"/>
      <c r="AA13" s="37"/>
      <c r="AB13" s="37"/>
    </row>
    <row r="14" spans="1:28" ht="7.5" customHeight="1" x14ac:dyDescent="0.35">
      <c r="A14" s="1071"/>
      <c r="B14" s="1088"/>
      <c r="C14" s="1025"/>
      <c r="D14" s="1094"/>
      <c r="E14" s="337"/>
      <c r="F14" s="1039"/>
      <c r="G14" s="1025"/>
      <c r="H14" s="1094"/>
      <c r="I14" s="337"/>
      <c r="J14" s="1039"/>
      <c r="K14" s="1025"/>
      <c r="L14" s="1094"/>
      <c r="M14" s="337"/>
      <c r="N14" s="1039"/>
      <c r="O14" s="1025"/>
      <c r="P14" s="1094"/>
      <c r="Q14" s="337"/>
      <c r="R14" s="1039"/>
      <c r="S14" s="1025"/>
      <c r="T14" s="1094"/>
      <c r="U14" s="337"/>
      <c r="V14" s="1039"/>
      <c r="W14" s="1076"/>
      <c r="X14" s="37"/>
      <c r="Y14" s="37"/>
      <c r="Z14" s="37"/>
      <c r="AA14" s="37"/>
      <c r="AB14" s="37"/>
    </row>
    <row r="15" spans="1:28" s="817" customFormat="1" ht="20.149999999999999" customHeight="1" x14ac:dyDescent="0.35">
      <c r="A15" s="1072"/>
      <c r="B15" s="1035" t="s">
        <v>427</v>
      </c>
      <c r="C15" s="997"/>
      <c r="D15" s="1581">
        <f>IF('R-Definição'!$I$34="Alta",(14961570+179440+150030)/313000,(14961570+179440+150030)/313000*0.85)</f>
        <v>41.525188498402549</v>
      </c>
      <c r="E15" s="1514" t="str">
        <f>IF(E7="SIM",(((((H15*(($D$2-D11)/(F11-D11))*$H$2/1000)*E21*$D$5*(1+'R&amp;C-Painel de Controle'!$D$62)+(H15*(($D$2-D11)/(F11-D11))*$H$2/1000)*(1-E21)*'R&amp;C-Painel de Controle'!$D$53*(1+'R&amp;C-Painel de Controle'!$D$55)))+(((D15*((F11-$D$2)/(F11-D11))*$H$2/1000)*E21*$D$5*(1+'R&amp;C-Painel de Controle'!$D$62)+(D15*((F11-$D$2)/(F11-D11))*$H$2/1000)*(1-E21)*'R&amp;C-Painel de Controle'!$D$53*(1+'R&amp;C-Painel de Controle'!$D$55))))/1000)*0.8+(((((H15*(($D$2-D11)/(F11-D11))*313000/1000)*E21*$D$5*(1+'R&amp;C-Painel de Controle'!$D$62)+(H15*(($D$2-D11)/(F11-D11))*313000/1000)*(1-E21)*'R&amp;C-Painel de Controle'!$D$53*(1+'R&amp;C-Painel de Controle'!$D$55)))+(((D15*((F11-$D$2)/(F11-D11))*313000/1000)*E21*$D$5*(1+'R&amp;C-Painel de Controle'!$D$62)+(D15*((F11-$D$2)/(F11-D11))*313000/1000)*(1-E21)*'R&amp;C-Painel de Controle'!$D$53*(1+'R&amp;C-Painel de Controle'!$D$55))))/1000)*0.2, "-")</f>
        <v>-</v>
      </c>
      <c r="F15" s="1515">
        <v>0.1</v>
      </c>
      <c r="G15" s="1026"/>
      <c r="H15" s="1581">
        <f>IF('R-Definição'!$I$34="Alta",(14961570+179440+150030)/313000,(14961570+179440+150030)/313000*0.85)</f>
        <v>41.525188498402549</v>
      </c>
      <c r="I15" s="1514" t="str">
        <f>IF(I7="SIM",(((((L15*(($D$2-H11)/(J11-H11))*$H$2/1000)*I21*$D$5*(1+'R&amp;C-Painel de Controle'!$D$62)+(L15*(($D$2-H11)/(J11-H11))*$H$2/1000)*(1-I21)*'R&amp;C-Painel de Controle'!$D$53*(1+'R&amp;C-Painel de Controle'!$D$55)))+(((H15*((J11-$D$2)/(J11-H11))*$H$2/1000)*I21*$D$5*(1+'R&amp;C-Painel de Controle'!$D$62)+(H15*((J11-$D$2)/(J11-H11))*$H$2/1000)*(1-I21)*'R&amp;C-Painel de Controle'!$D$53*(1+'R&amp;C-Painel de Controle'!$D$55))))/1000)*0.8+(((((L15*(($D$2-H11)/(J11-H11))*313000/1000)*I21*$D$5*(1+'R&amp;C-Painel de Controle'!$D$62)+(L15*(($D$2-H11)/(J11-H11))*313000/1000)*(1-I21)*'R&amp;C-Painel de Controle'!$D$53*(1+'R&amp;C-Painel de Controle'!$D$55)))+(((H15*((J11-$D$2)/(J11-H11))*313000/1000)*I21*$D$5*(1+'R&amp;C-Painel de Controle'!$D$62)+(H15*((J11-$D$2)/(J11-H11))*313000/1000)*(1-I21)*'R&amp;C-Painel de Controle'!$D$53*(1+'R&amp;C-Painel de Controle'!$D$55))))/1000)*0.2, "-")</f>
        <v>-</v>
      </c>
      <c r="J15" s="1515">
        <v>0.1</v>
      </c>
      <c r="K15" s="1026"/>
      <c r="L15" s="1581">
        <f>IF('R-Definição'!$I$34="Alta",(14961570+179440+150030)/313000,(14961570+179440+150030)/313000*0.85)</f>
        <v>41.525188498402549</v>
      </c>
      <c r="M15" s="1514" t="str">
        <f>IF(M7="SIM",((((P15*(($D$2-L11)/(N11-L11))*$H$2/1000)*M21*$D$5*(1+'R&amp;C-Painel de Controle'!$D$62)+(P15*(($D$2-L11)/(N11-L11))*$H$2/1000)*(1-M21)*'R&amp;C-Painel de Controle'!$D$53*(1+'R&amp;C-Painel de Controle'!$D$55)))+(((L15*((N11-$D$2)/(N11-L11))*$H$2/1000)*M21*$D$5*(1+'R&amp;C-Painel de Controle'!$D$62)+(L15*((N11-$D$2)/(N11-L11))*$H$2/1000)*(1-M21)*'R&amp;C-Painel de Controle'!$D$53*(1+'R&amp;C-Painel de Controle'!$D$55))))/1000, "-")</f>
        <v>-</v>
      </c>
      <c r="N15" s="1515">
        <v>0.1</v>
      </c>
      <c r="O15" s="1026"/>
      <c r="P15" s="1581">
        <f>IF('R-Definição'!$I$34="Alta",(14961570+179440+150030)/313000,(14961570+179440+150030)/313000*0.85)</f>
        <v>41.525188498402549</v>
      </c>
      <c r="Q15" s="1514" t="str">
        <f>IF(Q7="SIM",(((P15*$H$2/1000)*1*Q21*$D$5*(1+'R&amp;C-Painel de Controle'!$D$62)+(P15*$H$2/1000)*1*(1-Q21)*'R&amp;C-Painel de Controle'!$D$53*(1+'R&amp;C-Painel de Controle'!$D$55))/1000), "-")</f>
        <v>-</v>
      </c>
      <c r="R15" s="1515">
        <v>0.1</v>
      </c>
      <c r="S15" s="1582"/>
      <c r="T15" s="1581">
        <f>IF('R-Definição'!$I$34="Alta",(14961570+179440+150030)/313000,(14961570+179440+150030)/313000*0.85)</f>
        <v>41.525188498402549</v>
      </c>
      <c r="U15" s="1514">
        <f>IF(U7="SIM",(((T15*$H$2/1000)*1*U21*$D$5*(1+'R&amp;C-Painel de Controle'!$D$62)+(T15*$H$2/1000)*1*(1-U21)*'R&amp;C-Painel de Controle'!$D$53*(1+'R&amp;C-Painel de Controle'!$D$55))/1000), "-")</f>
        <v>173.73635686259999</v>
      </c>
      <c r="V15" s="1515">
        <v>0.1</v>
      </c>
      <c r="W15" s="1077">
        <v>35.170799280000004</v>
      </c>
      <c r="X15" s="816">
        <v>50.558023964999997</v>
      </c>
      <c r="Y15" s="816">
        <v>109.90874775</v>
      </c>
      <c r="Z15" s="816">
        <v>192.34030856249998</v>
      </c>
      <c r="AA15" s="816">
        <v>247.2946824375</v>
      </c>
      <c r="AB15" s="44"/>
    </row>
    <row r="16" spans="1:28" s="817" customFormat="1" ht="20.149999999999999" customHeight="1" x14ac:dyDescent="0.35">
      <c r="A16" s="1072"/>
      <c r="B16" s="1035" t="s">
        <v>698</v>
      </c>
      <c r="C16" s="997"/>
      <c r="D16" s="1516">
        <v>2000</v>
      </c>
      <c r="E16" s="1514" t="str">
        <f>(IF(E$7="SIM",(((D17-F17)*'R&amp;C-Painel de Controle'!$D$58+F17*('R&amp;C-Painel de Controle'!$D$61)+(((75)+(15+E30/5*30)+(25+E30/10*25))*D16)))/1000000,"-"))</f>
        <v>-</v>
      </c>
      <c r="F16" s="1517">
        <v>0.05</v>
      </c>
      <c r="G16" s="1026"/>
      <c r="H16" s="1516">
        <v>2000</v>
      </c>
      <c r="I16" s="1514" t="str">
        <f>(IF(I$7="SIM",(((H17-J17)*'R&amp;C-Painel de Controle'!$D$58+J17*('R&amp;C-Painel de Controle'!$D$61)+(((150)+(15+I30/5*30)+(25+I30/10*25))*H16)))/1000000,"-"))</f>
        <v>-</v>
      </c>
      <c r="J16" s="1517">
        <v>0.05</v>
      </c>
      <c r="K16" s="1026"/>
      <c r="L16" s="1516">
        <v>2000</v>
      </c>
      <c r="M16" s="1514" t="str">
        <f>(IF(M$7="SIM",(((L17-N17)*'R&amp;C-Painel de Controle'!$D$58+N17*('R&amp;C-Painel de Controle'!$D$61)+(((150)+(15+M30/5*30)+(25+M30/10*25))*L16)))/1000000,"-"))</f>
        <v>-</v>
      </c>
      <c r="N16" s="1517">
        <v>0.05</v>
      </c>
      <c r="O16" s="1026"/>
      <c r="P16" s="1516">
        <v>2000</v>
      </c>
      <c r="Q16" s="1514" t="str">
        <f>(IF(Q$7="SIM",(((P17-R17)*'R&amp;C-Painel de Controle'!$D$58+R17*('R&amp;C-Painel de Controle'!$D$61)+(((250)+(15+Q30/5*30)+(25+Q30/10*25))*P16)))/1000000,"-"))</f>
        <v>-</v>
      </c>
      <c r="R16" s="1517">
        <v>0.05</v>
      </c>
      <c r="S16" s="1582"/>
      <c r="T16" s="1516">
        <v>2000</v>
      </c>
      <c r="U16" s="1514">
        <f>(IF(U$7="SIM",(((T17-V17)*'R&amp;C-Painel de Controle'!$D$58+V17*('R&amp;C-Painel de Controle'!$D$61)+(((250)+(15+U30/5*30)+(25+U30/10*25))*T16)))/1000000,"-"))</f>
        <v>40.415300698475775</v>
      </c>
      <c r="V16" s="1517">
        <v>0.05</v>
      </c>
      <c r="W16" s="1077">
        <v>8.0029804791094481</v>
      </c>
      <c r="X16" s="816">
        <v>9.735510696599782</v>
      </c>
      <c r="Y16" s="816">
        <v>15.844336665618133</v>
      </c>
      <c r="Z16" s="816">
        <v>19.108266044899672</v>
      </c>
      <c r="AA16" s="816">
        <v>27.725632137977193</v>
      </c>
      <c r="AB16" s="44"/>
    </row>
    <row r="17" spans="1:28" s="817" customFormat="1" ht="20.149999999999999" customHeight="1" x14ac:dyDescent="0.35">
      <c r="A17" s="1072"/>
      <c r="B17" s="1035" t="s">
        <v>857</v>
      </c>
      <c r="C17" s="997"/>
      <c r="D17" s="1518">
        <f>(2*(20*(20+(SQRT(F17))+20))+2*(20*(F17/(SQRT(F17))))+F17+((75)+(15+E30/5*30)+(25+E30/10*25)))</f>
        <v>12134.725575051662</v>
      </c>
      <c r="E17" s="1514" t="str">
        <f>(IF(E$7="SIM",('R&amp;C-Painel de Controle'!$D$56+0.25)*D17/1000000,"-"))</f>
        <v>-</v>
      </c>
      <c r="F17" s="1519">
        <f>IF('R-Definição'!$I$34="Alta",(50*15+50*100+50*10),(50*15+50*100+50*10)*0.75)</f>
        <v>4687.5</v>
      </c>
      <c r="G17" s="1026"/>
      <c r="H17" s="1518">
        <f>(2*(20*(20+(SQRT(J17))+20))+2*(20*(J17/(SQRT(J17))))+J17+((150)+(15+I30/5*30)+(25+I30/10*25)))</f>
        <v>14241.773353931867</v>
      </c>
      <c r="I17" s="1514" t="str">
        <f>(IF(I$7="SIM",('R&amp;C-Painel de Controle'!$D$56+0.25)*H17/1000000,"-"))</f>
        <v>-</v>
      </c>
      <c r="J17" s="1519">
        <f>IF('R-Definição'!$I$34="Alta",(50*20+50*125+50*15),(50*20+50*125+50*15)*0.75)</f>
        <v>6000</v>
      </c>
      <c r="K17" s="1026"/>
      <c r="L17" s="1518">
        <f>(2*(20*(20+(SQRT(N17))+20))+2*(20*(N17/(SQRT(N17))))+N17+((150)+(15+M30/5*30)+(25+M30/10*25)))</f>
        <v>21780.28137423857</v>
      </c>
      <c r="M17" s="1514" t="str">
        <f>(IF(M$7="SIM",('R&amp;C-Painel de Controle'!$D$56+0.25)*L17/1000000,"-"))</f>
        <v>-</v>
      </c>
      <c r="N17" s="1519">
        <f>IF('R-Definição'!$I$34="Alta",(75*30+75*150+75*20),((75*30+75*150+75*20)*0.75))</f>
        <v>11250</v>
      </c>
      <c r="O17" s="1026"/>
      <c r="P17" s="1518">
        <f>(2*(20*(20+(SQRT(R17))+20))+2*(20*(R17/(SQRT(R17))))+R17+((250)+(15+Q30/5*30)+(25+Q30/10*25)))</f>
        <v>25195.160030897801</v>
      </c>
      <c r="Q17" s="1514" t="str">
        <f>(IF(Q$7="SIM",('R&amp;C-Painel de Controle'!$D$56+0.25)*P17/1000000,"-"))</f>
        <v>-</v>
      </c>
      <c r="R17" s="1519">
        <f>IF('R-Definição'!$I$34="Alta",(75*40+75*175+75*25),((75*40+75*175+75*25)*0.75))</f>
        <v>13500</v>
      </c>
      <c r="S17" s="1026"/>
      <c r="T17" s="1518">
        <f>(2*(20*(20+(SQRT(V17))+20))+2*(20*(V17/(SQRT(V17))))+V17+((250)+(15+U30/5*30)+(25+U30/10*25)))</f>
        <v>35120.601396951548</v>
      </c>
      <c r="U17" s="1514">
        <f>(IF(U$7="SIM",('R&amp;C-Painel de Controle'!$D$56+0.25)*T17/1000000,"-"))</f>
        <v>3.169634276074877</v>
      </c>
      <c r="V17" s="1519">
        <f>IF('R-Definição'!$I$34="Alta",(100*50+100*200+100*30),((100*50+100*200+100*30)*0.75))</f>
        <v>21000</v>
      </c>
      <c r="W17" s="1077">
        <v>1.2757099788303083</v>
      </c>
      <c r="X17" s="816">
        <v>1.5079875775199396</v>
      </c>
      <c r="Y17" s="816">
        <v>2.3758163074019443</v>
      </c>
      <c r="Z17" s="816">
        <v>2.7299813662799091</v>
      </c>
      <c r="AA17" s="816">
        <v>3.8687904382090688</v>
      </c>
      <c r="AB17" s="44"/>
    </row>
    <row r="18" spans="1:28" s="817" customFormat="1" ht="20.149999999999999" customHeight="1" x14ac:dyDescent="0.35">
      <c r="A18" s="1072"/>
      <c r="B18" s="1035" t="s">
        <v>495</v>
      </c>
      <c r="C18" s="997"/>
      <c r="D18" s="1583" t="str">
        <f>IF(E7="SIM",(E15+E16)*F18*1000/$H$2,"-")</f>
        <v>-</v>
      </c>
      <c r="E18" s="1514" t="str">
        <f>(IF(E$7="SIM",$H$2*D18/1000,"-"))</f>
        <v>-</v>
      </c>
      <c r="F18" s="1515">
        <v>7.4999999999999997E-2</v>
      </c>
      <c r="G18" s="1026"/>
      <c r="H18" s="1583" t="str">
        <f>IF(I7="SIM",(I15+I16)*J18*1000/$H$2,"-")</f>
        <v>-</v>
      </c>
      <c r="I18" s="1514" t="str">
        <f>(IF(I$7="SIM",$H$2*H18/1000,"-"))</f>
        <v>-</v>
      </c>
      <c r="J18" s="1515">
        <v>7.4999999999999997E-2</v>
      </c>
      <c r="K18" s="1026"/>
      <c r="L18" s="1583" t="str">
        <f>IF(M7="SIM",(M15+M16)*N18*1000/$H$2,"-")</f>
        <v>-</v>
      </c>
      <c r="M18" s="1514" t="str">
        <f>(IF(M$7="SIM",$H$2*L18/1000,"-"))</f>
        <v>-</v>
      </c>
      <c r="N18" s="1515">
        <v>7.4999999999999997E-2</v>
      </c>
      <c r="O18" s="1026"/>
      <c r="P18" s="1583" t="str">
        <f>IF(Q7="SIM",(Q15+Q16)*R18*1000/$H$2,"-")</f>
        <v>-</v>
      </c>
      <c r="Q18" s="1514" t="str">
        <f>(IF(Q$7="SIM",$H$2*P18/1000,"-"))</f>
        <v>-</v>
      </c>
      <c r="R18" s="1515">
        <v>7.4999999999999997E-2</v>
      </c>
      <c r="S18" s="1026"/>
      <c r="T18" s="1583">
        <f>IF(U7="SIM",(U15+U16)*V18*1000/$H$2,"-")</f>
        <v>1.5451458880683465E-2</v>
      </c>
      <c r="U18" s="1514">
        <f>(IF(U$7="SIM",$H$2*T18/1000,"-"))</f>
        <v>10.707582878053788</v>
      </c>
      <c r="V18" s="1515">
        <v>0.05</v>
      </c>
      <c r="W18" s="1077">
        <v>2.1586889879554727</v>
      </c>
      <c r="X18" s="816">
        <v>3.0146767330799893</v>
      </c>
      <c r="Y18" s="816">
        <v>9.4314813311713603</v>
      </c>
      <c r="Z18" s="816">
        <v>10.572428730369984</v>
      </c>
      <c r="AA18" s="816">
        <v>13.75101572877386</v>
      </c>
      <c r="AB18" s="44"/>
    </row>
    <row r="19" spans="1:28" s="1006" customFormat="1" ht="25.15" customHeight="1" collapsed="1" thickBot="1" x14ac:dyDescent="0.5">
      <c r="A19" s="1073"/>
      <c r="B19" s="1036" t="s">
        <v>428</v>
      </c>
      <c r="C19" s="1026"/>
      <c r="D19" s="1521">
        <v>0.05</v>
      </c>
      <c r="E19" s="1037" t="str">
        <f>IF(E7="SIM",SUM(E15:E18)*(1+D19),"-")</f>
        <v>-</v>
      </c>
      <c r="F19" s="1112" t="s">
        <v>332</v>
      </c>
      <c r="G19" s="1026"/>
      <c r="H19" s="1521">
        <v>0.05</v>
      </c>
      <c r="I19" s="1037" t="str">
        <f>IF(I7="SIM",SUM(I15:I18)*(1+H19),"-")</f>
        <v>-</v>
      </c>
      <c r="J19" s="1112" t="s">
        <v>332</v>
      </c>
      <c r="K19" s="1026"/>
      <c r="L19" s="1521">
        <v>0.05</v>
      </c>
      <c r="M19" s="1037" t="str">
        <f>IF(M7="SIM",SUM(M15:M18)*(1+L19),"-")</f>
        <v>-</v>
      </c>
      <c r="N19" s="1112" t="s">
        <v>332</v>
      </c>
      <c r="O19" s="1026"/>
      <c r="P19" s="1520">
        <v>7.4999999999999997E-2</v>
      </c>
      <c r="Q19" s="1037" t="str">
        <f>IF(Q7="SIM",SUM(Q15:Q18)*(1+P19),"-")</f>
        <v>-</v>
      </c>
      <c r="R19" s="1112" t="s">
        <v>332</v>
      </c>
      <c r="S19" s="1026"/>
      <c r="T19" s="1520">
        <v>7.4999999999999997E-2</v>
      </c>
      <c r="U19" s="1037">
        <f>IF(U7="SIM",SUM(U15:U18)*(1+T19),"-")</f>
        <v>245.13104031884473</v>
      </c>
      <c r="V19" s="1112" t="s">
        <v>332</v>
      </c>
      <c r="W19" s="1078">
        <v>48.938587662189995</v>
      </c>
      <c r="X19" s="1004">
        <v>68.057008920809707</v>
      </c>
      <c r="Y19" s="1004">
        <v>144.43840115690102</v>
      </c>
      <c r="Z19" s="1004">
        <v>241.60730855685324</v>
      </c>
      <c r="AA19" s="1004">
        <v>314.58812979814462</v>
      </c>
      <c r="AB19" s="1005"/>
    </row>
    <row r="20" spans="1:28" ht="17.899999999999999" hidden="1" customHeight="1" outlineLevel="1" x14ac:dyDescent="0.35">
      <c r="A20" s="402"/>
      <c r="B20" s="1085" t="s">
        <v>429</v>
      </c>
      <c r="C20" s="875"/>
      <c r="D20" s="1086" t="s">
        <v>332</v>
      </c>
      <c r="E20" s="1087" t="str">
        <f>IF(E7="SIM",E19*1000000/$H$2,"-")</f>
        <v>-</v>
      </c>
      <c r="F20" s="1086" t="s">
        <v>332</v>
      </c>
      <c r="G20" s="875"/>
      <c r="H20" s="1086" t="s">
        <v>332</v>
      </c>
      <c r="I20" s="1087" t="str">
        <f>IF(I7="SIM",I19*1000000/$H$2,"-")</f>
        <v>-</v>
      </c>
      <c r="J20" s="1086" t="s">
        <v>332</v>
      </c>
      <c r="K20" s="875"/>
      <c r="L20" s="1086" t="s">
        <v>332</v>
      </c>
      <c r="M20" s="1087" t="str">
        <f>IF(M7="SIM",M19*1000000/$H$2,"-")</f>
        <v>-</v>
      </c>
      <c r="N20" s="1086" t="s">
        <v>332</v>
      </c>
      <c r="O20" s="875"/>
      <c r="P20" s="1086" t="s">
        <v>332</v>
      </c>
      <c r="Q20" s="1087" t="str">
        <f>IF(Q7="SIM",Q19*1000000/$H$2,"-")</f>
        <v>-</v>
      </c>
      <c r="R20" s="1086" t="s">
        <v>332</v>
      </c>
      <c r="S20" s="875"/>
      <c r="T20" s="1086" t="s">
        <v>332</v>
      </c>
      <c r="U20" s="1087">
        <f>IF(U7="SIM",U19*1000000/$H$2,"-")</f>
        <v>353.73363279110384</v>
      </c>
      <c r="V20" s="1086" t="s">
        <v>332</v>
      </c>
      <c r="W20" s="42">
        <v>1042.3554347644301</v>
      </c>
      <c r="X20" s="42">
        <v>669.02933321022067</v>
      </c>
      <c r="Y20" s="42">
        <v>461.4645404373835</v>
      </c>
      <c r="Z20" s="42">
        <v>441.09047659854537</v>
      </c>
      <c r="AA20" s="42">
        <v>446.69950983052132</v>
      </c>
      <c r="AB20" s="37"/>
    </row>
    <row r="21" spans="1:28" ht="17.899999999999999" hidden="1" customHeight="1" outlineLevel="1" x14ac:dyDescent="0.35">
      <c r="A21" s="402"/>
      <c r="B21" s="230" t="s">
        <v>696</v>
      </c>
      <c r="C21" s="875"/>
      <c r="D21" s="338"/>
      <c r="E21" s="340">
        <f>'R&amp;C-Painel de Controle'!$G$57</f>
        <v>0.45</v>
      </c>
      <c r="F21" s="339"/>
      <c r="G21" s="876"/>
      <c r="H21" s="339"/>
      <c r="I21" s="340">
        <f>'R&amp;C-Painel de Controle'!$G$57</f>
        <v>0.45</v>
      </c>
      <c r="J21" s="339"/>
      <c r="K21" s="876"/>
      <c r="L21" s="339"/>
      <c r="M21" s="340">
        <f>'R&amp;C-Painel de Controle'!$G$57</f>
        <v>0.45</v>
      </c>
      <c r="N21" s="339"/>
      <c r="O21" s="876"/>
      <c r="P21" s="339"/>
      <c r="Q21" s="340">
        <f>'R&amp;C-Painel de Controle'!$G$57</f>
        <v>0.45</v>
      </c>
      <c r="R21" s="339"/>
      <c r="S21" s="876"/>
      <c r="T21" s="339"/>
      <c r="U21" s="340">
        <f>'R&amp;C-Painel de Controle'!$G$57</f>
        <v>0.45</v>
      </c>
      <c r="V21" s="337"/>
      <c r="W21" s="37"/>
      <c r="X21" s="54">
        <f t="shared" ref="X21:AA21" si="0">(X20-W20)/X20</f>
        <v>-0.55801155946760839</v>
      </c>
      <c r="Y21" s="54">
        <f t="shared" si="0"/>
        <v>-0.44979575803615141</v>
      </c>
      <c r="Z21" s="54">
        <f t="shared" si="0"/>
        <v>-4.6190214751295609E-2</v>
      </c>
      <c r="AA21" s="54">
        <f t="shared" si="0"/>
        <v>1.2556613805338705E-2</v>
      </c>
      <c r="AB21" s="37"/>
    </row>
    <row r="22" spans="1:28" ht="17.899999999999999" hidden="1" customHeight="1" outlineLevel="1" x14ac:dyDescent="0.35">
      <c r="A22" s="402"/>
      <c r="B22" s="879"/>
      <c r="C22" s="875"/>
      <c r="D22" s="338"/>
      <c r="E22" s="337"/>
      <c r="F22" s="337"/>
      <c r="G22" s="875"/>
      <c r="H22" s="337"/>
      <c r="I22" s="341" t="str">
        <f>IF(I14="SIM",(((H22*0.8*$H$2/1000)*1*I30*$D$5*(1+'R&amp;C-Painel de Controle'!$D$55)+(H22*0.8*$H$2/1000)*1*(1-I30)*'R&amp;C-Painel de Controle'!$D$53*(1+'R&amp;C-Painel de Controle'!$D$55))/1000)+(((H22*0.2*313000/1000)*1*I30*$D$5*(1+'R&amp;C-Painel de Controle'!$D$55)+(H22*0.2*313000/1000)*1*(1-I30)*'R&amp;C-Painel de Controle'!$D$53*(1+'R&amp;C-Painel de Controle'!$D$55))/1000), "-")</f>
        <v>-</v>
      </c>
      <c r="J22" s="337"/>
      <c r="K22" s="875"/>
      <c r="L22" s="337"/>
      <c r="M22" s="337"/>
      <c r="N22" s="337"/>
      <c r="O22" s="875"/>
      <c r="P22" s="337"/>
      <c r="Q22" s="337"/>
      <c r="R22" s="337"/>
      <c r="S22" s="875"/>
      <c r="T22" s="337"/>
      <c r="U22" s="337"/>
      <c r="V22" s="337"/>
      <c r="W22" s="37"/>
      <c r="X22" s="37"/>
      <c r="Y22" s="37"/>
      <c r="Z22" s="37"/>
      <c r="AA22" s="37"/>
      <c r="AB22" s="37"/>
    </row>
    <row r="23" spans="1:28" ht="17.899999999999999" hidden="1" customHeight="1" outlineLevel="1" x14ac:dyDescent="0.35">
      <c r="A23" s="402"/>
      <c r="B23" s="878" t="s">
        <v>492</v>
      </c>
      <c r="C23" s="875"/>
      <c r="D23" s="342"/>
      <c r="E23" s="341" t="str">
        <f>IF(E7="SIM",(E15*F15+E16*F16)/4,"-")</f>
        <v>-</v>
      </c>
      <c r="F23" s="337"/>
      <c r="G23" s="875"/>
      <c r="H23" s="337"/>
      <c r="I23" s="341" t="str">
        <f>IF(I7="SIM",(I15*J15+I16*J16)/4,"-")</f>
        <v>-</v>
      </c>
      <c r="J23" s="337"/>
      <c r="K23" s="875"/>
      <c r="L23" s="337"/>
      <c r="M23" s="341" t="str">
        <f>IF(M7="SIM",(M15*N15+M16*N16)/4,"-")</f>
        <v>-</v>
      </c>
      <c r="N23" s="337"/>
      <c r="O23" s="875"/>
      <c r="P23" s="337"/>
      <c r="Q23" s="341" t="str">
        <f>IF(Q7="SIM",(Q15*R15+Q16*R16)/4,"-")</f>
        <v>-</v>
      </c>
      <c r="R23" s="337"/>
      <c r="S23" s="875"/>
      <c r="T23" s="337"/>
      <c r="U23" s="341">
        <f>IF(U7="SIM",(U15*V15+U16*V16)/4,"-")</f>
        <v>4.8486001802959464</v>
      </c>
      <c r="V23" s="337"/>
      <c r="W23" s="33"/>
      <c r="X23" s="33"/>
      <c r="Y23" s="33"/>
      <c r="Z23" s="33"/>
      <c r="AA23" s="33"/>
      <c r="AB23" s="37"/>
    </row>
    <row r="24" spans="1:28" ht="15" customHeight="1" thickTop="1" thickBot="1" x14ac:dyDescent="0.4">
      <c r="A24" s="402"/>
      <c r="B24" s="1045"/>
      <c r="C24" s="875"/>
      <c r="D24" s="1046"/>
      <c r="E24" s="1046"/>
      <c r="F24" s="1046"/>
      <c r="G24" s="875"/>
      <c r="H24" s="1046"/>
      <c r="I24" s="1046"/>
      <c r="J24" s="1046"/>
      <c r="K24" s="875"/>
      <c r="L24" s="1046"/>
      <c r="M24" s="1046"/>
      <c r="N24" s="1046"/>
      <c r="O24" s="875"/>
      <c r="P24" s="1046"/>
      <c r="Q24" s="1046"/>
      <c r="R24" s="1046"/>
      <c r="S24" s="875"/>
      <c r="T24" s="1046"/>
      <c r="U24" s="1046"/>
      <c r="V24" s="1046"/>
      <c r="W24" s="33"/>
      <c r="X24" s="33"/>
      <c r="Y24" s="33"/>
      <c r="Z24" s="33"/>
      <c r="AA24" s="33"/>
      <c r="AB24" s="37"/>
    </row>
    <row r="25" spans="1:28" s="1006" customFormat="1" ht="25.15" customHeight="1" thickTop="1" thickBot="1" x14ac:dyDescent="0.5">
      <c r="A25" s="1074"/>
      <c r="B25" s="1136" t="s">
        <v>496</v>
      </c>
      <c r="C25" s="1023"/>
      <c r="D25" s="1065" t="s">
        <v>858</v>
      </c>
      <c r="E25" s="1066" t="s">
        <v>867</v>
      </c>
      <c r="F25" s="1067" t="s">
        <v>332</v>
      </c>
      <c r="G25" s="393"/>
      <c r="H25" s="1068" t="s">
        <v>858</v>
      </c>
      <c r="I25" s="1069" t="s">
        <v>867</v>
      </c>
      <c r="J25" s="1070" t="s">
        <v>332</v>
      </c>
      <c r="K25" s="393"/>
      <c r="L25" s="1068" t="s">
        <v>858</v>
      </c>
      <c r="M25" s="1069" t="s">
        <v>867</v>
      </c>
      <c r="N25" s="1070" t="s">
        <v>332</v>
      </c>
      <c r="O25" s="393"/>
      <c r="P25" s="1068" t="s">
        <v>858</v>
      </c>
      <c r="Q25" s="1069" t="s">
        <v>867</v>
      </c>
      <c r="R25" s="1070" t="s">
        <v>332</v>
      </c>
      <c r="S25" s="393"/>
      <c r="T25" s="1068" t="s">
        <v>858</v>
      </c>
      <c r="U25" s="1069" t="s">
        <v>867</v>
      </c>
      <c r="V25" s="1070" t="s">
        <v>332</v>
      </c>
      <c r="W25" s="1081"/>
      <c r="X25" s="1008"/>
      <c r="Y25" s="1008"/>
      <c r="Z25" s="1008"/>
      <c r="AA25" s="1008"/>
      <c r="AB25" s="1009"/>
    </row>
    <row r="26" spans="1:28" ht="7.5" customHeight="1" x14ac:dyDescent="0.35">
      <c r="A26" s="1071"/>
      <c r="B26" s="1135"/>
      <c r="C26" s="1025"/>
      <c r="D26" s="1094"/>
      <c r="E26" s="343"/>
      <c r="F26" s="1095"/>
      <c r="G26" s="1079"/>
      <c r="H26" s="1100"/>
      <c r="I26" s="343"/>
      <c r="J26" s="1096"/>
      <c r="K26" s="1079"/>
      <c r="L26" s="1101"/>
      <c r="M26" s="343"/>
      <c r="N26" s="1096"/>
      <c r="O26" s="1079"/>
      <c r="P26" s="1101"/>
      <c r="Q26" s="343"/>
      <c r="R26" s="1096"/>
      <c r="S26" s="1079"/>
      <c r="T26" s="1101"/>
      <c r="U26" s="343"/>
      <c r="V26" s="1102"/>
      <c r="W26" s="1082"/>
      <c r="X26" s="37"/>
      <c r="Y26" s="37"/>
      <c r="Z26" s="37"/>
      <c r="AA26" s="37"/>
      <c r="AB26" s="56"/>
    </row>
    <row r="27" spans="1:28" s="817" customFormat="1" ht="20.149999999999999" customHeight="1" collapsed="1" x14ac:dyDescent="0.35">
      <c r="A27" s="1072"/>
      <c r="B27" s="1035" t="s">
        <v>432</v>
      </c>
      <c r="C27" s="997"/>
      <c r="D27" s="1134"/>
      <c r="E27" s="1011" t="str">
        <f>(IF(E$7="SIM",(E31)*2.4*12/$H$2,"-"))</f>
        <v>-</v>
      </c>
      <c r="F27" s="1515"/>
      <c r="G27" s="1582"/>
      <c r="H27" s="1586"/>
      <c r="I27" s="1011" t="str">
        <f>(IF(I$7="SIM",(I31)*2.4*12/$H$2,"-"))</f>
        <v>-</v>
      </c>
      <c r="J27" s="1589"/>
      <c r="K27" s="1582"/>
      <c r="L27" s="1586"/>
      <c r="M27" s="1011" t="str">
        <f>(IF(M$7="SIM",(M31)*2.4*12/$H$2,"-"))</f>
        <v>-</v>
      </c>
      <c r="N27" s="1589"/>
      <c r="O27" s="1582"/>
      <c r="P27" s="1586"/>
      <c r="Q27" s="1011" t="str">
        <f>(IF(Q$7="SIM",(Q31)*2.4*12/$H$2,"-"))</f>
        <v>-</v>
      </c>
      <c r="R27" s="1589"/>
      <c r="S27" s="1582"/>
      <c r="T27" s="1586"/>
      <c r="U27" s="1107">
        <f>(IF(U$7="SIM",(U31)*2.4*12/$H$2,"-"))</f>
        <v>16.416010805475466</v>
      </c>
      <c r="V27" s="1103"/>
      <c r="W27" s="822"/>
      <c r="X27" s="44"/>
      <c r="Y27" s="44"/>
      <c r="Z27" s="44"/>
      <c r="AA27" s="44"/>
      <c r="AB27" s="1018"/>
    </row>
    <row r="28" spans="1:28" s="1002" customFormat="1" ht="17.899999999999999" hidden="1" customHeight="1" outlineLevel="1" x14ac:dyDescent="0.35">
      <c r="A28" s="1075"/>
      <c r="B28" s="1089"/>
      <c r="C28" s="1040"/>
      <c r="D28" s="1134"/>
      <c r="E28" s="1011"/>
      <c r="F28" s="1515"/>
      <c r="G28" s="1582"/>
      <c r="H28" s="1586"/>
      <c r="I28" s="1011"/>
      <c r="J28" s="1589"/>
      <c r="K28" s="1582"/>
      <c r="L28" s="1586"/>
      <c r="M28" s="1011"/>
      <c r="N28" s="1589"/>
      <c r="O28" s="1582"/>
      <c r="P28" s="1586"/>
      <c r="Q28" s="1011"/>
      <c r="R28" s="1589"/>
      <c r="S28" s="1582"/>
      <c r="T28" s="1586"/>
      <c r="U28" s="1107"/>
      <c r="V28" s="1103"/>
      <c r="W28" s="1083"/>
      <c r="X28" s="47"/>
      <c r="Y28" s="47"/>
      <c r="Z28" s="47"/>
      <c r="AA28" s="47"/>
      <c r="AB28" s="56"/>
    </row>
    <row r="29" spans="1:28" ht="17.899999999999999" hidden="1" customHeight="1" outlineLevel="1" x14ac:dyDescent="0.35">
      <c r="A29" s="1071"/>
      <c r="B29" s="1090" t="s">
        <v>687</v>
      </c>
      <c r="C29" s="1025"/>
      <c r="D29" s="1134"/>
      <c r="E29" s="1554">
        <v>2</v>
      </c>
      <c r="F29" s="1515"/>
      <c r="G29" s="1552"/>
      <c r="H29" s="1586"/>
      <c r="I29" s="1554">
        <v>2</v>
      </c>
      <c r="J29" s="1590"/>
      <c r="K29" s="1552"/>
      <c r="L29" s="1513"/>
      <c r="M29" s="1554">
        <v>2</v>
      </c>
      <c r="N29" s="1590"/>
      <c r="O29" s="1552"/>
      <c r="P29" s="1513"/>
      <c r="Q29" s="1554">
        <v>2</v>
      </c>
      <c r="R29" s="1590"/>
      <c r="S29" s="1552"/>
      <c r="T29" s="1513"/>
      <c r="U29" s="1554">
        <v>2</v>
      </c>
      <c r="V29" s="1103"/>
      <c r="W29" s="1076"/>
      <c r="X29" s="37"/>
      <c r="Y29" s="37"/>
      <c r="Z29" s="37"/>
      <c r="AA29" s="37"/>
      <c r="AB29" s="56"/>
    </row>
    <row r="30" spans="1:28" ht="17.899999999999999" hidden="1" customHeight="1" outlineLevel="1" x14ac:dyDescent="0.35">
      <c r="A30" s="1071"/>
      <c r="B30" s="1090" t="s">
        <v>699</v>
      </c>
      <c r="C30" s="1025"/>
      <c r="D30" s="1134"/>
      <c r="E30" s="1554">
        <v>30</v>
      </c>
      <c r="F30" s="1515"/>
      <c r="G30" s="1552"/>
      <c r="H30" s="1586"/>
      <c r="I30" s="1554">
        <v>30</v>
      </c>
      <c r="J30" s="1590"/>
      <c r="K30" s="1552"/>
      <c r="L30" s="1513"/>
      <c r="M30" s="1554">
        <v>30</v>
      </c>
      <c r="N30" s="1590"/>
      <c r="O30" s="1552"/>
      <c r="P30" s="1513"/>
      <c r="Q30" s="1554">
        <f>2000/1000*30</f>
        <v>60</v>
      </c>
      <c r="R30" s="1590"/>
      <c r="S30" s="1552"/>
      <c r="T30" s="1513"/>
      <c r="U30" s="1554">
        <f>2500/1000*M30</f>
        <v>75</v>
      </c>
      <c r="V30" s="1103"/>
      <c r="W30" s="1076"/>
      <c r="X30" s="37"/>
      <c r="Y30" s="37"/>
      <c r="Z30" s="37"/>
      <c r="AA30" s="37"/>
      <c r="AB30" s="56"/>
    </row>
    <row r="31" spans="1:28" ht="17.899999999999999" hidden="1" customHeight="1" outlineLevel="1" x14ac:dyDescent="0.35">
      <c r="A31" s="1071"/>
      <c r="B31" s="1090" t="s">
        <v>689</v>
      </c>
      <c r="C31" s="1025"/>
      <c r="D31" s="1134"/>
      <c r="E31" s="1542">
        <f>0.6*'R&amp;C-Painel de Controle'!$D$64+0.6*E30/10*E29*'R&amp;C-Painel de Controle'!$D$65+E30*E29*'R&amp;C-Painel de Controle'!$D$66</f>
        <v>138000</v>
      </c>
      <c r="F31" s="1515"/>
      <c r="G31" s="1544"/>
      <c r="H31" s="1586"/>
      <c r="I31" s="1542">
        <f>0.7*'R&amp;C-Painel de Controle'!$D$64+0.7*I30/10*I29*'R&amp;C-Painel de Controle'!$D$65+I30*I29*'R&amp;C-Painel de Controle'!$D$66</f>
        <v>146000</v>
      </c>
      <c r="J31" s="1587"/>
      <c r="K31" s="1544"/>
      <c r="L31" s="1588"/>
      <c r="M31" s="1542">
        <f>0.8*'R&amp;C-Painel de Controle'!$D$64+0.8*M30/10*M29*'R&amp;C-Painel de Controle'!$D$65+M30*M29*'R&amp;C-Painel de Controle'!$D$66</f>
        <v>154000</v>
      </c>
      <c r="N31" s="1587"/>
      <c r="O31" s="1544"/>
      <c r="P31" s="1588"/>
      <c r="Q31" s="1542">
        <f>0.9*'R&amp;C-Painel de Controle'!$D$64+0.9*Q30/10*Q29*'R&amp;C-Painel de Controle'!$D$65+Q30*Q29*'R&amp;C-Painel de Controle'!$D$66</f>
        <v>306000</v>
      </c>
      <c r="R31" s="1587"/>
      <c r="S31" s="1544"/>
      <c r="T31" s="1588"/>
      <c r="U31" s="1542">
        <f>1*'R&amp;C-Painel de Controle'!$D$64+1*U30/10*U29*'R&amp;C-Painel de Controle'!$D$65+U30*U29*'R&amp;C-Painel de Controle'!$D$66</f>
        <v>395000</v>
      </c>
      <c r="V31" s="1103"/>
      <c r="W31" s="1076"/>
      <c r="X31" s="37"/>
      <c r="Y31" s="37"/>
      <c r="Z31" s="37"/>
      <c r="AA31" s="37"/>
      <c r="AB31" s="56"/>
    </row>
    <row r="32" spans="1:28" s="817" customFormat="1" ht="20.149999999999999" customHeight="1" collapsed="1" x14ac:dyDescent="0.35">
      <c r="A32" s="1072"/>
      <c r="B32" s="1035" t="s">
        <v>433</v>
      </c>
      <c r="C32" s="997"/>
      <c r="D32" s="1134"/>
      <c r="E32" s="1011" t="str">
        <f>(IF(E$7="SIM",(E33*$H$2/1000*'R&amp;C-Painel de Controle'!$D$69+E34/1000*'R&amp;C-Painel de Controle'!$D$70*12)/$H$2,"-"))</f>
        <v>-</v>
      </c>
      <c r="F32" s="1515"/>
      <c r="G32" s="1582"/>
      <c r="H32" s="1588"/>
      <c r="I32" s="1011" t="str">
        <f>(IF(I$7="SIM",(I33*$H$2/1000*'R&amp;C-Painel de Controle'!$D$69+I34/1000*'R&amp;C-Painel de Controle'!$D$70*12)/$H$2,"-"))</f>
        <v>-</v>
      </c>
      <c r="J32" s="1589"/>
      <c r="K32" s="1582"/>
      <c r="L32" s="1588"/>
      <c r="M32" s="1011" t="str">
        <f>(IF(M$7="SIM",(M33*$H$2/1000*'R&amp;C-Painel de Controle'!$D$69+M34/1000*'R&amp;C-Painel de Controle'!$D$70*12)/$H$2,"-"))</f>
        <v>-</v>
      </c>
      <c r="N32" s="1589"/>
      <c r="O32" s="1582"/>
      <c r="P32" s="1588"/>
      <c r="Q32" s="1011" t="str">
        <f>(IF(Q$7="SIM",(Q33*$H$2/1000*'R&amp;C-Painel de Controle'!$D$69+Q34/1000*'R&amp;C-Painel de Controle'!$D$70*12)/$H$2,"-"))</f>
        <v>-</v>
      </c>
      <c r="R32" s="1589"/>
      <c r="S32" s="1582"/>
      <c r="T32" s="1588"/>
      <c r="U32" s="1107">
        <f>(IF(U$7="SIM",(U33*$H$2/1000*'R&amp;C-Painel de Controle'!$D$69+U34/1000*'R&amp;C-Painel de Controle'!$D$70*12)/$H$2,"-"))</f>
        <v>12.822486460687291</v>
      </c>
      <c r="V32" s="1103"/>
      <c r="W32" s="822"/>
      <c r="X32" s="44"/>
      <c r="Y32" s="44"/>
      <c r="Z32" s="44"/>
      <c r="AA32" s="44"/>
      <c r="AB32" s="1018"/>
    </row>
    <row r="33" spans="1:28" ht="17.899999999999999" hidden="1" customHeight="1" outlineLevel="1" x14ac:dyDescent="0.35">
      <c r="A33" s="1071"/>
      <c r="B33" s="1090" t="s">
        <v>690</v>
      </c>
      <c r="C33" s="1025"/>
      <c r="D33" s="1591">
        <v>0.85</v>
      </c>
      <c r="E33" s="1592">
        <f>IF('R-Definição'!$I$34="Alta",I33/0.8*F33,I33/0.8*D33)</f>
        <v>33.5849609375</v>
      </c>
      <c r="F33" s="1517">
        <v>1</v>
      </c>
      <c r="G33" s="1544"/>
      <c r="H33" s="1593">
        <v>0.85</v>
      </c>
      <c r="I33" s="1592">
        <f>IF('R-Definição'!$I$34="Alta",M33/0.8*J33,M33/0.8*H33)</f>
        <v>31.609375</v>
      </c>
      <c r="J33" s="1517">
        <v>1</v>
      </c>
      <c r="K33" s="1544"/>
      <c r="L33" s="1593">
        <v>0.85</v>
      </c>
      <c r="M33" s="1526">
        <f>IF('R-Definição'!$I$34="Alta",35*N33,35*L33)</f>
        <v>29.75</v>
      </c>
      <c r="N33" s="1517">
        <v>1</v>
      </c>
      <c r="O33" s="1544"/>
      <c r="P33" s="1593">
        <v>0.85</v>
      </c>
      <c r="Q33" s="1526">
        <f>IF('R-Definição'!$I$34="Alta",35*R33,35*P33)</f>
        <v>29.75</v>
      </c>
      <c r="R33" s="1517">
        <v>1</v>
      </c>
      <c r="S33" s="1544"/>
      <c r="T33" s="1593">
        <v>0.85</v>
      </c>
      <c r="U33" s="1526">
        <f>IF('R-Definição'!$I$34="Alta",35*V33,35*T33)</f>
        <v>29.75</v>
      </c>
      <c r="V33" s="1517">
        <v>1</v>
      </c>
      <c r="W33" s="1083"/>
      <c r="X33" s="47"/>
      <c r="Y33" s="47"/>
      <c r="Z33" s="47"/>
      <c r="AA33" s="47"/>
      <c r="AB33" s="56"/>
    </row>
    <row r="34" spans="1:28" ht="17.899999999999999" hidden="1" customHeight="1" outlineLevel="1" x14ac:dyDescent="0.35">
      <c r="A34" s="1075"/>
      <c r="B34" s="1090" t="s">
        <v>691</v>
      </c>
      <c r="C34" s="1040"/>
      <c r="D34" s="1134"/>
      <c r="E34" s="1542">
        <f>E33*F11*(0.9)*0.92/16</f>
        <v>434.50543212890625</v>
      </c>
      <c r="F34" s="1515"/>
      <c r="G34" s="1540"/>
      <c r="H34" s="1588"/>
      <c r="I34" s="1542">
        <f>I33*J11*(0.9)*0.92/16</f>
        <v>817.892578125</v>
      </c>
      <c r="J34" s="1594"/>
      <c r="K34" s="1540"/>
      <c r="L34" s="1595"/>
      <c r="M34" s="1542">
        <f>M33*N11*(0.9)*0.92/16</f>
        <v>2309.34375</v>
      </c>
      <c r="N34" s="1594"/>
      <c r="O34" s="1540"/>
      <c r="P34" s="1595"/>
      <c r="Q34" s="1542">
        <f>Q33*R11*(0.9)*0.92/16</f>
        <v>3079.125</v>
      </c>
      <c r="R34" s="1594"/>
      <c r="S34" s="1540"/>
      <c r="T34" s="1595"/>
      <c r="U34" s="1542">
        <f>U33*V11*(0.9)*0.92/16</f>
        <v>3848.90625</v>
      </c>
      <c r="V34" s="1103"/>
      <c r="W34" s="1083"/>
      <c r="X34" s="47"/>
      <c r="Y34" s="47"/>
      <c r="Z34" s="47"/>
      <c r="AA34" s="47"/>
      <c r="AB34" s="56"/>
    </row>
    <row r="35" spans="1:28" s="817" customFormat="1" ht="20.149999999999999" customHeight="1" collapsed="1" x14ac:dyDescent="0.35">
      <c r="A35" s="1072"/>
      <c r="B35" s="1035" t="s">
        <v>434</v>
      </c>
      <c r="C35" s="997"/>
      <c r="D35" s="1134"/>
      <c r="E35" s="1011" t="str">
        <f>(IF(E$7="SIM",(E15*1000000*E36+E37*12)/$H$2,"-"))</f>
        <v>-</v>
      </c>
      <c r="F35" s="1097"/>
      <c r="G35" s="1080"/>
      <c r="H35" s="1595"/>
      <c r="I35" s="1011" t="str">
        <f>(IF(I$7="SIM",(I15*1000000*I36+I37*12)/$H$2,"-"))</f>
        <v>-</v>
      </c>
      <c r="J35" s="1097"/>
      <c r="K35" s="1080"/>
      <c r="L35" s="1595"/>
      <c r="M35" s="1011" t="str">
        <f>(IF(M$7="SIM",(M15*1000000*M36+M37*12)/$H$2,"-"))</f>
        <v>-</v>
      </c>
      <c r="N35" s="1097"/>
      <c r="O35" s="1080"/>
      <c r="P35" s="1595"/>
      <c r="Q35" s="1011" t="str">
        <f>(IF(Q$7="SIM",(Q15*1000000*Q36+Q37*12)/$H$2,"-"))</f>
        <v>-</v>
      </c>
      <c r="R35" s="1097"/>
      <c r="S35" s="1080"/>
      <c r="T35" s="1595"/>
      <c r="U35" s="1107">
        <f>(IF(U$7="SIM",(U15*1000000*U36+U37*12)/$H$2,"-"))</f>
        <v>16.476814778474765</v>
      </c>
      <c r="V35" s="1103"/>
      <c r="W35" s="822"/>
      <c r="X35" s="44"/>
      <c r="Y35" s="44"/>
      <c r="Z35" s="44"/>
      <c r="AA35" s="44"/>
      <c r="AB35" s="1018"/>
    </row>
    <row r="36" spans="1:28" ht="17.899999999999999" hidden="1" customHeight="1" outlineLevel="1" x14ac:dyDescent="0.35">
      <c r="A36" s="1071"/>
      <c r="B36" s="1090" t="s">
        <v>700</v>
      </c>
      <c r="C36" s="1025"/>
      <c r="D36" s="1134"/>
      <c r="E36" s="1561">
        <v>4.4999999999999998E-2</v>
      </c>
      <c r="F36" s="1515"/>
      <c r="G36" s="1596"/>
      <c r="H36" s="1597"/>
      <c r="I36" s="1561">
        <v>4.4999999999999998E-2</v>
      </c>
      <c r="J36" s="1515"/>
      <c r="K36" s="1596"/>
      <c r="L36" s="1597"/>
      <c r="M36" s="1561">
        <v>4.4999999999999998E-2</v>
      </c>
      <c r="N36" s="1515"/>
      <c r="O36" s="1596"/>
      <c r="P36" s="1597"/>
      <c r="Q36" s="1561">
        <v>4.4999999999999998E-2</v>
      </c>
      <c r="R36" s="1515"/>
      <c r="S36" s="1596"/>
      <c r="T36" s="1597"/>
      <c r="U36" s="1561">
        <v>4.4999999999999998E-2</v>
      </c>
      <c r="V36" s="1103"/>
      <c r="W36" s="1076"/>
      <c r="X36" s="37"/>
      <c r="Y36" s="37"/>
      <c r="Z36" s="37"/>
      <c r="AA36" s="37"/>
      <c r="AB36" s="56"/>
    </row>
    <row r="37" spans="1:28" ht="17.899999999999999" hidden="1" customHeight="1" outlineLevel="1" x14ac:dyDescent="0.35">
      <c r="A37" s="1071"/>
      <c r="B37" s="1090" t="s">
        <v>498</v>
      </c>
      <c r="C37" s="1025"/>
      <c r="D37" s="1134"/>
      <c r="E37" s="1542">
        <v>100000</v>
      </c>
      <c r="F37" s="1594"/>
      <c r="G37" s="1540"/>
      <c r="H37" s="1595"/>
      <c r="I37" s="1542">
        <v>150000</v>
      </c>
      <c r="J37" s="1594"/>
      <c r="K37" s="1540"/>
      <c r="L37" s="1595"/>
      <c r="M37" s="1542">
        <v>200000</v>
      </c>
      <c r="N37" s="1594"/>
      <c r="O37" s="1540"/>
      <c r="P37" s="1595"/>
      <c r="Q37" s="1542">
        <v>250000</v>
      </c>
      <c r="R37" s="1594"/>
      <c r="S37" s="1540"/>
      <c r="T37" s="1595"/>
      <c r="U37" s="1542">
        <v>300000</v>
      </c>
      <c r="V37" s="1103"/>
      <c r="W37" s="1076"/>
      <c r="X37" s="37"/>
      <c r="Y37" s="37"/>
      <c r="Z37" s="37"/>
      <c r="AA37" s="37"/>
      <c r="AB37" s="56"/>
    </row>
    <row r="38" spans="1:28" s="817" customFormat="1" ht="20.149999999999999" customHeight="1" collapsed="1" x14ac:dyDescent="0.35">
      <c r="A38" s="1072"/>
      <c r="B38" s="1035" t="s">
        <v>695</v>
      </c>
      <c r="C38" s="997"/>
      <c r="D38" s="1593">
        <v>0.5</v>
      </c>
      <c r="E38" s="1011" t="str">
        <f>(IF(E$7="SIM",D38*E39*E40*12/$H$2,"-"))</f>
        <v>-</v>
      </c>
      <c r="F38" s="1097"/>
      <c r="G38" s="1080"/>
      <c r="H38" s="1593">
        <f>D38</f>
        <v>0.5</v>
      </c>
      <c r="I38" s="1011" t="str">
        <f>(IF(I$7="SIM",H38*I39*I40*12/$H$2,"-"))</f>
        <v>-</v>
      </c>
      <c r="J38" s="1097"/>
      <c r="K38" s="1080"/>
      <c r="L38" s="1593">
        <f>H38</f>
        <v>0.5</v>
      </c>
      <c r="M38" s="1011" t="str">
        <f>(IF(M$7="SIM",L38*M39*M40*12/$H$2,"-"))</f>
        <v>-</v>
      </c>
      <c r="N38" s="1097"/>
      <c r="O38" s="1080"/>
      <c r="P38" s="1593">
        <f>L38</f>
        <v>0.5</v>
      </c>
      <c r="Q38" s="1011" t="str">
        <f>(IF(Q$7="SIM",P38*Q39*Q40*12/$H$2,"-"))</f>
        <v>-</v>
      </c>
      <c r="R38" s="1097"/>
      <c r="S38" s="1080"/>
      <c r="T38" s="1593">
        <f>P38</f>
        <v>0.5</v>
      </c>
      <c r="U38" s="1107">
        <f>(IF(U$7="SIM",T38*U39*U40*12/$H$2,"-"))</f>
        <v>2.5974700641575108</v>
      </c>
      <c r="V38" s="1103"/>
      <c r="W38" s="822"/>
      <c r="X38" s="44"/>
      <c r="Y38" s="44"/>
      <c r="Z38" s="44"/>
      <c r="AA38" s="44"/>
      <c r="AB38" s="1018"/>
    </row>
    <row r="39" spans="1:28" ht="17.899999999999999" hidden="1" customHeight="1" outlineLevel="1" x14ac:dyDescent="0.35">
      <c r="A39" s="1075"/>
      <c r="B39" s="1090" t="s">
        <v>693</v>
      </c>
      <c r="C39" s="1040"/>
      <c r="D39" s="1134"/>
      <c r="E39" s="1542">
        <f>'R&amp;C-Painel de Controle'!$D$71</f>
        <v>100000</v>
      </c>
      <c r="F39" s="1587"/>
      <c r="G39" s="1544"/>
      <c r="H39" s="1588"/>
      <c r="I39" s="1542">
        <f>'R&amp;C-Painel de Controle'!$D$71</f>
        <v>100000</v>
      </c>
      <c r="J39" s="1587"/>
      <c r="K39" s="1544"/>
      <c r="L39" s="1588"/>
      <c r="M39" s="1542">
        <f>'R&amp;C-Painel de Controle'!$D$71</f>
        <v>100000</v>
      </c>
      <c r="N39" s="1587"/>
      <c r="O39" s="1544"/>
      <c r="P39" s="1588"/>
      <c r="Q39" s="1542">
        <f>'R&amp;C-Painel de Controle'!$D$71</f>
        <v>100000</v>
      </c>
      <c r="R39" s="1587"/>
      <c r="S39" s="1544"/>
      <c r="T39" s="1588"/>
      <c r="U39" s="1542">
        <f>'R&amp;C-Painel de Controle'!$D$71</f>
        <v>100000</v>
      </c>
      <c r="V39" s="1103"/>
      <c r="W39" s="1083"/>
      <c r="X39" s="47"/>
      <c r="Y39" s="47"/>
      <c r="Z39" s="47"/>
      <c r="AA39" s="47"/>
      <c r="AB39" s="56"/>
    </row>
    <row r="40" spans="1:28" ht="17.899999999999999" hidden="1" customHeight="1" outlineLevel="1" x14ac:dyDescent="0.35">
      <c r="A40" s="1071"/>
      <c r="B40" s="1090" t="s">
        <v>694</v>
      </c>
      <c r="C40" s="1040"/>
      <c r="D40" s="1134"/>
      <c r="E40" s="1525">
        <v>1</v>
      </c>
      <c r="F40" s="1587"/>
      <c r="G40" s="1544"/>
      <c r="H40" s="1588"/>
      <c r="I40" s="1525">
        <v>1.25</v>
      </c>
      <c r="J40" s="1587"/>
      <c r="K40" s="1544"/>
      <c r="L40" s="1588"/>
      <c r="M40" s="1525">
        <v>2</v>
      </c>
      <c r="N40" s="1587"/>
      <c r="O40" s="1544"/>
      <c r="P40" s="1588"/>
      <c r="Q40" s="1525">
        <v>2.5</v>
      </c>
      <c r="R40" s="1587"/>
      <c r="S40" s="1544"/>
      <c r="T40" s="1588"/>
      <c r="U40" s="1525">
        <v>3</v>
      </c>
      <c r="V40" s="1103"/>
      <c r="W40" s="1076"/>
      <c r="X40" s="37"/>
      <c r="Y40" s="37"/>
      <c r="Z40" s="37"/>
      <c r="AA40" s="37"/>
      <c r="AB40" s="56"/>
    </row>
    <row r="41" spans="1:28" s="817" customFormat="1" ht="20.149999999999999" customHeight="1" x14ac:dyDescent="0.35">
      <c r="A41" s="1072"/>
      <c r="B41" s="1035" t="s">
        <v>441</v>
      </c>
      <c r="C41" s="997"/>
      <c r="D41" s="1134"/>
      <c r="E41" s="1598" t="str">
        <f>(IF(E$7="SIM",7.5+1.5*'R&amp;C-Painel de Controle'!$D$75,"-"))</f>
        <v>-</v>
      </c>
      <c r="F41" s="1097"/>
      <c r="G41" s="1080"/>
      <c r="H41" s="1595"/>
      <c r="I41" s="1598" t="str">
        <f>(IF(I$7="SIM",7.5+1.5*'R&amp;C-Painel de Controle'!$D$75,"-"))</f>
        <v>-</v>
      </c>
      <c r="J41" s="1097"/>
      <c r="K41" s="1080"/>
      <c r="L41" s="1595"/>
      <c r="M41" s="1598" t="str">
        <f>(IF(M$7="SIM",7.5+1.5*'R&amp;C-Painel de Controle'!$D$75,"-"))</f>
        <v>-</v>
      </c>
      <c r="N41" s="1097"/>
      <c r="O41" s="1080"/>
      <c r="P41" s="1595"/>
      <c r="Q41" s="1598" t="str">
        <f>(IF(Q$7="SIM",7.5+1.5*'R&amp;C-Painel de Controle'!$D$75,"-"))</f>
        <v>-</v>
      </c>
      <c r="R41" s="1097"/>
      <c r="S41" s="1080"/>
      <c r="T41" s="1595"/>
      <c r="U41" s="1599">
        <f>(IF(U$7="SIM",7.5+1.5*'R&amp;C-Painel de Controle'!$D$75,"-"))</f>
        <v>12</v>
      </c>
      <c r="V41" s="1103"/>
      <c r="W41" s="822"/>
      <c r="X41" s="44"/>
      <c r="Y41" s="44"/>
      <c r="Z41" s="44"/>
      <c r="AA41" s="44"/>
      <c r="AB41" s="1018"/>
    </row>
    <row r="42" spans="1:28" s="1006" customFormat="1" ht="25.15" customHeight="1" x14ac:dyDescent="0.45">
      <c r="A42" s="1073"/>
      <c r="B42" s="1091" t="s">
        <v>437</v>
      </c>
      <c r="C42" s="1026"/>
      <c r="D42" s="1593">
        <v>0.1</v>
      </c>
      <c r="E42" s="1011" t="str">
        <f>(IF(E$7="SIM",(E27+E32+E35+E38+E41)*(1+D42),"-"))</f>
        <v>-</v>
      </c>
      <c r="F42" s="1097"/>
      <c r="G42" s="1080"/>
      <c r="H42" s="1593">
        <v>0.1</v>
      </c>
      <c r="I42" s="1011" t="str">
        <f>(IF(I$7="SIM",(I27+I32+I35+I38+I41)*(1+H42),"-"))</f>
        <v>-</v>
      </c>
      <c r="J42" s="1097"/>
      <c r="K42" s="1080"/>
      <c r="L42" s="1593">
        <v>0.1</v>
      </c>
      <c r="M42" s="1011" t="str">
        <f>(IF(M$7="SIM",(M27+M32+M35+M38+M41)*(1+L42),"-"))</f>
        <v>-</v>
      </c>
      <c r="N42" s="1097"/>
      <c r="O42" s="1080"/>
      <c r="P42" s="1593">
        <v>0.1</v>
      </c>
      <c r="Q42" s="1011" t="str">
        <f>(IF(Q$7="SIM",(Q27+Q32+Q35+Q38+Q41)*(1+P42),"-"))</f>
        <v>-</v>
      </c>
      <c r="R42" s="1097"/>
      <c r="S42" s="1080"/>
      <c r="T42" s="1593">
        <v>0.1</v>
      </c>
      <c r="U42" s="1012">
        <f>(IF(U$7="SIM",(U27+U32+U35+U38+U41)*(1+T42),"-"))</f>
        <v>66.34406031967454</v>
      </c>
      <c r="V42" s="1103"/>
      <c r="W42" s="1084"/>
      <c r="X42" s="1005"/>
      <c r="Y42" s="1005"/>
      <c r="Z42" s="1005"/>
      <c r="AA42" s="1005"/>
      <c r="AB42" s="1013"/>
    </row>
    <row r="43" spans="1:28" s="1006" customFormat="1" ht="25.15" customHeight="1" x14ac:dyDescent="0.45">
      <c r="A43" s="1073"/>
      <c r="B43" s="1091" t="s">
        <v>438</v>
      </c>
      <c r="C43" s="1026"/>
      <c r="D43" s="1098"/>
      <c r="E43" s="1010" t="str">
        <f>(IF(E$7="SIM",E42*$H$2/1000000,"-"))</f>
        <v>-</v>
      </c>
      <c r="F43" s="1099"/>
      <c r="G43" s="1026"/>
      <c r="H43" s="1098"/>
      <c r="I43" s="1010" t="str">
        <f>(IF(I$7="SIM",I42*$H$2/1000000,"-"))</f>
        <v>-</v>
      </c>
      <c r="J43" s="1099"/>
      <c r="K43" s="1026"/>
      <c r="L43" s="1098"/>
      <c r="M43" s="1010" t="str">
        <f>(IF(M$7="SIM",M42*$H$2/1000000,"-"))</f>
        <v>-</v>
      </c>
      <c r="N43" s="1099"/>
      <c r="O43" s="1026"/>
      <c r="P43" s="1134"/>
      <c r="Q43" s="1010" t="str">
        <f>(IF(Q$7="SIM",Q42*$H$2/1000000,"-"))</f>
        <v>-</v>
      </c>
      <c r="R43" s="1099"/>
      <c r="S43" s="1026"/>
      <c r="T43" s="1098"/>
      <c r="U43" s="979">
        <f>(IF(U$7="SIM",U42*$H$2/1000000,"-"))</f>
        <v>45.975239608448696</v>
      </c>
      <c r="V43" s="1099"/>
      <c r="W43" s="1084"/>
      <c r="X43" s="1005"/>
      <c r="Y43" s="1005"/>
      <c r="Z43" s="1005"/>
      <c r="AA43" s="1005"/>
      <c r="AB43" s="1005"/>
    </row>
    <row r="44" spans="1:28" s="1019" customFormat="1" ht="20.149999999999999" customHeight="1" x14ac:dyDescent="0.35">
      <c r="A44" s="1072"/>
      <c r="B44" s="1092" t="s">
        <v>439</v>
      </c>
      <c r="C44" s="997"/>
      <c r="D44" s="1098"/>
      <c r="E44" s="1010" t="str">
        <f>(IF(E$7="SIM",(((E27*$H$2/12)+(E34/1000*'R&amp;C-Painel de Controle'!$D$70*12)+(E37*12)+(E39*E40*12))/1000000),"-"))</f>
        <v>-</v>
      </c>
      <c r="F44" s="1099"/>
      <c r="G44" s="1026"/>
      <c r="H44" s="1098"/>
      <c r="I44" s="1010" t="str">
        <f>(IF(I$7="SIM",(((I27*$H$2/12)+(I34/1000*'R&amp;C-Painel de Controle'!$D$70*12)+(I37*12)+(I39*I40*12))/1000000),"-"))</f>
        <v>-</v>
      </c>
      <c r="J44" s="1099"/>
      <c r="K44" s="1026"/>
      <c r="L44" s="1098"/>
      <c r="M44" s="1010" t="str">
        <f>(IF(M$7="SIM",(((M27*$H$2/12)+(M34/1000*'R&amp;C-Painel de Controle'!$D$70*12)+(M37*12)+(M39*M40*12))/1000000),"-"))</f>
        <v>-</v>
      </c>
      <c r="N44" s="1099"/>
      <c r="O44" s="1026"/>
      <c r="P44" s="1098"/>
      <c r="Q44" s="1010" t="str">
        <f>(IF(Q$7="SIM",(((Q27*$H$2/12)+(Q34/1000*'R&amp;C-Painel de Controle'!$D$70*12)+(Q37*12)+(Q39*Q40*12))/1000000)*(1+P42),"-"))</f>
        <v>-</v>
      </c>
      <c r="R44" s="1099"/>
      <c r="S44" s="1026"/>
      <c r="T44" s="1098"/>
      <c r="U44" s="979">
        <f>(IF(U$7="SIM",(((U27*$H$2/12)+(U34/1000*'R&amp;C-Painel de Controle'!$D$70*12)+(U37*12)+(U39*U40*12))/1000000),"-"))</f>
        <v>9.3026718749999997</v>
      </c>
      <c r="V44" s="1099"/>
      <c r="W44" s="822"/>
      <c r="X44" s="44"/>
      <c r="Y44" s="44"/>
      <c r="Z44" s="44"/>
      <c r="AA44" s="44"/>
      <c r="AB44" s="44"/>
    </row>
    <row r="45" spans="1:28" s="1019" customFormat="1" ht="20.149999999999999" customHeight="1" thickBot="1" x14ac:dyDescent="0.4">
      <c r="A45" s="1072"/>
      <c r="B45" s="1093" t="s">
        <v>440</v>
      </c>
      <c r="C45" s="997"/>
      <c r="D45" s="1600"/>
      <c r="E45" s="1601" t="str">
        <f>(IF(E$7="SIM",((E43-E44)*1000000)/$H$2,"-"))</f>
        <v>-</v>
      </c>
      <c r="F45" s="1602"/>
      <c r="G45" s="1026"/>
      <c r="H45" s="1600"/>
      <c r="I45" s="1601" t="str">
        <f>(IF(I$7="SIM",((I43-I44)*1000000)/$H$2,"-"))</f>
        <v>-</v>
      </c>
      <c r="J45" s="1602"/>
      <c r="K45" s="1026"/>
      <c r="L45" s="1600"/>
      <c r="M45" s="1601" t="str">
        <f>(IF(M$7="SIM",((M43-M44)*1000000)/$H$2,"-"))</f>
        <v>-</v>
      </c>
      <c r="N45" s="1602"/>
      <c r="O45" s="1026"/>
      <c r="P45" s="1600"/>
      <c r="Q45" s="1601" t="str">
        <f>(IF(Q$7="SIM",((Q43-Q44)*1000000)/$H$2,"-"))</f>
        <v>-</v>
      </c>
      <c r="R45" s="1602"/>
      <c r="S45" s="1026"/>
      <c r="T45" s="1600"/>
      <c r="U45" s="1603">
        <f>(IF(U$7="SIM",((U43-U44)*1000000)/$H$2,"-"))</f>
        <v>52.919942701900901</v>
      </c>
      <c r="V45" s="1602"/>
      <c r="W45" s="822"/>
      <c r="X45" s="44"/>
      <c r="Y45" s="44"/>
      <c r="Z45" s="44"/>
      <c r="AA45" s="44"/>
      <c r="AB45" s="44"/>
    </row>
    <row r="46" spans="1:28" ht="14.25" customHeight="1" thickTop="1" x14ac:dyDescent="0.35">
      <c r="A46" s="349"/>
      <c r="B46" s="1047"/>
      <c r="C46" s="349"/>
      <c r="D46" s="873"/>
      <c r="E46" s="873"/>
      <c r="F46" s="873"/>
      <c r="G46" s="349"/>
      <c r="H46" s="873"/>
      <c r="I46" s="873"/>
      <c r="J46" s="873"/>
      <c r="K46" s="349"/>
      <c r="L46" s="873"/>
      <c r="M46" s="873"/>
      <c r="N46" s="873"/>
      <c r="O46" s="349"/>
      <c r="P46" s="873"/>
      <c r="Q46" s="873"/>
      <c r="R46" s="873"/>
      <c r="S46" s="349"/>
      <c r="T46" s="873"/>
      <c r="U46" s="873"/>
      <c r="V46" s="873"/>
      <c r="W46" s="37"/>
      <c r="X46" s="37"/>
      <c r="Y46" s="37"/>
      <c r="Z46" s="37"/>
      <c r="AA46" s="37"/>
      <c r="AB46" s="37"/>
    </row>
    <row r="47" spans="1:28" ht="14.25" customHeight="1" x14ac:dyDescent="0.35">
      <c r="A47" s="349"/>
      <c r="B47" s="872"/>
      <c r="C47" s="349"/>
      <c r="D47" s="349"/>
      <c r="E47" s="349"/>
      <c r="F47" s="349"/>
      <c r="G47" s="349"/>
      <c r="H47" s="349"/>
      <c r="I47" s="349"/>
      <c r="J47" s="349"/>
      <c r="K47" s="349"/>
      <c r="L47" s="349"/>
      <c r="M47" s="349"/>
      <c r="N47" s="349"/>
      <c r="O47" s="349"/>
      <c r="P47" s="349"/>
      <c r="Q47" s="349"/>
      <c r="R47" s="349"/>
      <c r="S47" s="349"/>
      <c r="T47" s="349"/>
      <c r="U47" s="349"/>
      <c r="V47" s="349"/>
      <c r="W47" s="37"/>
      <c r="X47" s="37"/>
      <c r="Y47" s="37"/>
      <c r="Z47" s="37"/>
      <c r="AA47" s="37"/>
      <c r="AB47" s="37"/>
    </row>
    <row r="48" spans="1:28" ht="14.25" customHeight="1" x14ac:dyDescent="0.35">
      <c r="A48" s="349"/>
      <c r="B48" s="872"/>
      <c r="C48" s="349"/>
      <c r="D48" s="349"/>
      <c r="E48" s="349"/>
      <c r="F48" s="349"/>
      <c r="G48" s="349"/>
      <c r="H48" s="349"/>
      <c r="I48" s="349"/>
      <c r="J48" s="349"/>
      <c r="K48" s="349"/>
      <c r="L48" s="349"/>
      <c r="M48" s="349"/>
      <c r="N48" s="349"/>
      <c r="O48" s="349"/>
      <c r="P48" s="349"/>
      <c r="Q48" s="349"/>
      <c r="R48" s="349"/>
      <c r="S48" s="349"/>
      <c r="T48" s="349"/>
      <c r="U48" s="349"/>
      <c r="V48" s="349"/>
      <c r="W48" s="37"/>
      <c r="X48" s="37"/>
      <c r="Y48" s="37"/>
      <c r="Z48" s="37"/>
      <c r="AA48" s="37"/>
      <c r="AB48" s="37"/>
    </row>
    <row r="49" spans="1:28" ht="14.25" customHeight="1" x14ac:dyDescent="0.35">
      <c r="A49" s="872"/>
      <c r="B49" s="739"/>
      <c r="C49" s="349"/>
      <c r="D49" s="349"/>
      <c r="E49" s="349"/>
      <c r="F49" s="349"/>
      <c r="G49" s="349"/>
      <c r="H49" s="349"/>
      <c r="I49" s="349"/>
      <c r="J49" s="349"/>
      <c r="K49" s="349"/>
      <c r="L49" s="349"/>
      <c r="M49" s="349"/>
      <c r="N49" s="349"/>
      <c r="O49" s="349"/>
      <c r="P49" s="349"/>
      <c r="Q49" s="349"/>
      <c r="R49" s="349"/>
      <c r="S49" s="349"/>
      <c r="T49" s="349"/>
      <c r="U49" s="349"/>
      <c r="V49" s="349"/>
      <c r="W49" s="37"/>
      <c r="X49" s="37"/>
      <c r="Y49" s="37"/>
      <c r="Z49" s="37"/>
      <c r="AA49" s="37"/>
      <c r="AB49" s="37"/>
    </row>
    <row r="50" spans="1:28" ht="14.25" customHeight="1" x14ac:dyDescent="0.35">
      <c r="A50" s="37"/>
      <c r="B50" s="4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row>
    <row r="51" spans="1:28" ht="14.25" customHeight="1" x14ac:dyDescent="0.35">
      <c r="A51" s="37"/>
      <c r="B51" s="4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row>
    <row r="52" spans="1:28" ht="14.25" customHeight="1" x14ac:dyDescent="0.35">
      <c r="A52" s="37"/>
      <c r="B52" s="4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row>
    <row r="53" spans="1:28" ht="14.25" customHeight="1" x14ac:dyDescent="0.35">
      <c r="A53" s="37"/>
      <c r="B53" s="4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row>
    <row r="54" spans="1:28" ht="14.25" customHeight="1" x14ac:dyDescent="0.35">
      <c r="A54" s="37"/>
      <c r="B54" s="4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row>
    <row r="55" spans="1:28" ht="14.25" customHeight="1" x14ac:dyDescent="0.35">
      <c r="A55" s="37"/>
      <c r="B55" s="4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row>
    <row r="56" spans="1:28" ht="14.25" customHeight="1" x14ac:dyDescent="0.35">
      <c r="A56" s="37"/>
      <c r="B56" s="4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row>
    <row r="57" spans="1:28" ht="14.25" customHeight="1" x14ac:dyDescent="0.35">
      <c r="A57" s="37"/>
      <c r="B57" s="4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row>
    <row r="58" spans="1:28" ht="14.25" customHeight="1" x14ac:dyDescent="0.35">
      <c r="A58" s="37"/>
      <c r="B58" s="4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row>
    <row r="59" spans="1:28" ht="14.25" customHeight="1" x14ac:dyDescent="0.35">
      <c r="A59" s="37"/>
      <c r="B59" s="4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row>
    <row r="60" spans="1:28" ht="14.25" customHeight="1" x14ac:dyDescent="0.35">
      <c r="A60" s="37"/>
      <c r="B60" s="4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row>
    <row r="61" spans="1:28" ht="14.25" customHeight="1" x14ac:dyDescent="0.35">
      <c r="A61" s="37"/>
      <c r="B61" s="4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row>
    <row r="62" spans="1:28" ht="14.25" customHeight="1" x14ac:dyDescent="0.35">
      <c r="A62" s="37"/>
      <c r="B62" s="4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row>
    <row r="63" spans="1:28" ht="14.25" customHeight="1" x14ac:dyDescent="0.35">
      <c r="A63" s="37"/>
      <c r="B63" s="4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row>
    <row r="64" spans="1:28" ht="14.25" customHeight="1" x14ac:dyDescent="0.35">
      <c r="A64" s="37"/>
      <c r="B64" s="4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row>
    <row r="65" spans="1:28" ht="14.25" customHeight="1" x14ac:dyDescent="0.35">
      <c r="A65" s="37"/>
      <c r="B65" s="4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row>
    <row r="66" spans="1:28" ht="14.25" customHeight="1" x14ac:dyDescent="0.35">
      <c r="A66" s="37"/>
      <c r="B66" s="4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row>
    <row r="67" spans="1:28" ht="14.25" customHeight="1" x14ac:dyDescent="0.35">
      <c r="A67" s="37"/>
      <c r="B67" s="4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row>
    <row r="68" spans="1:28" ht="14.25" customHeight="1" x14ac:dyDescent="0.35">
      <c r="A68" s="37"/>
      <c r="B68" s="4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row>
    <row r="69" spans="1:28" ht="14.25" customHeight="1" x14ac:dyDescent="0.35">
      <c r="A69" s="37"/>
      <c r="B69" s="4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row>
    <row r="70" spans="1:28" ht="14.25" customHeight="1" x14ac:dyDescent="0.35">
      <c r="A70" s="37"/>
      <c r="B70" s="4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row>
    <row r="71" spans="1:28" ht="14.25" customHeight="1" x14ac:dyDescent="0.35">
      <c r="A71" s="37"/>
      <c r="B71" s="4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row>
    <row r="72" spans="1:28" ht="14.25" customHeight="1" x14ac:dyDescent="0.35">
      <c r="A72" s="37"/>
      <c r="B72" s="4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row>
    <row r="73" spans="1:28" ht="14.25" customHeight="1" x14ac:dyDescent="0.35">
      <c r="A73" s="37"/>
      <c r="B73" s="4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row>
    <row r="74" spans="1:28" ht="14.25" customHeight="1" x14ac:dyDescent="0.35">
      <c r="A74" s="37"/>
      <c r="B74" s="4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row>
    <row r="75" spans="1:28" ht="14.25" customHeight="1" x14ac:dyDescent="0.35">
      <c r="A75" s="37"/>
      <c r="B75" s="4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row>
    <row r="76" spans="1:28" ht="14.25" customHeight="1" x14ac:dyDescent="0.35">
      <c r="A76" s="37"/>
      <c r="B76" s="4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row>
    <row r="77" spans="1:28" ht="14.25" customHeight="1" x14ac:dyDescent="0.35">
      <c r="A77" s="37"/>
      <c r="B77" s="4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row>
    <row r="78" spans="1:28" ht="14.25" customHeight="1" x14ac:dyDescent="0.35">
      <c r="A78" s="37"/>
      <c r="B78" s="4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row>
    <row r="79" spans="1:28" ht="14.25" customHeight="1" x14ac:dyDescent="0.35">
      <c r="A79" s="37"/>
      <c r="B79" s="4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row>
    <row r="80" spans="1:28" ht="14.25" customHeight="1" x14ac:dyDescent="0.35">
      <c r="A80" s="37"/>
      <c r="B80" s="4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row>
    <row r="81" spans="1:28" ht="14.25" customHeight="1" x14ac:dyDescent="0.35">
      <c r="A81" s="37"/>
      <c r="B81" s="4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row>
    <row r="82" spans="1:28" ht="14.25" customHeight="1" x14ac:dyDescent="0.35">
      <c r="A82" s="37"/>
      <c r="B82" s="4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row>
    <row r="83" spans="1:28" ht="14.25" customHeight="1" x14ac:dyDescent="0.35">
      <c r="A83" s="37"/>
      <c r="B83" s="4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row>
    <row r="84" spans="1:28" ht="14.25" customHeight="1" x14ac:dyDescent="0.35">
      <c r="A84" s="37"/>
      <c r="B84" s="4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row>
    <row r="85" spans="1:28" ht="14.25" customHeight="1" x14ac:dyDescent="0.35">
      <c r="A85" s="37"/>
      <c r="B85" s="4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row>
    <row r="86" spans="1:28" ht="14.25" customHeight="1" x14ac:dyDescent="0.35">
      <c r="A86" s="37"/>
      <c r="B86" s="4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row>
    <row r="87" spans="1:28" ht="14.25" customHeight="1" x14ac:dyDescent="0.35">
      <c r="A87" s="37"/>
      <c r="B87" s="4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row>
    <row r="88" spans="1:28" ht="14.25" customHeight="1" x14ac:dyDescent="0.35">
      <c r="A88" s="37"/>
      <c r="B88" s="4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row>
    <row r="89" spans="1:28" ht="14.25" customHeight="1" x14ac:dyDescent="0.35">
      <c r="A89" s="37"/>
      <c r="B89" s="4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row>
    <row r="90" spans="1:28" ht="14.25" customHeight="1" x14ac:dyDescent="0.35">
      <c r="A90" s="37"/>
      <c r="B90" s="4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row>
    <row r="91" spans="1:28" ht="14.25" customHeight="1" x14ac:dyDescent="0.35">
      <c r="A91" s="37"/>
      <c r="B91" s="4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row>
    <row r="92" spans="1:28" ht="14.25" customHeight="1" x14ac:dyDescent="0.35">
      <c r="A92" s="37"/>
      <c r="B92" s="4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row>
    <row r="93" spans="1:28" ht="14.25" customHeight="1" x14ac:dyDescent="0.35">
      <c r="A93" s="37"/>
      <c r="B93" s="4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row>
    <row r="94" spans="1:28" ht="14.25" customHeight="1" x14ac:dyDescent="0.35">
      <c r="A94" s="37"/>
      <c r="B94" s="4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row>
    <row r="95" spans="1:28" ht="14.25" customHeight="1" x14ac:dyDescent="0.35">
      <c r="A95" s="37"/>
      <c r="B95" s="4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row>
    <row r="96" spans="1:28" ht="14.25" customHeight="1" x14ac:dyDescent="0.35">
      <c r="A96" s="37"/>
      <c r="B96" s="4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row>
    <row r="97" spans="1:28" ht="14.25" customHeight="1" x14ac:dyDescent="0.35">
      <c r="A97" s="37"/>
      <c r="B97" s="4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row>
    <row r="98" spans="1:28" ht="14.25" customHeight="1" x14ac:dyDescent="0.35">
      <c r="A98" s="37"/>
      <c r="B98" s="4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row>
    <row r="99" spans="1:28" ht="14.25" customHeight="1" x14ac:dyDescent="0.35">
      <c r="A99" s="37"/>
      <c r="B99" s="4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row>
    <row r="100" spans="1:28" ht="14.25" customHeight="1" x14ac:dyDescent="0.35">
      <c r="A100" s="37"/>
      <c r="B100" s="4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row>
    <row r="101" spans="1:28" ht="14.25" customHeight="1" x14ac:dyDescent="0.35">
      <c r="A101" s="37"/>
      <c r="B101" s="4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row>
    <row r="102" spans="1:28" ht="14.25" customHeight="1" x14ac:dyDescent="0.35">
      <c r="A102" s="37"/>
      <c r="B102" s="4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row>
    <row r="103" spans="1:28" ht="14.25" customHeight="1" x14ac:dyDescent="0.35">
      <c r="A103" s="37"/>
      <c r="B103" s="4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row>
    <row r="104" spans="1:28" ht="14.25" customHeight="1" x14ac:dyDescent="0.35">
      <c r="A104" s="37"/>
      <c r="B104" s="4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row>
  </sheetData>
  <sheetProtection algorithmName="SHA-512" hashValue="4Z6bifW4u2jsk9DnNyvMQLAqKwmTJSgn//k76WtJAlHHd3uMa3Uwv7no9QGhgqXM+nytrp1S6zliN1aRoKFhmg==" saltValue="WNww9VtwKHR87xFof+4sKA==" spinCount="100000" sheet="1" formatColumns="0" formatRows="0"/>
  <mergeCells count="5">
    <mergeCell ref="B9:B11"/>
    <mergeCell ref="D9:V9"/>
    <mergeCell ref="Q2:R2"/>
    <mergeCell ref="U2:V2"/>
    <mergeCell ref="B1:B3"/>
  </mergeCells>
  <conditionalFormatting sqref="L2">
    <cfRule type="expression" dxfId="376" priority="51">
      <formula>L$2="NÃO"</formula>
    </cfRule>
  </conditionalFormatting>
  <conditionalFormatting sqref="L2">
    <cfRule type="expression" dxfId="375" priority="52">
      <formula>L$2= "SIM"</formula>
    </cfRule>
  </conditionalFormatting>
  <conditionalFormatting sqref="I7 E7 M7 Q7 U7 E35 E27:E28 M27:M28 I27:I28 Q27:Q28 U27:U28 E38 E32 I32 M32 Q32 U32 I38 M38 Q38 U38 U41:U45 Q41:Q45 M41:M45 I41:I45 E41:E45 Q35 I35 U35 M35">
    <cfRule type="expression" dxfId="374" priority="194">
      <formula>E$7="NÃO"</formula>
    </cfRule>
  </conditionalFormatting>
  <conditionalFormatting sqref="I7 E7 M7 Q7 U7 E35 E27:E28 M27:M28 I27:I28 Q27:Q28 U27:U28 E38 E32 I32 M32 Q32 U32 I38 M38 Q38 U38 U41:U45 Q41:Q45 M41:M45 I41:I45 E41:E45 Q35 I35 U35 M35">
    <cfRule type="expression" dxfId="373" priority="195">
      <formula>E$7= "SIM"</formula>
    </cfRule>
  </conditionalFormatting>
  <conditionalFormatting sqref="U15">
    <cfRule type="expression" dxfId="372" priority="49">
      <formula>U$7="NÃO"</formula>
    </cfRule>
  </conditionalFormatting>
  <conditionalFormatting sqref="U15">
    <cfRule type="expression" dxfId="371" priority="50">
      <formula>U$7= "SIM"</formula>
    </cfRule>
  </conditionalFormatting>
  <conditionalFormatting sqref="U16">
    <cfRule type="expression" dxfId="370" priority="47">
      <formula>U$7="NÃO"</formula>
    </cfRule>
  </conditionalFormatting>
  <conditionalFormatting sqref="U16">
    <cfRule type="expression" dxfId="369" priority="48">
      <formula>U$7= "SIM"</formula>
    </cfRule>
  </conditionalFormatting>
  <conditionalFormatting sqref="U17">
    <cfRule type="expression" dxfId="368" priority="45">
      <formula>U$7="NÃO"</formula>
    </cfRule>
  </conditionalFormatting>
  <conditionalFormatting sqref="U17">
    <cfRule type="expression" dxfId="367" priority="46">
      <formula>U$7= "SIM"</formula>
    </cfRule>
  </conditionalFormatting>
  <conditionalFormatting sqref="U18">
    <cfRule type="expression" dxfId="366" priority="43">
      <formula>U$7="NÃO"</formula>
    </cfRule>
  </conditionalFormatting>
  <conditionalFormatting sqref="U18">
    <cfRule type="expression" dxfId="365" priority="44">
      <formula>U$7= "SIM"</formula>
    </cfRule>
  </conditionalFormatting>
  <conditionalFormatting sqref="U19">
    <cfRule type="expression" dxfId="364" priority="41">
      <formula>U$7="NÃO"</formula>
    </cfRule>
  </conditionalFormatting>
  <conditionalFormatting sqref="U19">
    <cfRule type="expression" dxfId="363" priority="42">
      <formula>U$7= "SIM"</formula>
    </cfRule>
  </conditionalFormatting>
  <conditionalFormatting sqref="Q15">
    <cfRule type="expression" dxfId="362" priority="39">
      <formula>Q$7="NÃO"</formula>
    </cfRule>
  </conditionalFormatting>
  <conditionalFormatting sqref="Q15">
    <cfRule type="expression" dxfId="361" priority="40">
      <formula>Q$7= "SIM"</formula>
    </cfRule>
  </conditionalFormatting>
  <conditionalFormatting sqref="Q16">
    <cfRule type="expression" dxfId="360" priority="37">
      <formula>Q$7="NÃO"</formula>
    </cfRule>
  </conditionalFormatting>
  <conditionalFormatting sqref="Q16">
    <cfRule type="expression" dxfId="359" priority="38">
      <formula>Q$7= "SIM"</formula>
    </cfRule>
  </conditionalFormatting>
  <conditionalFormatting sqref="Q17">
    <cfRule type="expression" dxfId="358" priority="35">
      <formula>Q$7="NÃO"</formula>
    </cfRule>
  </conditionalFormatting>
  <conditionalFormatting sqref="Q17">
    <cfRule type="expression" dxfId="357" priority="36">
      <formula>Q$7= "SIM"</formula>
    </cfRule>
  </conditionalFormatting>
  <conditionalFormatting sqref="Q18">
    <cfRule type="expression" dxfId="356" priority="33">
      <formula>Q$7="NÃO"</formula>
    </cfRule>
  </conditionalFormatting>
  <conditionalFormatting sqref="Q18">
    <cfRule type="expression" dxfId="355" priority="34">
      <formula>Q$7= "SIM"</formula>
    </cfRule>
  </conditionalFormatting>
  <conditionalFormatting sqref="Q19">
    <cfRule type="expression" dxfId="354" priority="31">
      <formula>Q$7="NÃO"</formula>
    </cfRule>
  </conditionalFormatting>
  <conditionalFormatting sqref="Q19">
    <cfRule type="expression" dxfId="353" priority="32">
      <formula>Q$7= "SIM"</formula>
    </cfRule>
  </conditionalFormatting>
  <conditionalFormatting sqref="M15">
    <cfRule type="expression" dxfId="352" priority="29">
      <formula>M$7="NÃO"</formula>
    </cfRule>
  </conditionalFormatting>
  <conditionalFormatting sqref="M15">
    <cfRule type="expression" dxfId="351" priority="30">
      <formula>M$7= "SIM"</formula>
    </cfRule>
  </conditionalFormatting>
  <conditionalFormatting sqref="M16">
    <cfRule type="expression" dxfId="350" priority="27">
      <formula>M$7="NÃO"</formula>
    </cfRule>
  </conditionalFormatting>
  <conditionalFormatting sqref="M16">
    <cfRule type="expression" dxfId="349" priority="28">
      <formula>M$7= "SIM"</formula>
    </cfRule>
  </conditionalFormatting>
  <conditionalFormatting sqref="M17">
    <cfRule type="expression" dxfId="348" priority="25">
      <formula>M$7="NÃO"</formula>
    </cfRule>
  </conditionalFormatting>
  <conditionalFormatting sqref="M17">
    <cfRule type="expression" dxfId="347" priority="26">
      <formula>M$7= "SIM"</formula>
    </cfRule>
  </conditionalFormatting>
  <conditionalFormatting sqref="M18">
    <cfRule type="expression" dxfId="346" priority="23">
      <formula>M$7="NÃO"</formula>
    </cfRule>
  </conditionalFormatting>
  <conditionalFormatting sqref="M18">
    <cfRule type="expression" dxfId="345" priority="24">
      <formula>M$7= "SIM"</formula>
    </cfRule>
  </conditionalFormatting>
  <conditionalFormatting sqref="M19">
    <cfRule type="expression" dxfId="344" priority="21">
      <formula>M$7="NÃO"</formula>
    </cfRule>
  </conditionalFormatting>
  <conditionalFormatting sqref="M19">
    <cfRule type="expression" dxfId="343" priority="22">
      <formula>M$7= "SIM"</formula>
    </cfRule>
  </conditionalFormatting>
  <conditionalFormatting sqref="I15">
    <cfRule type="expression" dxfId="342" priority="19">
      <formula>I$7="NÃO"</formula>
    </cfRule>
  </conditionalFormatting>
  <conditionalFormatting sqref="I15">
    <cfRule type="expression" dxfId="341" priority="20">
      <formula>I$7= "SIM"</formula>
    </cfRule>
  </conditionalFormatting>
  <conditionalFormatting sqref="I16">
    <cfRule type="expression" dxfId="340" priority="17">
      <formula>I$7="NÃO"</formula>
    </cfRule>
  </conditionalFormatting>
  <conditionalFormatting sqref="I16">
    <cfRule type="expression" dxfId="339" priority="18">
      <formula>I$7= "SIM"</formula>
    </cfRule>
  </conditionalFormatting>
  <conditionalFormatting sqref="I17">
    <cfRule type="expression" dxfId="338" priority="15">
      <formula>I$7="NÃO"</formula>
    </cfRule>
  </conditionalFormatting>
  <conditionalFormatting sqref="I17">
    <cfRule type="expression" dxfId="337" priority="16">
      <formula>I$7= "SIM"</formula>
    </cfRule>
  </conditionalFormatting>
  <conditionalFormatting sqref="I18">
    <cfRule type="expression" dxfId="336" priority="13">
      <formula>I$7="NÃO"</formula>
    </cfRule>
  </conditionalFormatting>
  <conditionalFormatting sqref="I18">
    <cfRule type="expression" dxfId="335" priority="14">
      <formula>I$7= "SIM"</formula>
    </cfRule>
  </conditionalFormatting>
  <conditionalFormatting sqref="I19">
    <cfRule type="expression" dxfId="334" priority="11">
      <formula>I$7="NÃO"</formula>
    </cfRule>
  </conditionalFormatting>
  <conditionalFormatting sqref="I19">
    <cfRule type="expression" dxfId="333" priority="12">
      <formula>I$7= "SIM"</formula>
    </cfRule>
  </conditionalFormatting>
  <conditionalFormatting sqref="E15">
    <cfRule type="expression" dxfId="332" priority="9">
      <formula>E$7="NÃO"</formula>
    </cfRule>
  </conditionalFormatting>
  <conditionalFormatting sqref="E15">
    <cfRule type="expression" dxfId="331" priority="10">
      <formula>E$7= "SIM"</formula>
    </cfRule>
  </conditionalFormatting>
  <conditionalFormatting sqref="E16">
    <cfRule type="expression" dxfId="330" priority="7">
      <formula>E$7="NÃO"</formula>
    </cfRule>
  </conditionalFormatting>
  <conditionalFormatting sqref="E16">
    <cfRule type="expression" dxfId="329" priority="8">
      <formula>E$7= "SIM"</formula>
    </cfRule>
  </conditionalFormatting>
  <conditionalFormatting sqref="E17">
    <cfRule type="expression" dxfId="328" priority="5">
      <formula>E$7="NÃO"</formula>
    </cfRule>
  </conditionalFormatting>
  <conditionalFormatting sqref="E17">
    <cfRule type="expression" dxfId="327" priority="6">
      <formula>E$7= "SIM"</formula>
    </cfRule>
  </conditionalFormatting>
  <conditionalFormatting sqref="E18">
    <cfRule type="expression" dxfId="326" priority="3">
      <formula>E$7="NÃO"</formula>
    </cfRule>
  </conditionalFormatting>
  <conditionalFormatting sqref="E18">
    <cfRule type="expression" dxfId="325" priority="4">
      <formula>E$7= "SIM"</formula>
    </cfRule>
  </conditionalFormatting>
  <conditionalFormatting sqref="E19">
    <cfRule type="expression" dxfId="324" priority="1">
      <formula>E$7="NÃO"</formula>
    </cfRule>
  </conditionalFormatting>
  <conditionalFormatting sqref="E19">
    <cfRule type="expression" dxfId="323" priority="2">
      <formula>E$7= "SIM"</formula>
    </cfRule>
  </conditionalFormatting>
  <conditionalFormatting sqref="D2">
    <cfRule type="expression" dxfId="322" priority="200">
      <formula>AND($L$2="Sim",$D$2&lt;$D$11)</formula>
    </cfRule>
  </conditionalFormatting>
  <conditionalFormatting sqref="D2">
    <cfRule type="expression" dxfId="321" priority="201">
      <formula>AND($L$2="Sim",$D$2&gt;$V$11)</formula>
    </cfRule>
  </conditionalFormatting>
  <pageMargins left="0.511811024" right="0.511811024" top="0.78740157499999996" bottom="0.78740157499999996" header="0" footer="0"/>
  <pageSetup paperSize="9" orientation="portrait"/>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outlinePr summaryBelow="0"/>
  </sheetPr>
  <dimension ref="A1:BI104"/>
  <sheetViews>
    <sheetView zoomScale="75" zoomScaleNormal="75" workbookViewId="0">
      <selection activeCell="B1" sqref="B1:B3"/>
    </sheetView>
  </sheetViews>
  <sheetFormatPr defaultColWidth="14.453125" defaultRowHeight="15" customHeight="1" outlineLevelRow="1" x14ac:dyDescent="0.35"/>
  <cols>
    <col min="1" max="1" width="1.7265625" style="1001" customWidth="1"/>
    <col min="2" max="2" width="60.7265625" style="1001" customWidth="1"/>
    <col min="3" max="3" width="1.7265625" style="1001" customWidth="1"/>
    <col min="4" max="4" width="11.7265625" style="1001" customWidth="1"/>
    <col min="5" max="5" width="15.7265625" style="1001" customWidth="1"/>
    <col min="6" max="6" width="11.7265625" style="1001" customWidth="1"/>
    <col min="7" max="7" width="1.7265625" style="1001" customWidth="1"/>
    <col min="8" max="8" width="11.7265625" style="1001" customWidth="1"/>
    <col min="9" max="9" width="15.7265625" style="1001" customWidth="1"/>
    <col min="10" max="10" width="11.7265625" style="1001" customWidth="1"/>
    <col min="11" max="11" width="1.7265625" style="1001" customWidth="1"/>
    <col min="12" max="12" width="11.7265625" style="1001" customWidth="1"/>
    <col min="13" max="13" width="15.7265625" style="1001" customWidth="1"/>
    <col min="14" max="14" width="11.7265625" style="1001" customWidth="1"/>
    <col min="15" max="15" width="1.7265625" style="1001" customWidth="1"/>
    <col min="16" max="16" width="11.7265625" style="1001" customWidth="1"/>
    <col min="17" max="17" width="15.7265625" style="1001" customWidth="1"/>
    <col min="18" max="18" width="11.7265625" style="1001" customWidth="1"/>
    <col min="19" max="19" width="1.7265625" style="1001" customWidth="1"/>
    <col min="20" max="20" width="11.7265625" style="1001" customWidth="1"/>
    <col min="21" max="21" width="15.7265625" style="1001" customWidth="1"/>
    <col min="22" max="22" width="11.7265625" style="1001" customWidth="1"/>
    <col min="23" max="27" width="8.7265625" style="1001" hidden="1" customWidth="1"/>
    <col min="28" max="61" width="8.7265625" style="1001" customWidth="1"/>
    <col min="62" max="16384" width="14.453125" style="1001"/>
  </cols>
  <sheetData>
    <row r="1" spans="1:61" ht="20.149999999999999" customHeight="1" x14ac:dyDescent="0.35">
      <c r="B1" s="2303" t="s">
        <v>871</v>
      </c>
      <c r="C1" s="441"/>
      <c r="D1" s="441"/>
      <c r="E1" s="441"/>
      <c r="F1" s="441"/>
      <c r="G1" s="441"/>
      <c r="H1" s="441"/>
      <c r="I1" s="441"/>
      <c r="J1" s="441"/>
      <c r="K1" s="441"/>
      <c r="L1" s="441"/>
      <c r="M1" s="441"/>
      <c r="N1" s="441"/>
      <c r="O1" s="441"/>
      <c r="P1" s="441"/>
      <c r="Q1" s="441"/>
      <c r="R1" s="441"/>
      <c r="S1" s="441"/>
      <c r="T1" s="441"/>
      <c r="U1" s="441"/>
      <c r="V1" s="441"/>
    </row>
    <row r="2" spans="1:61" ht="20.149999999999999" customHeight="1" x14ac:dyDescent="0.45">
      <c r="A2" s="52"/>
      <c r="B2" s="2303"/>
      <c r="C2" s="444"/>
      <c r="D2" s="1021">
        <f>'R-Resumo Bal. Massa'!B30*(1+'R&amp;C-Painel de Controle'!H60)</f>
        <v>194.4</v>
      </c>
      <c r="E2" s="1022" t="s">
        <v>19</v>
      </c>
      <c r="F2" s="1002"/>
      <c r="G2" s="1002"/>
      <c r="H2" s="1156">
        <f>D2*313</f>
        <v>60847.200000000004</v>
      </c>
      <c r="I2" s="1155" t="s">
        <v>291</v>
      </c>
      <c r="J2" s="1002"/>
      <c r="K2" s="1002"/>
      <c r="L2" s="1137" t="str">
        <f>IF(D2&gt;0,"Sim","Não")</f>
        <v>Sim</v>
      </c>
      <c r="M2" s="439"/>
      <c r="N2" s="439"/>
      <c r="O2" s="439"/>
      <c r="P2" s="1157" t="s">
        <v>493</v>
      </c>
      <c r="Q2" s="2294" t="str">
        <f>'R-Definição'!D2</f>
        <v>São Judas Tadeu</v>
      </c>
      <c r="R2" s="2295"/>
      <c r="S2" s="437"/>
      <c r="T2" s="1157" t="s">
        <v>494</v>
      </c>
      <c r="U2" s="2294" t="str">
        <f>'R-Definição'!D3</f>
        <v>Rota Futura 1</v>
      </c>
      <c r="V2" s="2295"/>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row>
    <row r="3" spans="1:61" ht="20.149999999999999" customHeight="1" x14ac:dyDescent="0.35">
      <c r="B3" s="2303"/>
      <c r="C3" s="435"/>
      <c r="D3" s="434"/>
      <c r="E3" s="434"/>
      <c r="F3" s="434"/>
      <c r="G3" s="434"/>
      <c r="H3" s="434"/>
      <c r="I3" s="434"/>
      <c r="J3" s="434"/>
      <c r="K3" s="434"/>
      <c r="L3" s="434"/>
      <c r="M3" s="434"/>
      <c r="N3" s="434"/>
      <c r="O3" s="439"/>
      <c r="P3" s="434"/>
      <c r="Q3" s="434"/>
      <c r="R3" s="434"/>
      <c r="S3" s="434"/>
      <c r="T3" s="434"/>
      <c r="U3" s="434"/>
      <c r="V3" s="434"/>
    </row>
    <row r="4" spans="1:61" s="326" customFormat="1" ht="7.5" customHeight="1" x14ac:dyDescent="0.35">
      <c r="A4" s="435"/>
      <c r="B4" s="733"/>
      <c r="C4" s="393"/>
      <c r="D4" s="1121"/>
      <c r="E4" s="1121"/>
      <c r="F4" s="1121"/>
      <c r="G4" s="393"/>
      <c r="H4" s="1121"/>
      <c r="I4" s="1121"/>
      <c r="J4" s="1121"/>
      <c r="K4" s="393"/>
      <c r="L4" s="1121"/>
      <c r="M4" s="1121"/>
      <c r="N4" s="1121"/>
      <c r="O4" s="393"/>
      <c r="P4" s="1121"/>
      <c r="Q4" s="1121"/>
      <c r="R4" s="1121"/>
      <c r="S4" s="1027"/>
      <c r="T4" s="1121"/>
      <c r="U4" s="1121"/>
      <c r="V4" s="1028"/>
    </row>
    <row r="5" spans="1:61" ht="17.899999999999999" customHeight="1" x14ac:dyDescent="0.35">
      <c r="B5" s="993" t="s">
        <v>859</v>
      </c>
      <c r="C5" s="445"/>
      <c r="D5" s="961">
        <v>4.25</v>
      </c>
      <c r="E5" s="998" t="s">
        <v>870</v>
      </c>
      <c r="F5" s="996"/>
      <c r="G5" s="996"/>
      <c r="H5" s="996"/>
      <c r="I5" s="996"/>
      <c r="J5" s="996"/>
      <c r="K5" s="996"/>
      <c r="L5" s="996"/>
      <c r="M5" s="996"/>
      <c r="N5" s="996"/>
      <c r="O5" s="996"/>
      <c r="P5" s="996"/>
      <c r="Q5" s="996"/>
      <c r="R5" s="996"/>
      <c r="S5" s="996"/>
      <c r="T5" s="996"/>
      <c r="U5" s="996"/>
      <c r="V5" s="327"/>
    </row>
    <row r="6" spans="1:61" s="326" customFormat="1" ht="7.5" customHeight="1" x14ac:dyDescent="0.35">
      <c r="A6" s="435"/>
      <c r="B6" s="733"/>
      <c r="C6" s="393"/>
      <c r="D6" s="1121"/>
      <c r="E6" s="1121"/>
      <c r="F6" s="1121"/>
      <c r="G6" s="393"/>
      <c r="H6" s="1121"/>
      <c r="I6" s="1121"/>
      <c r="J6" s="1121"/>
      <c r="K6" s="393"/>
      <c r="L6" s="1121"/>
      <c r="M6" s="1121"/>
      <c r="N6" s="1121"/>
      <c r="O6" s="393"/>
      <c r="P6" s="1121"/>
      <c r="Q6" s="1121"/>
      <c r="R6" s="1121"/>
      <c r="S6" s="1027"/>
      <c r="T6" s="1121"/>
      <c r="U6" s="1121"/>
      <c r="V6" s="1028"/>
    </row>
    <row r="7" spans="1:61" s="1005" customFormat="1" ht="20.149999999999999" customHeight="1" x14ac:dyDescent="0.35">
      <c r="B7" s="977"/>
      <c r="C7" s="977"/>
      <c r="D7" s="977"/>
      <c r="E7" s="1114" t="str">
        <f>IF(AND(L2="Sim",$D$2&gt;D11,$D$2&lt;=F11),"SIM","NÃO")</f>
        <v>NÃO</v>
      </c>
      <c r="F7" s="981"/>
      <c r="G7" s="977"/>
      <c r="H7" s="981"/>
      <c r="I7" s="1141" t="str">
        <f>IF(AND(L2="Sim",$D$2&gt;H11,$D$2&lt;=J11),"SIM","NÃO")</f>
        <v>SIM</v>
      </c>
      <c r="J7" s="981"/>
      <c r="K7" s="977"/>
      <c r="L7" s="981"/>
      <c r="M7" s="1114" t="str">
        <f>IF(AND(L2="Sim",$D$2&gt;L11,$D$2&lt;=N11),"SIM","NÃO")</f>
        <v>NÃO</v>
      </c>
      <c r="N7" s="981"/>
      <c r="O7" s="1139"/>
      <c r="P7" s="981"/>
      <c r="Q7" s="1114" t="str">
        <f>IF(AND(L2="Sim",$D$2&gt;P11,$D$2&lt;=R11),"SIM","NÃO")</f>
        <v>NÃO</v>
      </c>
      <c r="R7" s="981"/>
      <c r="S7" s="977"/>
      <c r="T7" s="981"/>
      <c r="U7" s="1142" t="str">
        <f>IF(AND(L2="Sim",$D$2&gt;T11,$D$2&lt;=V11*1.5),"SIM","NÃO")</f>
        <v>NÃO</v>
      </c>
      <c r="V7" s="977"/>
    </row>
    <row r="8" spans="1:61" s="326" customFormat="1" ht="7.5" customHeight="1" thickBot="1" x14ac:dyDescent="0.4">
      <c r="A8" s="435"/>
      <c r="B8" s="733"/>
      <c r="C8" s="393"/>
      <c r="D8" s="1121"/>
      <c r="E8" s="1121"/>
      <c r="F8" s="1121"/>
      <c r="G8" s="393"/>
      <c r="H8" s="1121"/>
      <c r="I8" s="1121"/>
      <c r="J8" s="1121"/>
      <c r="K8" s="393"/>
      <c r="L8" s="1121"/>
      <c r="M8" s="1121"/>
      <c r="N8" s="1121"/>
      <c r="O8" s="393"/>
      <c r="P8" s="1121"/>
      <c r="Q8" s="1121"/>
      <c r="R8" s="1121"/>
      <c r="S8" s="1027"/>
      <c r="T8" s="1121"/>
      <c r="U8" s="1121"/>
      <c r="V8" s="1028"/>
    </row>
    <row r="9" spans="1:61" ht="17.899999999999999" customHeight="1" thickTop="1" thickBot="1" x14ac:dyDescent="0.5">
      <c r="B9" s="2297" t="s">
        <v>697</v>
      </c>
      <c r="C9" s="1023"/>
      <c r="D9" s="2300" t="s">
        <v>703</v>
      </c>
      <c r="E9" s="2301"/>
      <c r="F9" s="2301"/>
      <c r="G9" s="2301"/>
      <c r="H9" s="2301"/>
      <c r="I9" s="2301"/>
      <c r="J9" s="2301"/>
      <c r="K9" s="2301"/>
      <c r="L9" s="2301"/>
      <c r="M9" s="2301"/>
      <c r="N9" s="2301"/>
      <c r="O9" s="2301"/>
      <c r="P9" s="2301"/>
      <c r="Q9" s="2301"/>
      <c r="R9" s="2301"/>
      <c r="S9" s="2301"/>
      <c r="T9" s="2301"/>
      <c r="U9" s="2301"/>
      <c r="V9" s="2302"/>
    </row>
    <row r="10" spans="1:61" ht="7.5" customHeight="1" x14ac:dyDescent="0.35">
      <c r="B10" s="2298"/>
      <c r="C10" s="1023"/>
      <c r="D10" s="1132"/>
      <c r="E10" s="1020"/>
      <c r="F10" s="1020"/>
      <c r="G10" s="978"/>
      <c r="H10" s="1020"/>
      <c r="I10" s="1020"/>
      <c r="J10" s="1020"/>
      <c r="K10" s="978"/>
      <c r="L10" s="1020"/>
      <c r="M10" s="1020"/>
      <c r="N10" s="1020"/>
      <c r="O10" s="978"/>
      <c r="P10" s="1020"/>
      <c r="Q10" s="1020"/>
      <c r="R10" s="1020"/>
      <c r="S10" s="978"/>
      <c r="T10" s="1020"/>
      <c r="U10" s="1020"/>
      <c r="V10" s="1133"/>
    </row>
    <row r="11" spans="1:61" ht="17.899999999999999" customHeight="1" thickBot="1" x14ac:dyDescent="0.4">
      <c r="B11" s="2299"/>
      <c r="C11" s="1023"/>
      <c r="D11" s="1124">
        <v>50</v>
      </c>
      <c r="E11" s="1126" t="s">
        <v>19</v>
      </c>
      <c r="F11" s="1126">
        <v>100</v>
      </c>
      <c r="G11" s="1127"/>
      <c r="H11" s="1126">
        <f>F11</f>
        <v>100</v>
      </c>
      <c r="I11" s="1126" t="s">
        <v>19</v>
      </c>
      <c r="J11" s="1126">
        <v>200</v>
      </c>
      <c r="K11" s="1127"/>
      <c r="L11" s="1126">
        <f>J11</f>
        <v>200</v>
      </c>
      <c r="M11" s="1126" t="s">
        <v>19</v>
      </c>
      <c r="N11" s="1126">
        <v>300</v>
      </c>
      <c r="O11" s="1127"/>
      <c r="P11" s="1126">
        <f>N11</f>
        <v>300</v>
      </c>
      <c r="Q11" s="1126" t="s">
        <v>19</v>
      </c>
      <c r="R11" s="1126">
        <v>400</v>
      </c>
      <c r="S11" s="1127"/>
      <c r="T11" s="1126">
        <f>R11</f>
        <v>400</v>
      </c>
      <c r="U11" s="1126" t="s">
        <v>19</v>
      </c>
      <c r="V11" s="1128">
        <v>500</v>
      </c>
    </row>
    <row r="12" spans="1:61" ht="15" customHeight="1" thickTop="1" thickBot="1" x14ac:dyDescent="0.4">
      <c r="B12" s="1130"/>
      <c r="C12" s="875"/>
      <c r="D12" s="1131"/>
      <c r="E12" s="1131"/>
      <c r="F12" s="1131"/>
      <c r="G12" s="875"/>
      <c r="H12" s="1131"/>
      <c r="I12" s="1131"/>
      <c r="J12" s="1131"/>
      <c r="K12" s="875"/>
      <c r="L12" s="1131"/>
      <c r="M12" s="1131"/>
      <c r="N12" s="1131"/>
      <c r="O12" s="875"/>
      <c r="P12" s="1131"/>
      <c r="Q12" s="1131"/>
      <c r="R12" s="1131"/>
      <c r="S12" s="875"/>
      <c r="T12" s="1131"/>
      <c r="U12" s="1131"/>
      <c r="V12" s="1131"/>
    </row>
    <row r="13" spans="1:61" s="1005" customFormat="1" ht="25.15" customHeight="1" thickTop="1" thickBot="1" x14ac:dyDescent="0.4">
      <c r="B13" s="1060" t="s">
        <v>497</v>
      </c>
      <c r="C13" s="1025"/>
      <c r="D13" s="1062" t="s">
        <v>858</v>
      </c>
      <c r="E13" s="1063" t="s">
        <v>499</v>
      </c>
      <c r="F13" s="1064" t="s">
        <v>332</v>
      </c>
      <c r="G13" s="997"/>
      <c r="H13" s="1062" t="s">
        <v>858</v>
      </c>
      <c r="I13" s="1063" t="s">
        <v>499</v>
      </c>
      <c r="J13" s="1064" t="s">
        <v>332</v>
      </c>
      <c r="K13" s="997"/>
      <c r="L13" s="1062" t="s">
        <v>858</v>
      </c>
      <c r="M13" s="1063" t="s">
        <v>499</v>
      </c>
      <c r="N13" s="1064" t="s">
        <v>332</v>
      </c>
      <c r="O13" s="997"/>
      <c r="P13" s="1062" t="s">
        <v>858</v>
      </c>
      <c r="Q13" s="1063" t="s">
        <v>499</v>
      </c>
      <c r="R13" s="1064" t="s">
        <v>332</v>
      </c>
      <c r="S13" s="997"/>
      <c r="T13" s="1062" t="s">
        <v>858</v>
      </c>
      <c r="U13" s="1063" t="s">
        <v>499</v>
      </c>
      <c r="V13" s="1064" t="s">
        <v>332</v>
      </c>
    </row>
    <row r="14" spans="1:61" s="326" customFormat="1" ht="7.5" customHeight="1" x14ac:dyDescent="0.35">
      <c r="A14" s="435"/>
      <c r="B14" s="1088"/>
      <c r="C14" s="1025"/>
      <c r="D14" s="1094"/>
      <c r="E14" s="337"/>
      <c r="F14" s="1039"/>
      <c r="G14" s="1025"/>
      <c r="H14" s="1094"/>
      <c r="I14" s="337"/>
      <c r="J14" s="1039"/>
      <c r="K14" s="1025"/>
      <c r="L14" s="1094"/>
      <c r="M14" s="337"/>
      <c r="N14" s="1039"/>
      <c r="O14" s="1025"/>
      <c r="P14" s="1094"/>
      <c r="Q14" s="337"/>
      <c r="R14" s="1039"/>
      <c r="S14" s="1025"/>
      <c r="T14" s="1094"/>
      <c r="U14" s="337"/>
      <c r="V14" s="1039"/>
    </row>
    <row r="15" spans="1:61" ht="20.149999999999999" customHeight="1" x14ac:dyDescent="0.35">
      <c r="A15" s="47"/>
      <c r="B15" s="1035" t="s">
        <v>427</v>
      </c>
      <c r="C15" s="997"/>
      <c r="D15" s="1581">
        <f>IF('R-Definição'!$L$49&lt;=20,((500000*1/150+2089406/(1000*0.05))/1000),IF(AND('R-Definição'!$L$49&gt;20,'R-Definição'!$L$49&lt;=50),((500000*1/150+2089406/(1000*0.05))/1000)*1.3,IF('R-Definição'!$L$49&gt;50,((500000*1/150+2089406/(1000*0.05))/1000)*1.5,)))</f>
        <v>45.121453333333335</v>
      </c>
      <c r="E15" s="1514" t="str">
        <f>IF(E7="SIM",((((H15*(($D$2-D11)/(F11-D11))*$H$2/1000)*E21*$D$5*(1+'R&amp;C-Painel de Controle'!$D$62)+(H15*(($D$2-D11)/(F11-D11))*$H$2/1000)*(1-E21)*'R&amp;C-Painel de Controle'!$D$53*(1+'R&amp;C-Painel de Controle'!$D$55)))+(((D15*((F11-$D$2)/(F11-D11))*$H$2/1000)*E21*$D$5*(1+'R&amp;C-Painel de Controle'!$D$62)+(D15*((F11-$D$2)/(F11-D11))*$H$2/1000)*(1-E21)*'R&amp;C-Painel de Controle'!$D$53*(1+'R&amp;C-Painel de Controle'!$D$55))))/1000, "-")</f>
        <v>-</v>
      </c>
      <c r="F15" s="1515">
        <v>0.1</v>
      </c>
      <c r="G15" s="1026"/>
      <c r="H15" s="1581">
        <f>IF('R-Definição'!$L$49&lt;=20,((500000*1/150+2089406/(1000*0.05))/1000),IF(AND('R-Definição'!$L$49&gt;20,'R-Definição'!$L$49&lt;=50),((500000*1/150+2089406/(1000*0.05))/1000)*1.3,IF('R-Definição'!$L$49&gt;50,((500000*1/150+2089406/(1000*0.05))/1000)*1.5,)))</f>
        <v>45.121453333333335</v>
      </c>
      <c r="I15" s="1514">
        <f>IF(I7="SIM",((((L15*(($D$2-H11)/(J11-H11))*$H$2/1000)*I21*$D$5*(1+'R&amp;C-Painel de Controle'!$D$62)+(L15*(($D$2-H11)/(J11-H11))*$H$2/1000)*(1-I21)*'R&amp;C-Painel de Controle'!$D$53*(1+'R&amp;C-Painel de Controle'!$D$55)))+(((H15*((J11-$D$2)/(J11-H11))*$H$2/1000)*I21*$D$5*(1+'R&amp;C-Painel de Controle'!$D$62)+(H15*((J11-$D$2)/(J11-H11))*$H$2/1000)*(1-I21)*'R&amp;C-Painel de Controle'!$D$53*(1+'R&amp;C-Painel de Controle'!$D$55))))/1000, "-")</f>
        <v>17.914479471597602</v>
      </c>
      <c r="J15" s="1515">
        <v>0.1</v>
      </c>
      <c r="K15" s="1026"/>
      <c r="L15" s="1581">
        <f>IF('R-Definição'!$L$49&lt;=20,((500000*1/150+2089406/(1000*0.05))/1000),IF(AND('R-Definição'!$L$49&gt;20,'R-Definição'!$L$49&lt;=50),((500000*1/150+2089406/(1000*0.05))/1000)*1.3,IF('R-Definição'!$L$49&gt;50,((500000*1/150+2089406/(1000*0.05))/1000)*1.5,)))</f>
        <v>45.121453333333335</v>
      </c>
      <c r="M15" s="1514" t="str">
        <f>IF(M7="SIM",((((P15*(($D$2-L11)/(N11-L11))*$H$2/1000)*M21*$D$5*(1+'R&amp;C-Painel de Controle'!$D$62)+(P15*(($D$2-L11)/(N11-L11))*$H$2/1000)*(1-M21)*'R&amp;C-Painel de Controle'!$D$53*(1+'R&amp;C-Painel de Controle'!$D$55)))+(((L15*((N11-$D$2)/(N11-L11))*$H$2/1000)*M21*$D$5*(1+'R&amp;C-Painel de Controle'!$D$62)+(L15*((N11-$D$2)/(N11-L11))*$H$2/1000)*(1-M21)*'R&amp;C-Painel de Controle'!$D$53*(1+'R&amp;C-Painel de Controle'!$D$55))))/1000, "-")</f>
        <v>-</v>
      </c>
      <c r="N15" s="1515">
        <v>0.1</v>
      </c>
      <c r="O15" s="1026"/>
      <c r="P15" s="1581">
        <f>IF('R-Definição'!$L$49&lt;=20,((500000*1/150+2089406/(1000*0.05))/1000),IF(AND('R-Definição'!$L$49&gt;20,'R-Definição'!$L$49&lt;=50),((500000*1/150+2089406/(1000*0.05))/1000)*1.3,IF('R-Definição'!$L$49&gt;50,((500000*1/150+2089406/(1000*0.05))/1000)*1.5,)))</f>
        <v>45.121453333333335</v>
      </c>
      <c r="Q15" s="1514" t="str">
        <f>IF(Q7="SIM",((((T15*(($D$2-P11)/(R11-P11))*$H$2/1000)*Q21*$D$5*(1+'R&amp;C-Painel de Controle'!$D$62)+(T15*(($D$2-P11)/(R11-P11))*$H$2/1000)*(1-Q21)*'R&amp;C-Painel de Controle'!$D$53*(1+'R&amp;C-Painel de Controle'!$D$55)))+(((P15*((R11-$D$2)/(R11-P11))*$H$2/1000)*Q21*$D$5*(1+'R&amp;C-Painel de Controle'!$D$62)+(P15*((R11-$D$2)/(R11-P11))*$H$2/1000)*(1-Q21)*'R&amp;C-Painel de Controle'!$D$53*(1+'R&amp;C-Painel de Controle'!$D$55))))/1000, "-")</f>
        <v>-</v>
      </c>
      <c r="R15" s="1515">
        <v>0.1</v>
      </c>
      <c r="S15" s="1582"/>
      <c r="T15" s="1581">
        <f>IF('R-Definição'!$L$49&lt;=20,((500000*1/150+2089406/(1000*0.05))/1000),IF(AND('R-Definição'!$L$49&gt;20,'R-Definição'!$L$49&lt;=50),((500000*1/150+2089406/(1000*0.05))/1000)*1.3,IF('R-Definição'!$L$49&gt;50,((500000*1/150+2089406/(1000*0.05))/1000)*1.5,)))</f>
        <v>45.121453333333335</v>
      </c>
      <c r="U15" s="1514" t="str">
        <f>IF(U7="SIM",((((45*(($D$2-T11)/(V11-T11))*$H$2/1000)*U21*$D$5*(1+'R&amp;C-Painel de Controle'!$D$62)+(45*(($D$2-T11)/(V11-T11))*$H$2/1000)*(1-U21)*'R&amp;C-Painel de Controle'!$D$53*(1+'R&amp;C-Painel de Controle'!$D$55)))+(((T15*((V11-$D$2)/(V11-T11))*$H$2/1000)*U21*$D$5*(1+'R&amp;C-Painel de Controle'!$D$62)+(T15*((V11-$D$2)/(V11-T11))*$H$2/1000)*(1-U21)*'R&amp;C-Painel de Controle'!$D$53*(1+'R&amp;C-Painel de Controle'!$D$55))))/1000, "-")</f>
        <v>-</v>
      </c>
      <c r="V15" s="1515">
        <v>0.1</v>
      </c>
      <c r="W15" s="51">
        <v>7.0306133515875011</v>
      </c>
      <c r="X15" s="51">
        <v>14.061226703175002</v>
      </c>
      <c r="Y15" s="51">
        <v>23.435377838624998</v>
      </c>
      <c r="Z15" s="51">
        <v>32.809528974075</v>
      </c>
      <c r="AA15" s="51">
        <v>42.126907242262497</v>
      </c>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row>
    <row r="16" spans="1:61" ht="20.149999999999999" customHeight="1" x14ac:dyDescent="0.35">
      <c r="A16" s="47"/>
      <c r="B16" s="1035" t="s">
        <v>698</v>
      </c>
      <c r="C16" s="997"/>
      <c r="D16" s="1516" t="s">
        <v>332</v>
      </c>
      <c r="E16" s="1514" t="str">
        <f>(IF(E$7="SIM",(F17*('R&amp;C-Painel de Controle'!$D$61))/1000000,"-"))</f>
        <v>-</v>
      </c>
      <c r="F16" s="1517">
        <v>0.05</v>
      </c>
      <c r="G16" s="1026"/>
      <c r="H16" s="1516" t="s">
        <v>332</v>
      </c>
      <c r="I16" s="1514">
        <f>(IF(I$7="SIM",(J17*('R&amp;C-Painel de Controle'!$D$61))/1000000,"-"))</f>
        <v>4.3499999999999996</v>
      </c>
      <c r="J16" s="1517">
        <v>0.05</v>
      </c>
      <c r="K16" s="1026"/>
      <c r="L16" s="1516" t="s">
        <v>332</v>
      </c>
      <c r="M16" s="1514" t="str">
        <f>(IF(M$7="SIM",(N17*('R&amp;C-Painel de Controle'!$D$61))/1000000,"-"))</f>
        <v>-</v>
      </c>
      <c r="N16" s="1517">
        <v>0.05</v>
      </c>
      <c r="O16" s="1026"/>
      <c r="P16" s="1516" t="s">
        <v>332</v>
      </c>
      <c r="Q16" s="1514" t="str">
        <f>(IF(Q$7="SIM",(R17*('R&amp;C-Painel de Controle'!$D$61))/1000000,"-"))</f>
        <v>-</v>
      </c>
      <c r="R16" s="1517">
        <v>0.05</v>
      </c>
      <c r="S16" s="1582"/>
      <c r="T16" s="1516" t="s">
        <v>332</v>
      </c>
      <c r="U16" s="1514" t="str">
        <f>(IF(U$7="SIM",(V17*('R&amp;C-Painel de Controle'!$D$61))/1000000,"-"))</f>
        <v>-</v>
      </c>
      <c r="V16" s="1517">
        <v>0.05</v>
      </c>
      <c r="W16" s="51">
        <v>0.61875000000000002</v>
      </c>
      <c r="X16" s="51">
        <v>2.1749999999999998</v>
      </c>
      <c r="Y16" s="51">
        <v>4.8375000000000004</v>
      </c>
      <c r="Z16" s="51">
        <v>8.4187499999999993</v>
      </c>
      <c r="AA16" s="51">
        <v>13.143750000000001</v>
      </c>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row>
    <row r="17" spans="1:61" ht="20.149999999999999" customHeight="1" x14ac:dyDescent="0.35">
      <c r="A17" s="47"/>
      <c r="B17" s="1035" t="s">
        <v>857</v>
      </c>
      <c r="C17" s="997"/>
      <c r="D17" s="1518">
        <f>F17</f>
        <v>825</v>
      </c>
      <c r="E17" s="1514" t="str">
        <f>(IF(E$7="SIM",('R&amp;C-Painel de Controle'!$D$56+0.25)*D17/1000000,"-"))</f>
        <v>-</v>
      </c>
      <c r="F17" s="1519">
        <f>10*10+10*10+25*25</f>
        <v>825</v>
      </c>
      <c r="G17" s="1026"/>
      <c r="H17" s="1518">
        <f>J17</f>
        <v>2900</v>
      </c>
      <c r="I17" s="1514">
        <f>(IF(I$7="SIM",('R&amp;C-Painel de Controle'!$D$56+0.25)*H17/1000000,"-"))</f>
        <v>0.26172499999999999</v>
      </c>
      <c r="J17" s="1519">
        <f>10*10+20*15+50*50</f>
        <v>2900</v>
      </c>
      <c r="K17" s="1026"/>
      <c r="L17" s="1518">
        <f>N17</f>
        <v>6450</v>
      </c>
      <c r="M17" s="1514" t="str">
        <f>(IF(M$7="SIM",('R&amp;C-Painel de Controle'!$D$56+0.25)*L17/1000000,"-"))</f>
        <v>-</v>
      </c>
      <c r="N17" s="1519">
        <f>15*15+30*20+75*75</f>
        <v>6450</v>
      </c>
      <c r="O17" s="1026"/>
      <c r="P17" s="1518">
        <f>R17</f>
        <v>11225</v>
      </c>
      <c r="Q17" s="1514" t="str">
        <f>(IF(Q$7="SIM",('R&amp;C-Painel de Controle'!$D$56+0.25)*P17/1000000,"-"))</f>
        <v>-</v>
      </c>
      <c r="R17" s="1519">
        <f>15*15+40*25+100*100</f>
        <v>11225</v>
      </c>
      <c r="S17" s="1026"/>
      <c r="T17" s="1518">
        <f>V17</f>
        <v>17525</v>
      </c>
      <c r="U17" s="1514" t="str">
        <f>(IF(U$7="SIM",('R&amp;C-Painel de Controle'!$D$56+0.25)*T17/1000000,"-"))</f>
        <v>-</v>
      </c>
      <c r="V17" s="1519">
        <f>20*20+50*30+125*125</f>
        <v>17525</v>
      </c>
      <c r="W17" s="51">
        <v>7.4249999999999997E-2</v>
      </c>
      <c r="X17" s="51">
        <v>0.26100000000000001</v>
      </c>
      <c r="Y17" s="51">
        <v>0.58050000000000002</v>
      </c>
      <c r="Z17" s="51">
        <v>1.0102500000000001</v>
      </c>
      <c r="AA17" s="51">
        <v>1.57725</v>
      </c>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row>
    <row r="18" spans="1:61" ht="20.149999999999999" customHeight="1" x14ac:dyDescent="0.35">
      <c r="A18" s="47"/>
      <c r="B18" s="1035" t="s">
        <v>495</v>
      </c>
      <c r="C18" s="997"/>
      <c r="D18" s="1583" t="str">
        <f>IF(E7="SIM",(E15+E16)*F18*1000/$H$2,"-")</f>
        <v>-</v>
      </c>
      <c r="E18" s="1514" t="str">
        <f>(IF(E$7="SIM",$H$2*D18/1000,"-"))</f>
        <v>-</v>
      </c>
      <c r="F18" s="1515">
        <v>2.5000000000000001E-2</v>
      </c>
      <c r="G18" s="1026"/>
      <c r="H18" s="1583">
        <f>IF(I7="SIM",(I15+I16)*J18*1000/$H$2,"-")</f>
        <v>9.1477009096546762E-3</v>
      </c>
      <c r="I18" s="1514">
        <f>(IF(I$7="SIM",$H$2*H18/1000,"-"))</f>
        <v>0.55661198678994006</v>
      </c>
      <c r="J18" s="1515">
        <v>2.5000000000000001E-2</v>
      </c>
      <c r="K18" s="1026"/>
      <c r="L18" s="1583" t="str">
        <f>IF(M7="SIM",(M15+M16)*N18*1000/$H$2,"-")</f>
        <v>-</v>
      </c>
      <c r="M18" s="1514" t="str">
        <f>(IF(M$7="SIM",$H$2*L18/1000,"-"))</f>
        <v>-</v>
      </c>
      <c r="N18" s="1515">
        <v>2.5000000000000001E-2</v>
      </c>
      <c r="O18" s="1026"/>
      <c r="P18" s="1583" t="str">
        <f>IF(Q7="SIM",(Q15+Q16)*R18*1000/$H$2,"-")</f>
        <v>-</v>
      </c>
      <c r="Q18" s="1514" t="str">
        <f>(IF(Q$7="SIM",$H$2*P18/1000,"-"))</f>
        <v>-</v>
      </c>
      <c r="R18" s="1515">
        <v>2.5000000000000001E-2</v>
      </c>
      <c r="S18" s="1026"/>
      <c r="T18" s="1583" t="str">
        <f>IF(U7="SIM",(U15+U16)*V18*1000/$H$2,"-")</f>
        <v>-</v>
      </c>
      <c r="U18" s="1514" t="str">
        <f>(IF(U$7="SIM",$H$2*T18/1000,"-"))</f>
        <v>-</v>
      </c>
      <c r="V18" s="1515">
        <v>2.5000000000000001E-2</v>
      </c>
      <c r="W18" s="51">
        <v>0.19123408378968754</v>
      </c>
      <c r="X18" s="51">
        <v>0.40590566757937507</v>
      </c>
      <c r="Y18" s="51">
        <v>0.70682194596562509</v>
      </c>
      <c r="Z18" s="51">
        <v>1.0307069743518749</v>
      </c>
      <c r="AA18" s="51">
        <v>1.3817664310565627</v>
      </c>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row>
    <row r="19" spans="1:61" s="1009" customFormat="1" ht="25.15" customHeight="1" collapsed="1" thickBot="1" x14ac:dyDescent="0.4">
      <c r="A19" s="1005"/>
      <c r="B19" s="1036" t="s">
        <v>428</v>
      </c>
      <c r="C19" s="1026"/>
      <c r="D19" s="1521">
        <v>0.05</v>
      </c>
      <c r="E19" s="1037" t="str">
        <f>IF(E7="SIM",SUM(E15:E18)*(1+D19),"-")</f>
        <v>-</v>
      </c>
      <c r="F19" s="1112" t="s">
        <v>332</v>
      </c>
      <c r="G19" s="1026"/>
      <c r="H19" s="1521">
        <v>0.05</v>
      </c>
      <c r="I19" s="1037">
        <f>IF(I7="SIM",SUM(I15:I18)*(1+H19),"-")</f>
        <v>24.236957281306918</v>
      </c>
      <c r="J19" s="1112" t="s">
        <v>332</v>
      </c>
      <c r="K19" s="1026"/>
      <c r="L19" s="1521">
        <v>0.05</v>
      </c>
      <c r="M19" s="1037" t="str">
        <f>IF(M7="SIM",SUM(M15:M18)*(1+L19),"-")</f>
        <v>-</v>
      </c>
      <c r="N19" s="1112" t="s">
        <v>332</v>
      </c>
      <c r="O19" s="1026"/>
      <c r="P19" s="1520">
        <v>0.05</v>
      </c>
      <c r="Q19" s="1037" t="str">
        <f>IF(Q7="SIM",SUM(Q15:Q18)*(1+P19),"-")</f>
        <v>-</v>
      </c>
      <c r="R19" s="1112" t="s">
        <v>332</v>
      </c>
      <c r="S19" s="1026"/>
      <c r="T19" s="1520">
        <v>0.05</v>
      </c>
      <c r="U19" s="1037" t="str">
        <f>IF(U7="SIM",SUM(U15:U18)*(1+T19),"-")</f>
        <v>-</v>
      </c>
      <c r="V19" s="1112" t="s">
        <v>332</v>
      </c>
      <c r="W19" s="1004">
        <v>8.3105898071460498</v>
      </c>
      <c r="X19" s="1004">
        <v>17.748288989292096</v>
      </c>
      <c r="Y19" s="1004">
        <v>31.03820977382016</v>
      </c>
      <c r="Z19" s="1004">
        <v>45.432697745848216</v>
      </c>
      <c r="AA19" s="1004">
        <v>61.141157356985019</v>
      </c>
      <c r="AB19" s="1005"/>
      <c r="AC19" s="1005"/>
      <c r="AD19" s="1005"/>
      <c r="AE19" s="1005"/>
      <c r="AF19" s="1005"/>
      <c r="AG19" s="1005"/>
      <c r="AH19" s="1005"/>
      <c r="AI19" s="1005"/>
      <c r="AJ19" s="1005"/>
      <c r="AK19" s="1005"/>
      <c r="AL19" s="1005"/>
      <c r="AM19" s="1005"/>
      <c r="AN19" s="1005"/>
      <c r="AO19" s="1005"/>
      <c r="AP19" s="1005"/>
      <c r="AQ19" s="1005"/>
      <c r="AR19" s="1005"/>
      <c r="AS19" s="1005"/>
      <c r="AT19" s="1005"/>
      <c r="AU19" s="1005"/>
      <c r="AV19" s="1005"/>
      <c r="AW19" s="1005"/>
      <c r="AX19" s="1005"/>
      <c r="AY19" s="1005"/>
      <c r="AZ19" s="1005"/>
      <c r="BA19" s="1005"/>
      <c r="BB19" s="1005"/>
      <c r="BC19" s="1005"/>
      <c r="BD19" s="1005"/>
      <c r="BE19" s="1005"/>
      <c r="BF19" s="1005"/>
      <c r="BG19" s="1005"/>
      <c r="BH19" s="1005"/>
      <c r="BI19" s="1005"/>
    </row>
    <row r="20" spans="1:61" ht="18" hidden="1" customHeight="1" outlineLevel="1" thickTop="1" x14ac:dyDescent="0.35">
      <c r="B20" s="1085" t="s">
        <v>429</v>
      </c>
      <c r="C20" s="875"/>
      <c r="D20" s="1557" t="s">
        <v>332</v>
      </c>
      <c r="E20" s="1567" t="str">
        <f>IF(E7="SIM",E19*1000000/$H$2,"-")</f>
        <v>-</v>
      </c>
      <c r="F20" s="1557" t="s">
        <v>332</v>
      </c>
      <c r="G20" s="1528"/>
      <c r="H20" s="1557" t="s">
        <v>332</v>
      </c>
      <c r="I20" s="1567">
        <f>IF(I7="SIM",I19*1000000/$H$2,"-")</f>
        <v>398.32493987080619</v>
      </c>
      <c r="J20" s="1557" t="s">
        <v>332</v>
      </c>
      <c r="K20" s="1528"/>
      <c r="L20" s="1557" t="s">
        <v>332</v>
      </c>
      <c r="M20" s="1567" t="str">
        <f>IF(M7="SIM",M19*1000000/$H$2,"-")</f>
        <v>-</v>
      </c>
      <c r="N20" s="1557" t="s">
        <v>332</v>
      </c>
      <c r="O20" s="1528"/>
      <c r="P20" s="1557" t="s">
        <v>332</v>
      </c>
      <c r="Q20" s="1567" t="str">
        <f>IF(Q7="SIM",Q19*1000000/$H$2,"-")</f>
        <v>-</v>
      </c>
      <c r="R20" s="1557" t="s">
        <v>332</v>
      </c>
      <c r="S20" s="1528"/>
      <c r="T20" s="1557" t="s">
        <v>332</v>
      </c>
      <c r="U20" s="1567" t="str">
        <f>IF(U7="SIM",U19*1000000/$H$2,"-")</f>
        <v>-</v>
      </c>
      <c r="V20" s="1557" t="s">
        <v>332</v>
      </c>
      <c r="W20" s="42">
        <v>354.01873512869224</v>
      </c>
      <c r="X20" s="42">
        <v>378.02532458556118</v>
      </c>
      <c r="Y20" s="42">
        <v>396.6544380040915</v>
      </c>
      <c r="Z20" s="42">
        <v>414.72111132677514</v>
      </c>
      <c r="AA20" s="42">
        <v>434.08702418874702</v>
      </c>
    </row>
    <row r="21" spans="1:61" ht="18" hidden="1" customHeight="1" outlineLevel="1" x14ac:dyDescent="0.35">
      <c r="B21" s="1000" t="s">
        <v>696</v>
      </c>
      <c r="C21" s="875"/>
      <c r="D21" s="1584"/>
      <c r="E21" s="1525">
        <f>'R&amp;C-Painel de Controle'!$G$60</f>
        <v>0.3</v>
      </c>
      <c r="F21" s="1526"/>
      <c r="G21" s="1527"/>
      <c r="H21" s="1526"/>
      <c r="I21" s="1525">
        <f>'R&amp;C-Painel de Controle'!$G$60</f>
        <v>0.3</v>
      </c>
      <c r="J21" s="1526"/>
      <c r="K21" s="1527"/>
      <c r="L21" s="1526"/>
      <c r="M21" s="1525">
        <f>'R&amp;C-Painel de Controle'!$G$60</f>
        <v>0.3</v>
      </c>
      <c r="N21" s="1526"/>
      <c r="O21" s="1527"/>
      <c r="P21" s="1526"/>
      <c r="Q21" s="1525">
        <f>'R&amp;C-Painel de Controle'!$G$60</f>
        <v>0.3</v>
      </c>
      <c r="R21" s="1526"/>
      <c r="S21" s="1527"/>
      <c r="T21" s="1526"/>
      <c r="U21" s="1525">
        <f>'R&amp;C-Painel de Controle'!$G$60</f>
        <v>0.3</v>
      </c>
      <c r="V21" s="1524"/>
      <c r="X21" s="54">
        <f t="shared" ref="X21:AA21" si="0">(X20-W20)/X20</f>
        <v>6.3505241304105689E-2</v>
      </c>
      <c r="Y21" s="54">
        <f t="shared" si="0"/>
        <v>4.696559935713656E-2</v>
      </c>
      <c r="Z21" s="54">
        <f t="shared" si="0"/>
        <v>4.356342811892254E-2</v>
      </c>
      <c r="AA21" s="54">
        <f t="shared" si="0"/>
        <v>4.4612973396669219E-2</v>
      </c>
    </row>
    <row r="22" spans="1:61" ht="18" hidden="1" customHeight="1" outlineLevel="1" x14ac:dyDescent="0.35">
      <c r="B22" s="879"/>
      <c r="C22" s="875"/>
      <c r="D22" s="1584"/>
      <c r="E22" s="1524"/>
      <c r="F22" s="1524"/>
      <c r="G22" s="1528"/>
      <c r="H22" s="1524"/>
      <c r="I22" s="1585"/>
      <c r="J22" s="1524"/>
      <c r="K22" s="1528"/>
      <c r="L22" s="1524"/>
      <c r="M22" s="1524"/>
      <c r="N22" s="1524"/>
      <c r="O22" s="1528"/>
      <c r="P22" s="1524"/>
      <c r="Q22" s="1524"/>
      <c r="R22" s="1524"/>
      <c r="S22" s="1528"/>
      <c r="T22" s="1524"/>
      <c r="U22" s="1524"/>
      <c r="V22" s="1524"/>
    </row>
    <row r="23" spans="1:61" ht="18" hidden="1" customHeight="1" outlineLevel="1" x14ac:dyDescent="0.35">
      <c r="B23" s="878" t="s">
        <v>492</v>
      </c>
      <c r="C23" s="875"/>
      <c r="D23" s="1554"/>
      <c r="E23" s="1585" t="str">
        <f>IF(E7="SIM",(E15*F15+E16*F16)/4,"-")</f>
        <v>-</v>
      </c>
      <c r="F23" s="1524"/>
      <c r="G23" s="1528"/>
      <c r="H23" s="1524"/>
      <c r="I23" s="1585">
        <f>IF(I7="SIM",(I15*J15+I16*J16)/4,"-")</f>
        <v>0.50223698678994</v>
      </c>
      <c r="J23" s="1524"/>
      <c r="K23" s="1528"/>
      <c r="L23" s="1524"/>
      <c r="M23" s="1585" t="str">
        <f>IF(M7="SIM",(M15*N15+M16*N16)/4,"-")</f>
        <v>-</v>
      </c>
      <c r="N23" s="1524"/>
      <c r="O23" s="1528"/>
      <c r="P23" s="1524"/>
      <c r="Q23" s="1585" t="str">
        <f>IF(Q7="SIM",(Q15*R15+Q16*R16)/4,"-")</f>
        <v>-</v>
      </c>
      <c r="R23" s="1524"/>
      <c r="S23" s="1528"/>
      <c r="T23" s="1524"/>
      <c r="U23" s="1585" t="str">
        <f>IF(U7="SIM",(U15*V15+U16*V16)/4,"-")</f>
        <v>-</v>
      </c>
      <c r="V23" s="1524"/>
    </row>
    <row r="24" spans="1:61" ht="15" customHeight="1" thickTop="1" thickBot="1" x14ac:dyDescent="0.4">
      <c r="B24" s="1045"/>
      <c r="C24" s="875"/>
      <c r="D24" s="1533"/>
      <c r="E24" s="1533"/>
      <c r="F24" s="1533"/>
      <c r="G24" s="1528"/>
      <c r="H24" s="1533"/>
      <c r="I24" s="1533"/>
      <c r="J24" s="1533"/>
      <c r="K24" s="1528"/>
      <c r="L24" s="1533"/>
      <c r="M24" s="1533"/>
      <c r="N24" s="1533"/>
      <c r="O24" s="1528"/>
      <c r="P24" s="1533"/>
      <c r="Q24" s="1533"/>
      <c r="R24" s="1533"/>
      <c r="S24" s="1528"/>
      <c r="T24" s="1533"/>
      <c r="U24" s="1533"/>
      <c r="V24" s="1533"/>
    </row>
    <row r="25" spans="1:61" s="1009" customFormat="1" ht="25.15" customHeight="1" thickTop="1" thickBot="1" x14ac:dyDescent="0.4">
      <c r="B25" s="1136" t="s">
        <v>496</v>
      </c>
      <c r="C25" s="1023"/>
      <c r="D25" s="1065" t="s">
        <v>858</v>
      </c>
      <c r="E25" s="1066" t="s">
        <v>867</v>
      </c>
      <c r="F25" s="1067" t="s">
        <v>332</v>
      </c>
      <c r="G25" s="1024"/>
      <c r="H25" s="1068" t="s">
        <v>858</v>
      </c>
      <c r="I25" s="1069" t="s">
        <v>867</v>
      </c>
      <c r="J25" s="1070" t="s">
        <v>332</v>
      </c>
      <c r="K25" s="1024"/>
      <c r="L25" s="1068" t="s">
        <v>858</v>
      </c>
      <c r="M25" s="1069" t="s">
        <v>867</v>
      </c>
      <c r="N25" s="1070" t="s">
        <v>332</v>
      </c>
      <c r="O25" s="1024"/>
      <c r="P25" s="1068" t="s">
        <v>858</v>
      </c>
      <c r="Q25" s="1069" t="s">
        <v>867</v>
      </c>
      <c r="R25" s="1070" t="s">
        <v>332</v>
      </c>
      <c r="S25" s="1024"/>
      <c r="T25" s="1068" t="s">
        <v>858</v>
      </c>
      <c r="U25" s="1069" t="s">
        <v>867</v>
      </c>
      <c r="V25" s="1070" t="s">
        <v>332</v>
      </c>
    </row>
    <row r="26" spans="1:61" ht="7.5" customHeight="1" x14ac:dyDescent="0.35">
      <c r="B26" s="1135"/>
      <c r="C26" s="1025"/>
      <c r="D26" s="1134"/>
      <c r="E26" s="1548"/>
      <c r="F26" s="1515"/>
      <c r="G26" s="1544"/>
      <c r="H26" s="1586"/>
      <c r="I26" s="1548"/>
      <c r="J26" s="1587"/>
      <c r="K26" s="1544"/>
      <c r="L26" s="1588"/>
      <c r="M26" s="1548"/>
      <c r="N26" s="1587"/>
      <c r="O26" s="1544"/>
      <c r="P26" s="1588"/>
      <c r="Q26" s="1548"/>
      <c r="R26" s="1587"/>
      <c r="S26" s="1544"/>
      <c r="T26" s="1588"/>
      <c r="U26" s="1548"/>
      <c r="V26" s="1099"/>
    </row>
    <row r="27" spans="1:61" ht="20.149999999999999" customHeight="1" collapsed="1" x14ac:dyDescent="0.35">
      <c r="A27" s="47"/>
      <c r="B27" s="1035" t="s">
        <v>432</v>
      </c>
      <c r="C27" s="997"/>
      <c r="D27" s="1134"/>
      <c r="E27" s="1011" t="str">
        <f>(IF(E$7="SIM",(E31)*2.4*12/$H$2,"-"))</f>
        <v>-</v>
      </c>
      <c r="F27" s="1515"/>
      <c r="G27" s="1582"/>
      <c r="H27" s="1586"/>
      <c r="I27" s="1011">
        <f>(IF(I$7="SIM",(I31)*2.4*12/$H$2,"-"))</f>
        <v>12.306235948408471</v>
      </c>
      <c r="J27" s="1589"/>
      <c r="K27" s="1582"/>
      <c r="L27" s="1586"/>
      <c r="M27" s="1011" t="str">
        <f>(IF(M$7="SIM",(M31)*2.4*12/$H$2,"-"))</f>
        <v>-</v>
      </c>
      <c r="N27" s="1589"/>
      <c r="O27" s="1582"/>
      <c r="P27" s="1586"/>
      <c r="Q27" s="1011" t="str">
        <f>(IF(Q$7="SIM",(Q31)*2.4*12/$H$2,"-"))</f>
        <v>-</v>
      </c>
      <c r="R27" s="1589"/>
      <c r="S27" s="1582"/>
      <c r="T27" s="1586"/>
      <c r="U27" s="1107" t="str">
        <f>(IF(U$7="SIM",(U31)*2.4*12/$H$2,"-"))</f>
        <v>-</v>
      </c>
      <c r="V27" s="1103"/>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row>
    <row r="28" spans="1:61" ht="18" hidden="1" customHeight="1" outlineLevel="1" x14ac:dyDescent="0.35">
      <c r="B28" s="1089"/>
      <c r="C28" s="1040"/>
      <c r="D28" s="1134"/>
      <c r="E28" s="1011"/>
      <c r="F28" s="1515"/>
      <c r="G28" s="1582"/>
      <c r="H28" s="1586"/>
      <c r="I28" s="1011"/>
      <c r="J28" s="1589"/>
      <c r="K28" s="1582"/>
      <c r="L28" s="1586"/>
      <c r="M28" s="1011"/>
      <c r="N28" s="1589"/>
      <c r="O28" s="1582"/>
      <c r="P28" s="1586"/>
      <c r="Q28" s="1011"/>
      <c r="R28" s="1589"/>
      <c r="S28" s="1582"/>
      <c r="T28" s="1586"/>
      <c r="U28" s="1107"/>
      <c r="V28" s="1103"/>
    </row>
    <row r="29" spans="1:61" ht="18" hidden="1" customHeight="1" outlineLevel="1" x14ac:dyDescent="0.35">
      <c r="B29" s="1090" t="s">
        <v>687</v>
      </c>
      <c r="C29" s="1025"/>
      <c r="D29" s="1134"/>
      <c r="E29" s="1554">
        <v>2</v>
      </c>
      <c r="F29" s="1515"/>
      <c r="G29" s="1552"/>
      <c r="H29" s="1586"/>
      <c r="I29" s="1554">
        <v>2</v>
      </c>
      <c r="J29" s="1590"/>
      <c r="K29" s="1552"/>
      <c r="L29" s="1513"/>
      <c r="M29" s="1554">
        <v>2</v>
      </c>
      <c r="N29" s="1590"/>
      <c r="O29" s="1552"/>
      <c r="P29" s="1513"/>
      <c r="Q29" s="1554">
        <v>2</v>
      </c>
      <c r="R29" s="1590"/>
      <c r="S29" s="1552"/>
      <c r="T29" s="1513"/>
      <c r="U29" s="1554">
        <v>2</v>
      </c>
      <c r="V29" s="1103"/>
    </row>
    <row r="30" spans="1:61" ht="18" hidden="1" customHeight="1" outlineLevel="1" x14ac:dyDescent="0.35">
      <c r="B30" s="1090" t="s">
        <v>699</v>
      </c>
      <c r="C30" s="1025"/>
      <c r="D30" s="1134"/>
      <c r="E30" s="1554">
        <v>2</v>
      </c>
      <c r="F30" s="1515"/>
      <c r="G30" s="1552"/>
      <c r="H30" s="1586"/>
      <c r="I30" s="1554">
        <v>4</v>
      </c>
      <c r="J30" s="1590"/>
      <c r="K30" s="1552"/>
      <c r="L30" s="1513"/>
      <c r="M30" s="1554">
        <v>4</v>
      </c>
      <c r="N30" s="1590"/>
      <c r="O30" s="1552"/>
      <c r="P30" s="1513"/>
      <c r="Q30" s="1554">
        <v>6</v>
      </c>
      <c r="R30" s="1590"/>
      <c r="S30" s="1552"/>
      <c r="T30" s="1513"/>
      <c r="U30" s="1554">
        <v>6</v>
      </c>
      <c r="V30" s="1103"/>
    </row>
    <row r="31" spans="1:61" ht="18" hidden="1" customHeight="1" outlineLevel="1" x14ac:dyDescent="0.35">
      <c r="B31" s="1090" t="s">
        <v>689</v>
      </c>
      <c r="C31" s="1025"/>
      <c r="D31" s="1134"/>
      <c r="E31" s="1542">
        <f>0.6*E29*'R&amp;C-Painel de Controle'!$D$65+E30*E29*'R&amp;C-Painel de Controle'!$D$66</f>
        <v>18000</v>
      </c>
      <c r="F31" s="1515"/>
      <c r="G31" s="1544"/>
      <c r="H31" s="1586"/>
      <c r="I31" s="1542">
        <f>0.7*I29*'R&amp;C-Painel de Controle'!$D$65+I30*I29*'R&amp;C-Painel de Controle'!$D$66</f>
        <v>26000</v>
      </c>
      <c r="J31" s="1587"/>
      <c r="K31" s="1544"/>
      <c r="L31" s="1588"/>
      <c r="M31" s="1542">
        <f>0.8*M29*'R&amp;C-Painel de Controle'!$D$65+M30*M29*'R&amp;C-Painel de Controle'!$D$66</f>
        <v>28000</v>
      </c>
      <c r="N31" s="1587"/>
      <c r="O31" s="1544"/>
      <c r="P31" s="1588"/>
      <c r="Q31" s="1542">
        <f>0.9*Q29*'R&amp;C-Painel de Controle'!$D$65+Q30*Q29*'R&amp;C-Painel de Controle'!$D$66</f>
        <v>36000</v>
      </c>
      <c r="R31" s="1587"/>
      <c r="S31" s="1544"/>
      <c r="T31" s="1588"/>
      <c r="U31" s="1542">
        <f>1*U29*'R&amp;C-Painel de Controle'!$D$65+U30*U29*'R&amp;C-Painel de Controle'!$D$66</f>
        <v>38000</v>
      </c>
      <c r="V31" s="1103"/>
    </row>
    <row r="32" spans="1:61" ht="20.149999999999999" customHeight="1" collapsed="1" x14ac:dyDescent="0.35">
      <c r="A32" s="47"/>
      <c r="B32" s="1035" t="s">
        <v>433</v>
      </c>
      <c r="C32" s="997"/>
      <c r="D32" s="1134"/>
      <c r="E32" s="1011" t="str">
        <f>(IF(E$7="SIM",(E33*$H$2/1000*'R&amp;C-Painel de Controle'!$D$69+E34/1000*'R&amp;C-Painel de Controle'!$D$70*12)/$H$2,"-"))</f>
        <v>-</v>
      </c>
      <c r="F32" s="1515"/>
      <c r="G32" s="1582"/>
      <c r="H32" s="1588"/>
      <c r="I32" s="1011">
        <f>(IF(I$7="SIM",(I33*$H$2/1000*'R&amp;C-Painel de Controle'!$D$69+I34/1000*'R&amp;C-Painel de Controle'!$D$70*12)/$H$2,"-"))</f>
        <v>13.845957578984736</v>
      </c>
      <c r="J32" s="1589"/>
      <c r="K32" s="1582"/>
      <c r="L32" s="1588"/>
      <c r="M32" s="1011" t="str">
        <f>(IF(M$7="SIM",(M33*$H$2/1000*'R&amp;C-Painel de Controle'!$D$69+M34/1000*'R&amp;C-Painel de Controle'!$D$70*12)/$H$2,"-"))</f>
        <v>-</v>
      </c>
      <c r="N32" s="1589"/>
      <c r="O32" s="1582"/>
      <c r="P32" s="1588"/>
      <c r="Q32" s="1011" t="str">
        <f>(IF(Q$7="SIM",(Q33*$H$2/1000*'R&amp;C-Painel de Controle'!$D$69+Q34/1000*'R&amp;C-Painel de Controle'!$D$70*12)/$H$2,"-"))</f>
        <v>-</v>
      </c>
      <c r="R32" s="1589"/>
      <c r="S32" s="1582"/>
      <c r="T32" s="1588"/>
      <c r="U32" s="1107" t="str">
        <f>(IF(U$7="SIM",(U33*$H$2/1000*'R&amp;C-Painel de Controle'!$D$69+U34/1000*'R&amp;C-Painel de Controle'!$D$70*12)/$H$2,"-"))</f>
        <v>-</v>
      </c>
      <c r="V32" s="1103"/>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row>
    <row r="33" spans="1:61" ht="18" hidden="1" customHeight="1" outlineLevel="1" x14ac:dyDescent="0.35">
      <c r="B33" s="1090" t="s">
        <v>690</v>
      </c>
      <c r="C33" s="1025"/>
      <c r="D33" s="1591"/>
      <c r="E33" s="1592">
        <f>IF('R-Definição'!$L$49&lt;=20,32.5,IF(AND('R-Definição'!$L$49&gt;20,'R-Definição'!$L$49&lt;=50),32.5*1.25,IF('R-Definição'!$L$49&gt;50,32.5*1.5,)))</f>
        <v>32.5</v>
      </c>
      <c r="F33" s="1517"/>
      <c r="G33" s="1544"/>
      <c r="H33" s="1593"/>
      <c r="I33" s="1592">
        <f>IF('R-Definição'!$L$49&lt;=20,32.5,IF(AND('R-Definição'!$L$49&gt;20,'R-Definição'!$L$49&lt;=50),32.5*1.25,IF('R-Definição'!$L$49&gt;50,32.5*1.5,)))</f>
        <v>32.5</v>
      </c>
      <c r="J33" s="1517"/>
      <c r="K33" s="1544"/>
      <c r="L33" s="1593"/>
      <c r="M33" s="1526">
        <f>IF('R-Definição'!$L$49&lt;=20,32.5,IF(AND('R-Definição'!$L$49&gt;20,'R-Definição'!$L$49&lt;=50),32.5*1.25,IF('R-Definição'!$L$49&gt;50,32.5*1.5,)))</f>
        <v>32.5</v>
      </c>
      <c r="N33" s="1517"/>
      <c r="O33" s="1544"/>
      <c r="P33" s="1593"/>
      <c r="Q33" s="1526">
        <f>IF('R-Definição'!$L$49&lt;=20,32.5,IF(AND('R-Definição'!$L$49&gt;20,'R-Definição'!$L$49&lt;=50),32.5*1.25,IF('R-Definição'!$L$49&gt;50,32.5*1.5,)))</f>
        <v>32.5</v>
      </c>
      <c r="R33" s="1517"/>
      <c r="S33" s="1544"/>
      <c r="T33" s="1593"/>
      <c r="U33" s="1526">
        <f>IF('R-Definição'!$L$49&lt;=20,32.5,IF(AND('R-Definição'!$L$49&gt;20,'R-Definição'!$L$49&lt;=50),32.5*1.25,IF('R-Definição'!$L$49&gt;50,32.5*1.5,)))</f>
        <v>32.5</v>
      </c>
      <c r="V33" s="1517"/>
    </row>
    <row r="34" spans="1:61" ht="18" hidden="1" customHeight="1" outlineLevel="1" x14ac:dyDescent="0.35">
      <c r="B34" s="1090" t="s">
        <v>691</v>
      </c>
      <c r="C34" s="1040"/>
      <c r="D34" s="1134"/>
      <c r="E34" s="1542">
        <f>E33*F11*(0.9)*0.92/16</f>
        <v>168.1875</v>
      </c>
      <c r="F34" s="1515"/>
      <c r="G34" s="1540"/>
      <c r="H34" s="1588"/>
      <c r="I34" s="1542">
        <f>I33*J11*(0.9)*0.92/16</f>
        <v>336.375</v>
      </c>
      <c r="J34" s="1594"/>
      <c r="K34" s="1540"/>
      <c r="L34" s="1595"/>
      <c r="M34" s="1542">
        <f>M33*N11*(0.9)*0.92/16</f>
        <v>504.5625</v>
      </c>
      <c r="N34" s="1594"/>
      <c r="O34" s="1540"/>
      <c r="P34" s="1595"/>
      <c r="Q34" s="1542">
        <f>Q33*R11*(0.9)*0.92/16</f>
        <v>672.75</v>
      </c>
      <c r="R34" s="1594"/>
      <c r="S34" s="1540"/>
      <c r="T34" s="1595"/>
      <c r="U34" s="1542">
        <f>U33*V11*(0.9)*0.92/16</f>
        <v>840.9375</v>
      </c>
      <c r="V34" s="1103"/>
    </row>
    <row r="35" spans="1:61" ht="20.149999999999999" customHeight="1" collapsed="1" x14ac:dyDescent="0.35">
      <c r="A35" s="47"/>
      <c r="B35" s="1035" t="s">
        <v>434</v>
      </c>
      <c r="C35" s="997"/>
      <c r="D35" s="1134"/>
      <c r="E35" s="1011" t="str">
        <f>(IF(E$7="SIM",(E15*1000000*E36+E37*12)/$H$2,"-"))</f>
        <v>-</v>
      </c>
      <c r="F35" s="1097"/>
      <c r="G35" s="1080"/>
      <c r="H35" s="1595"/>
      <c r="I35" s="1011">
        <f>(IF(I$7="SIM",(I15*1000000*I36+I37*12)/$H$2,"-"))</f>
        <v>19.651257142150829</v>
      </c>
      <c r="J35" s="1097"/>
      <c r="K35" s="1080"/>
      <c r="L35" s="1595"/>
      <c r="M35" s="1011" t="str">
        <f>(IF(M$7="SIM",(M15*1000000*M36+M37*12)/$H$2,"-"))</f>
        <v>-</v>
      </c>
      <c r="N35" s="1097"/>
      <c r="O35" s="1080"/>
      <c r="P35" s="1595"/>
      <c r="Q35" s="1011" t="str">
        <f>(IF(Q$7="SIM",(Q15*1000000*Q36+Q37*12)/$H$2,"-"))</f>
        <v>-</v>
      </c>
      <c r="R35" s="1097"/>
      <c r="S35" s="1080"/>
      <c r="T35" s="1595"/>
      <c r="U35" s="1107" t="str">
        <f>(IF(U$7="SIM",(U15*1000000*U36+U37*12)/$H$2,"-"))</f>
        <v>-</v>
      </c>
      <c r="V35" s="1103"/>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row>
    <row r="36" spans="1:61" ht="18" hidden="1" customHeight="1" outlineLevel="1" x14ac:dyDescent="0.35">
      <c r="B36" s="1090" t="s">
        <v>692</v>
      </c>
      <c r="C36" s="1025"/>
      <c r="D36" s="1134"/>
      <c r="E36" s="1561">
        <v>0.05</v>
      </c>
      <c r="F36" s="1515"/>
      <c r="G36" s="1596"/>
      <c r="H36" s="1597"/>
      <c r="I36" s="1561">
        <v>0.05</v>
      </c>
      <c r="J36" s="1515"/>
      <c r="K36" s="1596"/>
      <c r="L36" s="1597"/>
      <c r="M36" s="1561">
        <v>0.05</v>
      </c>
      <c r="N36" s="1515"/>
      <c r="O36" s="1596"/>
      <c r="P36" s="1597"/>
      <c r="Q36" s="1561">
        <v>0.05</v>
      </c>
      <c r="R36" s="1515"/>
      <c r="S36" s="1596"/>
      <c r="T36" s="1597"/>
      <c r="U36" s="1561">
        <v>0.05</v>
      </c>
      <c r="V36" s="1103"/>
    </row>
    <row r="37" spans="1:61" ht="18" hidden="1" customHeight="1" outlineLevel="1" x14ac:dyDescent="0.35">
      <c r="A37" s="47"/>
      <c r="B37" s="1090" t="s">
        <v>498</v>
      </c>
      <c r="C37" s="1025"/>
      <c r="D37" s="1134"/>
      <c r="E37" s="1542">
        <v>25000</v>
      </c>
      <c r="F37" s="1594"/>
      <c r="G37" s="1540"/>
      <c r="H37" s="1595"/>
      <c r="I37" s="1542">
        <v>25000</v>
      </c>
      <c r="J37" s="1594"/>
      <c r="K37" s="1540"/>
      <c r="L37" s="1595"/>
      <c r="M37" s="1542">
        <v>50000</v>
      </c>
      <c r="N37" s="1594"/>
      <c r="O37" s="1540"/>
      <c r="P37" s="1595"/>
      <c r="Q37" s="1542">
        <v>50000</v>
      </c>
      <c r="R37" s="1594"/>
      <c r="S37" s="1540"/>
      <c r="T37" s="1595"/>
      <c r="U37" s="1542">
        <v>50000</v>
      </c>
      <c r="V37" s="1103"/>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row>
    <row r="38" spans="1:61" ht="20.149999999999999" customHeight="1" collapsed="1" x14ac:dyDescent="0.35">
      <c r="A38" s="44"/>
      <c r="B38" s="1035" t="s">
        <v>695</v>
      </c>
      <c r="C38" s="997"/>
      <c r="D38" s="1593">
        <v>0.5</v>
      </c>
      <c r="E38" s="1011" t="str">
        <f>(IF(E$7="SIM",D38*E39*E40*12/$H$2,"-"))</f>
        <v>-</v>
      </c>
      <c r="F38" s="1097"/>
      <c r="G38" s="1080"/>
      <c r="H38" s="1593">
        <f>D38</f>
        <v>0.5</v>
      </c>
      <c r="I38" s="1011">
        <f>(IF(I$7="SIM",H38*I39*I40*12/$H$2,"-"))</f>
        <v>0.49303829921508296</v>
      </c>
      <c r="J38" s="1097"/>
      <c r="K38" s="1080"/>
      <c r="L38" s="1593">
        <f>H38</f>
        <v>0.5</v>
      </c>
      <c r="M38" s="1011" t="str">
        <f>(IF(M$7="SIM",L38*M39*M40*12/$H$2,"-"))</f>
        <v>-</v>
      </c>
      <c r="N38" s="1097"/>
      <c r="O38" s="1080"/>
      <c r="P38" s="1593">
        <f>L38</f>
        <v>0.5</v>
      </c>
      <c r="Q38" s="1011" t="str">
        <f>(IF(Q$7="SIM",P38*Q39*Q40*12/$H$2,"-"))</f>
        <v>-</v>
      </c>
      <c r="R38" s="1097"/>
      <c r="S38" s="1080"/>
      <c r="T38" s="1593">
        <f>P38</f>
        <v>0.5</v>
      </c>
      <c r="U38" s="1107" t="str">
        <f>(IF(U$7="SIM",T38*U39*U40*12/$H$2,"-"))</f>
        <v>-</v>
      </c>
      <c r="V38" s="1103"/>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row>
    <row r="39" spans="1:61" ht="18" hidden="1" customHeight="1" outlineLevel="1" x14ac:dyDescent="0.35">
      <c r="A39" s="47"/>
      <c r="B39" s="1090" t="s">
        <v>693</v>
      </c>
      <c r="C39" s="1040"/>
      <c r="D39" s="1134"/>
      <c r="E39" s="1542">
        <f>'R&amp;C-Painel de Controle'!$D$71</f>
        <v>100000</v>
      </c>
      <c r="F39" s="1587"/>
      <c r="G39" s="1544"/>
      <c r="H39" s="1588"/>
      <c r="I39" s="1542">
        <f>'R&amp;C-Painel de Controle'!$D$71</f>
        <v>100000</v>
      </c>
      <c r="J39" s="1587"/>
      <c r="K39" s="1544"/>
      <c r="L39" s="1588"/>
      <c r="M39" s="1542">
        <f>'R&amp;C-Painel de Controle'!$D$71</f>
        <v>100000</v>
      </c>
      <c r="N39" s="1587"/>
      <c r="O39" s="1544"/>
      <c r="P39" s="1588"/>
      <c r="Q39" s="1542">
        <f>'R&amp;C-Painel de Controle'!$D$71</f>
        <v>100000</v>
      </c>
      <c r="R39" s="1587"/>
      <c r="S39" s="1544"/>
      <c r="T39" s="1588"/>
      <c r="U39" s="1542">
        <f>'R&amp;C-Painel de Controle'!$D$71</f>
        <v>100000</v>
      </c>
      <c r="V39" s="1103"/>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row>
    <row r="40" spans="1:61" ht="18" hidden="1" customHeight="1" outlineLevel="1" x14ac:dyDescent="0.35">
      <c r="B40" s="1090" t="s">
        <v>694</v>
      </c>
      <c r="C40" s="1040"/>
      <c r="D40" s="1134"/>
      <c r="E40" s="1525">
        <v>0.05</v>
      </c>
      <c r="F40" s="1587"/>
      <c r="G40" s="1544"/>
      <c r="H40" s="1588"/>
      <c r="I40" s="1525">
        <v>0.05</v>
      </c>
      <c r="J40" s="1587"/>
      <c r="K40" s="1544"/>
      <c r="L40" s="1588"/>
      <c r="M40" s="1525">
        <v>0.05</v>
      </c>
      <c r="N40" s="1587"/>
      <c r="O40" s="1544"/>
      <c r="P40" s="1588"/>
      <c r="Q40" s="1525">
        <v>0.05</v>
      </c>
      <c r="R40" s="1587"/>
      <c r="S40" s="1544"/>
      <c r="T40" s="1588"/>
      <c r="U40" s="1525">
        <v>0.05</v>
      </c>
      <c r="V40" s="1103"/>
    </row>
    <row r="41" spans="1:61" ht="20.149999999999999" customHeight="1" x14ac:dyDescent="0.35">
      <c r="A41" s="47"/>
      <c r="B41" s="1035" t="s">
        <v>441</v>
      </c>
      <c r="C41" s="997"/>
      <c r="D41" s="1134"/>
      <c r="E41" s="1598" t="str">
        <f>(IF(E$7="SIM",2.5+2.5+1*'R&amp;C-Painel de Controle'!$D$75,"-"))</f>
        <v>-</v>
      </c>
      <c r="F41" s="1097"/>
      <c r="G41" s="1080"/>
      <c r="H41" s="1595"/>
      <c r="I41" s="1598">
        <f>(IF(I$7="SIM",2.5+2.5+1*'R&amp;C-Painel de Controle'!$D$75,"-"))</f>
        <v>8</v>
      </c>
      <c r="J41" s="1097"/>
      <c r="K41" s="1080"/>
      <c r="L41" s="1595"/>
      <c r="M41" s="1598" t="str">
        <f>(IF(M$7="SIM",2.5+2.5+1*'R&amp;C-Painel de Controle'!$D$75,"-"))</f>
        <v>-</v>
      </c>
      <c r="N41" s="1097"/>
      <c r="O41" s="1080"/>
      <c r="P41" s="1595"/>
      <c r="Q41" s="1598" t="str">
        <f>(IF(Q$7="SIM",2.5+2.5+1*'R&amp;C-Painel de Controle'!$D$75,"-"))</f>
        <v>-</v>
      </c>
      <c r="R41" s="1097"/>
      <c r="S41" s="1080"/>
      <c r="T41" s="1595"/>
      <c r="U41" s="1599" t="str">
        <f>(IF(U$7="SIM",2.5+2.5+1*'R&amp;C-Painel de Controle'!$D$75,"-"))</f>
        <v>-</v>
      </c>
      <c r="V41" s="1103"/>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row>
    <row r="42" spans="1:61" s="1009" customFormat="1" ht="25.15" customHeight="1" x14ac:dyDescent="0.35">
      <c r="A42" s="1005"/>
      <c r="B42" s="1091" t="s">
        <v>437</v>
      </c>
      <c r="C42" s="1026"/>
      <c r="D42" s="1593">
        <v>0.1</v>
      </c>
      <c r="E42" s="1011" t="str">
        <f>(IF(E$7="SIM",(E27+E32+E35+E38+E41)*(1+D42),"-"))</f>
        <v>-</v>
      </c>
      <c r="F42" s="1097"/>
      <c r="G42" s="1080"/>
      <c r="H42" s="1593">
        <v>0.1</v>
      </c>
      <c r="I42" s="1011">
        <f>(IF(I$7="SIM",(I27+I32+I35+I38+I41)*(1+H42),"-"))</f>
        <v>59.726137865635032</v>
      </c>
      <c r="J42" s="1097"/>
      <c r="K42" s="1080"/>
      <c r="L42" s="1593">
        <v>0.1</v>
      </c>
      <c r="M42" s="1011" t="str">
        <f>(IF(M$7="SIM",(M27+M32+M35+M38+M41)*(1+L42),"-"))</f>
        <v>-</v>
      </c>
      <c r="N42" s="1097"/>
      <c r="O42" s="1080"/>
      <c r="P42" s="1593">
        <v>0.1</v>
      </c>
      <c r="Q42" s="1011" t="str">
        <f>(IF(Q$7="SIM",(Q27+Q32+Q35+Q38+Q41)*(1+P42),"-"))</f>
        <v>-</v>
      </c>
      <c r="R42" s="1097"/>
      <c r="S42" s="1080"/>
      <c r="T42" s="1593">
        <v>0.1</v>
      </c>
      <c r="U42" s="1012" t="str">
        <f>(IF(U$7="SIM",(U27+U32+U35+U38+U41)*(1+T42),"-"))</f>
        <v>-</v>
      </c>
      <c r="V42" s="1103"/>
      <c r="W42" s="1005"/>
      <c r="X42" s="1005"/>
      <c r="Y42" s="1005"/>
      <c r="Z42" s="1005"/>
      <c r="AA42" s="1005"/>
      <c r="AB42" s="1005"/>
      <c r="AC42" s="1005"/>
      <c r="AD42" s="1005"/>
      <c r="AE42" s="1005"/>
      <c r="AF42" s="1005"/>
      <c r="AG42" s="1005"/>
      <c r="AH42" s="1005"/>
      <c r="AI42" s="1005"/>
      <c r="AJ42" s="1005"/>
      <c r="AK42" s="1005"/>
      <c r="AL42" s="1005"/>
      <c r="AM42" s="1005"/>
      <c r="AN42" s="1005"/>
      <c r="AO42" s="1005"/>
      <c r="AP42" s="1005"/>
      <c r="AQ42" s="1005"/>
      <c r="AR42" s="1005"/>
      <c r="AS42" s="1005"/>
      <c r="AT42" s="1005"/>
      <c r="AU42" s="1005"/>
      <c r="AV42" s="1005"/>
      <c r="AW42" s="1005"/>
      <c r="AX42" s="1005"/>
      <c r="AY42" s="1005"/>
      <c r="AZ42" s="1005"/>
      <c r="BA42" s="1005"/>
      <c r="BB42" s="1005"/>
      <c r="BC42" s="1005"/>
      <c r="BD42" s="1005"/>
      <c r="BE42" s="1005"/>
      <c r="BF42" s="1005"/>
      <c r="BG42" s="1005"/>
      <c r="BH42" s="1005"/>
      <c r="BI42" s="1005"/>
    </row>
    <row r="43" spans="1:61" s="1009" customFormat="1" ht="25.15" customHeight="1" x14ac:dyDescent="0.35">
      <c r="A43" s="1005"/>
      <c r="B43" s="1091" t="s">
        <v>438</v>
      </c>
      <c r="C43" s="1026"/>
      <c r="D43" s="1098"/>
      <c r="E43" s="1010" t="str">
        <f>(IF(E$7="SIM",E42*$H$2/1000000,"-"))</f>
        <v>-</v>
      </c>
      <c r="F43" s="1099"/>
      <c r="G43" s="1026"/>
      <c r="H43" s="1098"/>
      <c r="I43" s="1010">
        <f>(IF(I$7="SIM",I42*$H$2/1000000,"-"))</f>
        <v>3.6341682559378681</v>
      </c>
      <c r="J43" s="1099"/>
      <c r="K43" s="1026"/>
      <c r="L43" s="1098"/>
      <c r="M43" s="1010" t="str">
        <f>(IF(M$7="SIM",M42*$H$2/1000000,"-"))</f>
        <v>-</v>
      </c>
      <c r="N43" s="1099"/>
      <c r="O43" s="1026"/>
      <c r="P43" s="1134"/>
      <c r="Q43" s="1010" t="str">
        <f>(IF(Q$7="SIM",Q42*$H$2/1000000,"-"))</f>
        <v>-</v>
      </c>
      <c r="R43" s="1099"/>
      <c r="S43" s="1026"/>
      <c r="T43" s="1098"/>
      <c r="U43" s="979" t="str">
        <f>(IF(U$7="SIM",U42*$H$2/1000000,"-"))</f>
        <v>-</v>
      </c>
      <c r="V43" s="1099"/>
      <c r="W43" s="1005"/>
      <c r="X43" s="1005"/>
      <c r="Y43" s="1005"/>
      <c r="Z43" s="1005"/>
      <c r="AA43" s="1005"/>
      <c r="AB43" s="1005"/>
      <c r="AC43" s="1005"/>
      <c r="AD43" s="1005"/>
      <c r="AE43" s="1005"/>
      <c r="AF43" s="1005"/>
      <c r="AG43" s="1005"/>
      <c r="AH43" s="1005"/>
      <c r="AI43" s="1005"/>
      <c r="AJ43" s="1005"/>
      <c r="AK43" s="1005"/>
      <c r="AL43" s="1005"/>
      <c r="AM43" s="1005"/>
      <c r="AN43" s="1005"/>
      <c r="AO43" s="1005"/>
      <c r="AP43" s="1005"/>
      <c r="AQ43" s="1005"/>
      <c r="AR43" s="1005"/>
      <c r="AS43" s="1005"/>
      <c r="AT43" s="1005"/>
      <c r="AU43" s="1005"/>
      <c r="AV43" s="1005"/>
      <c r="AW43" s="1005"/>
      <c r="AX43" s="1005"/>
      <c r="AY43" s="1005"/>
      <c r="AZ43" s="1005"/>
      <c r="BA43" s="1005"/>
      <c r="BB43" s="1005"/>
      <c r="BC43" s="1005"/>
      <c r="BD43" s="1005"/>
      <c r="BE43" s="1005"/>
      <c r="BF43" s="1005"/>
      <c r="BG43" s="1005"/>
      <c r="BH43" s="1005"/>
      <c r="BI43" s="1005"/>
    </row>
    <row r="44" spans="1:61" ht="20.149999999999999" customHeight="1" x14ac:dyDescent="0.35">
      <c r="B44" s="1092" t="s">
        <v>439</v>
      </c>
      <c r="C44" s="997"/>
      <c r="D44" s="1098"/>
      <c r="E44" s="1010" t="str">
        <f>(IF(E$7="SIM",(((E27*$H$2/12)+(E34/1000*'R&amp;C-Painel de Controle'!$D$70*12)+(E37*12)+(E39*E40*12))/1000000),"-"))</f>
        <v>-</v>
      </c>
      <c r="F44" s="1099"/>
      <c r="G44" s="1026"/>
      <c r="H44" s="1098"/>
      <c r="I44" s="1010">
        <f>(IF(I$7="SIM",(((I27*$H$2/12)+(I34/1000*'R&amp;C-Painel de Controle'!$D$70*12)+(I37*12)+(I39*I40*12))/1000000),"-"))</f>
        <v>0.52331249999999996</v>
      </c>
      <c r="J44" s="1099"/>
      <c r="K44" s="1026"/>
      <c r="L44" s="1098"/>
      <c r="M44" s="1010" t="str">
        <f>(IF(M$7="SIM",(((M27*$H$2/12)+(M34/1000*'R&amp;C-Painel de Controle'!$D$70*12)+(M37*12)+(M39*M40*12))/1000000),"-"))</f>
        <v>-</v>
      </c>
      <c r="N44" s="1099"/>
      <c r="O44" s="1026"/>
      <c r="P44" s="1098"/>
      <c r="Q44" s="1010" t="str">
        <f>(IF(Q$7="SIM",(((Q27*$H$2/12)+(Q34/1000*'R&amp;C-Painel de Controle'!$D$70*12)+(Q37*12)+(Q39*Q40*12))/1000000),"-"))</f>
        <v>-</v>
      </c>
      <c r="R44" s="1099"/>
      <c r="S44" s="1026"/>
      <c r="T44" s="1098"/>
      <c r="U44" s="979" t="str">
        <f>(IF(U$7="SIM",(((U27*$H$2/12)+(U34/1000*'R&amp;C-Painel de Controle'!$D$70*12)+(U37*12)+(U39*U40*12))/1000000),"-"))</f>
        <v>-</v>
      </c>
      <c r="V44" s="1099"/>
    </row>
    <row r="45" spans="1:61" ht="20.149999999999999" customHeight="1" thickBot="1" x14ac:dyDescent="0.4">
      <c r="B45" s="1093" t="s">
        <v>440</v>
      </c>
      <c r="C45" s="997"/>
      <c r="D45" s="1600"/>
      <c r="E45" s="1601" t="str">
        <f>(IF(E$7="SIM",((E43-E44)*1000000)/$H$2,"-"))</f>
        <v>-</v>
      </c>
      <c r="F45" s="1602"/>
      <c r="G45" s="1026"/>
      <c r="H45" s="1600"/>
      <c r="I45" s="1601">
        <f>(IF(I$7="SIM",((I43-I44)*1000000)/$H$2,"-"))</f>
        <v>51.12570103370193</v>
      </c>
      <c r="J45" s="1602"/>
      <c r="K45" s="1026"/>
      <c r="L45" s="1600"/>
      <c r="M45" s="1601" t="str">
        <f>(IF(M$7="SIM",((M43-M44)*1000000)/$H$2,"-"))</f>
        <v>-</v>
      </c>
      <c r="N45" s="1602"/>
      <c r="O45" s="1026"/>
      <c r="P45" s="1600"/>
      <c r="Q45" s="1601" t="str">
        <f>(IF(Q$7="SIM",((Q43-Q44)*1000000)/$H$2,"-"))</f>
        <v>-</v>
      </c>
      <c r="R45" s="1602"/>
      <c r="S45" s="1026"/>
      <c r="T45" s="1600"/>
      <c r="U45" s="1603" t="str">
        <f>(IF(U$7="SIM",((U43-U44)*1000000)/$H$2,"-"))</f>
        <v>-</v>
      </c>
      <c r="V45" s="1602"/>
    </row>
    <row r="46" spans="1:61" ht="14.25" customHeight="1" thickTop="1" x14ac:dyDescent="0.35">
      <c r="B46" s="327"/>
      <c r="C46" s="326"/>
      <c r="D46" s="326"/>
      <c r="E46" s="326"/>
      <c r="F46" s="326"/>
      <c r="G46" s="326"/>
      <c r="H46" s="326"/>
      <c r="I46" s="326"/>
      <c r="J46" s="326"/>
      <c r="K46" s="326"/>
      <c r="L46" s="326"/>
      <c r="M46" s="326"/>
      <c r="N46" s="326"/>
      <c r="O46" s="326"/>
      <c r="P46" s="326"/>
      <c r="Q46" s="326"/>
      <c r="R46" s="326"/>
      <c r="S46" s="326"/>
      <c r="T46" s="326"/>
      <c r="U46" s="326"/>
      <c r="V46" s="326"/>
    </row>
    <row r="47" spans="1:61" ht="14.25" customHeight="1" x14ac:dyDescent="0.35">
      <c r="B47" s="47"/>
    </row>
    <row r="48" spans="1:61" ht="14.25" customHeight="1" x14ac:dyDescent="0.35">
      <c r="B48" s="47"/>
    </row>
    <row r="49" spans="2:8" ht="14.25" customHeight="1" x14ac:dyDescent="0.35">
      <c r="B49" s="47"/>
    </row>
    <row r="50" spans="2:8" ht="14.25" customHeight="1" x14ac:dyDescent="0.35">
      <c r="B50" s="47"/>
    </row>
    <row r="51" spans="2:8" ht="14.25" customHeight="1" x14ac:dyDescent="0.35">
      <c r="B51" s="47"/>
      <c r="H51" s="349"/>
    </row>
    <row r="52" spans="2:8" ht="14.25" customHeight="1" x14ac:dyDescent="0.35">
      <c r="B52" s="47"/>
    </row>
    <row r="53" spans="2:8" ht="14.25" customHeight="1" x14ac:dyDescent="0.35">
      <c r="B53" s="47"/>
    </row>
    <row r="54" spans="2:8" ht="14.25" customHeight="1" x14ac:dyDescent="0.35">
      <c r="B54" s="47"/>
    </row>
    <row r="55" spans="2:8" ht="14.25" customHeight="1" x14ac:dyDescent="0.35">
      <c r="B55" s="47"/>
    </row>
    <row r="56" spans="2:8" ht="14.25" customHeight="1" x14ac:dyDescent="0.35">
      <c r="B56" s="47"/>
    </row>
    <row r="57" spans="2:8" ht="14.25" customHeight="1" x14ac:dyDescent="0.35">
      <c r="B57" s="47"/>
    </row>
    <row r="58" spans="2:8" ht="14.25" customHeight="1" x14ac:dyDescent="0.35">
      <c r="B58" s="47"/>
    </row>
    <row r="59" spans="2:8" ht="14.25" customHeight="1" x14ac:dyDescent="0.35">
      <c r="B59" s="47"/>
    </row>
    <row r="60" spans="2:8" ht="14.25" customHeight="1" x14ac:dyDescent="0.35">
      <c r="B60" s="47"/>
    </row>
    <row r="61" spans="2:8" ht="14.25" customHeight="1" x14ac:dyDescent="0.35">
      <c r="B61" s="47"/>
    </row>
    <row r="62" spans="2:8" ht="14.25" customHeight="1" x14ac:dyDescent="0.35">
      <c r="B62" s="47"/>
    </row>
    <row r="63" spans="2:8" ht="14.25" customHeight="1" x14ac:dyDescent="0.35">
      <c r="B63" s="47"/>
    </row>
    <row r="64" spans="2:8" ht="14.25" customHeight="1" x14ac:dyDescent="0.35">
      <c r="B64" s="47"/>
    </row>
    <row r="65" spans="2:2" ht="14.25" customHeight="1" x14ac:dyDescent="0.35">
      <c r="B65" s="47"/>
    </row>
    <row r="66" spans="2:2" ht="14.25" customHeight="1" x14ac:dyDescent="0.35">
      <c r="B66" s="47"/>
    </row>
    <row r="67" spans="2:2" ht="14.25" customHeight="1" x14ac:dyDescent="0.35">
      <c r="B67" s="47"/>
    </row>
    <row r="68" spans="2:2" ht="14.25" customHeight="1" x14ac:dyDescent="0.35">
      <c r="B68" s="47"/>
    </row>
    <row r="69" spans="2:2" ht="14.25" customHeight="1" x14ac:dyDescent="0.35">
      <c r="B69" s="47"/>
    </row>
    <row r="70" spans="2:2" ht="14.25" customHeight="1" x14ac:dyDescent="0.35">
      <c r="B70" s="47"/>
    </row>
    <row r="71" spans="2:2" ht="14.25" customHeight="1" x14ac:dyDescent="0.35">
      <c r="B71" s="47"/>
    </row>
    <row r="72" spans="2:2" ht="14.25" customHeight="1" x14ac:dyDescent="0.35">
      <c r="B72" s="47"/>
    </row>
    <row r="73" spans="2:2" ht="14.25" customHeight="1" x14ac:dyDescent="0.35">
      <c r="B73" s="47"/>
    </row>
    <row r="74" spans="2:2" ht="14.25" customHeight="1" x14ac:dyDescent="0.35">
      <c r="B74" s="47"/>
    </row>
    <row r="75" spans="2:2" ht="14.25" customHeight="1" x14ac:dyDescent="0.35">
      <c r="B75" s="47"/>
    </row>
    <row r="76" spans="2:2" ht="14.25" customHeight="1" x14ac:dyDescent="0.35">
      <c r="B76" s="47"/>
    </row>
    <row r="77" spans="2:2" ht="14.25" customHeight="1" x14ac:dyDescent="0.35">
      <c r="B77" s="47"/>
    </row>
    <row r="78" spans="2:2" ht="14.25" customHeight="1" x14ac:dyDescent="0.35">
      <c r="B78" s="47"/>
    </row>
    <row r="79" spans="2:2" ht="14.25" customHeight="1" x14ac:dyDescent="0.35">
      <c r="B79" s="47"/>
    </row>
    <row r="80" spans="2:2" ht="14.25" customHeight="1" x14ac:dyDescent="0.35">
      <c r="B80" s="47"/>
    </row>
    <row r="81" spans="2:2" ht="14.25" customHeight="1" x14ac:dyDescent="0.35">
      <c r="B81" s="47"/>
    </row>
    <row r="82" spans="2:2" ht="14.25" customHeight="1" x14ac:dyDescent="0.35">
      <c r="B82" s="47"/>
    </row>
    <row r="83" spans="2:2" ht="14.25" customHeight="1" x14ac:dyDescent="0.35">
      <c r="B83" s="47"/>
    </row>
    <row r="84" spans="2:2" ht="14.25" customHeight="1" x14ac:dyDescent="0.35">
      <c r="B84" s="47"/>
    </row>
    <row r="85" spans="2:2" ht="14.25" customHeight="1" x14ac:dyDescent="0.35">
      <c r="B85" s="47"/>
    </row>
    <row r="86" spans="2:2" ht="14.25" customHeight="1" x14ac:dyDescent="0.35">
      <c r="B86" s="47"/>
    </row>
    <row r="87" spans="2:2" ht="14.25" customHeight="1" x14ac:dyDescent="0.35">
      <c r="B87" s="47"/>
    </row>
    <row r="88" spans="2:2" ht="14.25" customHeight="1" x14ac:dyDescent="0.35">
      <c r="B88" s="47"/>
    </row>
    <row r="89" spans="2:2" ht="14.25" customHeight="1" x14ac:dyDescent="0.35">
      <c r="B89" s="47"/>
    </row>
    <row r="90" spans="2:2" ht="14.25" customHeight="1" x14ac:dyDescent="0.35">
      <c r="B90" s="47"/>
    </row>
    <row r="91" spans="2:2" ht="14.25" customHeight="1" x14ac:dyDescent="0.35">
      <c r="B91" s="47"/>
    </row>
    <row r="92" spans="2:2" ht="14.25" customHeight="1" x14ac:dyDescent="0.35">
      <c r="B92" s="47"/>
    </row>
    <row r="93" spans="2:2" ht="14.25" customHeight="1" x14ac:dyDescent="0.35">
      <c r="B93" s="47"/>
    </row>
    <row r="94" spans="2:2" ht="14.25" customHeight="1" x14ac:dyDescent="0.35">
      <c r="B94" s="47"/>
    </row>
    <row r="95" spans="2:2" ht="14.25" customHeight="1" x14ac:dyDescent="0.35">
      <c r="B95" s="47"/>
    </row>
    <row r="96" spans="2:2" ht="14.25" customHeight="1" x14ac:dyDescent="0.35">
      <c r="B96" s="47"/>
    </row>
    <row r="97" spans="2:2" ht="14.25" customHeight="1" x14ac:dyDescent="0.35">
      <c r="B97" s="47"/>
    </row>
    <row r="98" spans="2:2" ht="14.25" customHeight="1" x14ac:dyDescent="0.35">
      <c r="B98" s="47"/>
    </row>
    <row r="99" spans="2:2" ht="14.25" customHeight="1" x14ac:dyDescent="0.35">
      <c r="B99" s="47"/>
    </row>
    <row r="100" spans="2:2" ht="14.25" customHeight="1" x14ac:dyDescent="0.35">
      <c r="B100" s="47"/>
    </row>
    <row r="101" spans="2:2" ht="14.25" customHeight="1" x14ac:dyDescent="0.35">
      <c r="B101" s="47"/>
    </row>
    <row r="102" spans="2:2" ht="14.25" customHeight="1" x14ac:dyDescent="0.35">
      <c r="B102" s="47"/>
    </row>
    <row r="103" spans="2:2" ht="14.25" customHeight="1" x14ac:dyDescent="0.35">
      <c r="B103" s="47"/>
    </row>
    <row r="104" spans="2:2" ht="14.25" customHeight="1" x14ac:dyDescent="0.35">
      <c r="B104" s="47"/>
    </row>
  </sheetData>
  <sheetProtection algorithmName="SHA-512" hashValue="/uQKkSw4ciQ6iLHUhRnbfnTYfLGea4+uvwdX87KUe/epXxmrOHfMKpHwaEQWwN3xL2MIPjtPeohHfVsd6fbc8Q==" saltValue="X9qaSuTeLzy0E6QjStx4kA==" spinCount="100000" sheet="1"/>
  <mergeCells count="5">
    <mergeCell ref="B9:B11"/>
    <mergeCell ref="D9:V9"/>
    <mergeCell ref="Q2:R2"/>
    <mergeCell ref="U2:V2"/>
    <mergeCell ref="B1:B3"/>
  </mergeCells>
  <conditionalFormatting sqref="U18">
    <cfRule type="expression" dxfId="320" priority="49">
      <formula>U$7="NÃO"</formula>
    </cfRule>
  </conditionalFormatting>
  <conditionalFormatting sqref="U18">
    <cfRule type="expression" dxfId="319" priority="50">
      <formula>U$7= "SIM"</formula>
    </cfRule>
  </conditionalFormatting>
  <conditionalFormatting sqref="U19">
    <cfRule type="expression" dxfId="318" priority="47">
      <formula>U$7="NÃO"</formula>
    </cfRule>
  </conditionalFormatting>
  <conditionalFormatting sqref="U19">
    <cfRule type="expression" dxfId="317" priority="48">
      <formula>U$7= "SIM"</formula>
    </cfRule>
  </conditionalFormatting>
  <conditionalFormatting sqref="Q15">
    <cfRule type="expression" dxfId="316" priority="45">
      <formula>Q$7="NÃO"</formula>
    </cfRule>
  </conditionalFormatting>
  <conditionalFormatting sqref="Q15">
    <cfRule type="expression" dxfId="315" priority="46">
      <formula>Q$7= "SIM"</formula>
    </cfRule>
  </conditionalFormatting>
  <conditionalFormatting sqref="Q16">
    <cfRule type="expression" dxfId="314" priority="43">
      <formula>Q$7="NÃO"</formula>
    </cfRule>
  </conditionalFormatting>
  <conditionalFormatting sqref="Q16">
    <cfRule type="expression" dxfId="313" priority="44">
      <formula>Q$7= "SIM"</formula>
    </cfRule>
  </conditionalFormatting>
  <conditionalFormatting sqref="Q17">
    <cfRule type="expression" dxfId="312" priority="41">
      <formula>Q$7="NÃO"</formula>
    </cfRule>
  </conditionalFormatting>
  <conditionalFormatting sqref="Q17">
    <cfRule type="expression" dxfId="311" priority="42">
      <formula>Q$7= "SIM"</formula>
    </cfRule>
  </conditionalFormatting>
  <conditionalFormatting sqref="Q18">
    <cfRule type="expression" dxfId="310" priority="39">
      <formula>Q$7="NÃO"</formula>
    </cfRule>
  </conditionalFormatting>
  <conditionalFormatting sqref="Q18">
    <cfRule type="expression" dxfId="309" priority="40">
      <formula>Q$7= "SIM"</formula>
    </cfRule>
  </conditionalFormatting>
  <conditionalFormatting sqref="Q19">
    <cfRule type="expression" dxfId="308" priority="37">
      <formula>Q$7="NÃO"</formula>
    </cfRule>
  </conditionalFormatting>
  <conditionalFormatting sqref="Q19">
    <cfRule type="expression" dxfId="307" priority="38">
      <formula>Q$7= "SIM"</formula>
    </cfRule>
  </conditionalFormatting>
  <conditionalFormatting sqref="M15">
    <cfRule type="expression" dxfId="306" priority="35">
      <formula>M$7="NÃO"</formula>
    </cfRule>
  </conditionalFormatting>
  <conditionalFormatting sqref="M15">
    <cfRule type="expression" dxfId="305" priority="36">
      <formula>M$7= "SIM"</formula>
    </cfRule>
  </conditionalFormatting>
  <conditionalFormatting sqref="M16">
    <cfRule type="expression" dxfId="304" priority="33">
      <formula>M$7="NÃO"</formula>
    </cfRule>
  </conditionalFormatting>
  <conditionalFormatting sqref="M16">
    <cfRule type="expression" dxfId="303" priority="34">
      <formula>M$7= "SIM"</formula>
    </cfRule>
  </conditionalFormatting>
  <conditionalFormatting sqref="M17">
    <cfRule type="expression" dxfId="302" priority="31">
      <formula>M$7="NÃO"</formula>
    </cfRule>
  </conditionalFormatting>
  <conditionalFormatting sqref="M17">
    <cfRule type="expression" dxfId="301" priority="32">
      <formula>M$7= "SIM"</formula>
    </cfRule>
  </conditionalFormatting>
  <conditionalFormatting sqref="M18">
    <cfRule type="expression" dxfId="300" priority="29">
      <formula>M$7="NÃO"</formula>
    </cfRule>
  </conditionalFormatting>
  <conditionalFormatting sqref="M18">
    <cfRule type="expression" dxfId="299" priority="30">
      <formula>M$7= "SIM"</formula>
    </cfRule>
  </conditionalFormatting>
  <conditionalFormatting sqref="M19">
    <cfRule type="expression" dxfId="298" priority="27">
      <formula>M$7="NÃO"</formula>
    </cfRule>
  </conditionalFormatting>
  <conditionalFormatting sqref="M19">
    <cfRule type="expression" dxfId="297" priority="28">
      <formula>M$7= "SIM"</formula>
    </cfRule>
  </conditionalFormatting>
  <conditionalFormatting sqref="I15">
    <cfRule type="expression" dxfId="296" priority="25">
      <formula>I$7="NÃO"</formula>
    </cfRule>
  </conditionalFormatting>
  <conditionalFormatting sqref="I15">
    <cfRule type="expression" dxfId="295" priority="26">
      <formula>I$7= "SIM"</formula>
    </cfRule>
  </conditionalFormatting>
  <conditionalFormatting sqref="I16">
    <cfRule type="expression" dxfId="294" priority="23">
      <formula>I$7="NÃO"</formula>
    </cfRule>
  </conditionalFormatting>
  <conditionalFormatting sqref="I16">
    <cfRule type="expression" dxfId="293" priority="24">
      <formula>I$7= "SIM"</formula>
    </cfRule>
  </conditionalFormatting>
  <conditionalFormatting sqref="I17">
    <cfRule type="expression" dxfId="292" priority="21">
      <formula>I$7="NÃO"</formula>
    </cfRule>
  </conditionalFormatting>
  <conditionalFormatting sqref="I17">
    <cfRule type="expression" dxfId="291" priority="22">
      <formula>I$7= "SIM"</formula>
    </cfRule>
  </conditionalFormatting>
  <conditionalFormatting sqref="I18">
    <cfRule type="expression" dxfId="290" priority="19">
      <formula>I$7="NÃO"</formula>
    </cfRule>
  </conditionalFormatting>
  <conditionalFormatting sqref="I18">
    <cfRule type="expression" dxfId="289" priority="20">
      <formula>I$7= "SIM"</formula>
    </cfRule>
  </conditionalFormatting>
  <conditionalFormatting sqref="I19">
    <cfRule type="expression" dxfId="288" priority="17">
      <formula>I$7="NÃO"</formula>
    </cfRule>
  </conditionalFormatting>
  <conditionalFormatting sqref="I19">
    <cfRule type="expression" dxfId="287" priority="18">
      <formula>I$7= "SIM"</formula>
    </cfRule>
  </conditionalFormatting>
  <conditionalFormatting sqref="E15">
    <cfRule type="expression" dxfId="286" priority="15">
      <formula>E$7="NÃO"</formula>
    </cfRule>
  </conditionalFormatting>
  <conditionalFormatting sqref="E15">
    <cfRule type="expression" dxfId="285" priority="16">
      <formula>E$7= "SIM"</formula>
    </cfRule>
  </conditionalFormatting>
  <conditionalFormatting sqref="E16">
    <cfRule type="expression" dxfId="284" priority="13">
      <formula>E$7="NÃO"</formula>
    </cfRule>
  </conditionalFormatting>
  <conditionalFormatting sqref="E16">
    <cfRule type="expression" dxfId="283" priority="14">
      <formula>E$7= "SIM"</formula>
    </cfRule>
  </conditionalFormatting>
  <conditionalFormatting sqref="E17">
    <cfRule type="expression" dxfId="282" priority="11">
      <formula>E$7="NÃO"</formula>
    </cfRule>
  </conditionalFormatting>
  <conditionalFormatting sqref="E17">
    <cfRule type="expression" dxfId="281" priority="12">
      <formula>E$7= "SIM"</formula>
    </cfRule>
  </conditionalFormatting>
  <conditionalFormatting sqref="E18">
    <cfRule type="expression" dxfId="280" priority="9">
      <formula>E$7="NÃO"</formula>
    </cfRule>
  </conditionalFormatting>
  <conditionalFormatting sqref="E18">
    <cfRule type="expression" dxfId="279" priority="10">
      <formula>E$7= "SIM"</formula>
    </cfRule>
  </conditionalFormatting>
  <conditionalFormatting sqref="E19">
    <cfRule type="expression" dxfId="278" priority="7">
      <formula>E$7="NÃO"</formula>
    </cfRule>
  </conditionalFormatting>
  <conditionalFormatting sqref="E19">
    <cfRule type="expression" dxfId="277" priority="8">
      <formula>E$7= "SIM"</formula>
    </cfRule>
  </conditionalFormatting>
  <conditionalFormatting sqref="I7 E7 M7 Q7 U7">
    <cfRule type="expression" dxfId="276" priority="3">
      <formula>E$7="NÃO"</formula>
    </cfRule>
  </conditionalFormatting>
  <conditionalFormatting sqref="I7 E7 M7 Q7 U7">
    <cfRule type="expression" dxfId="275" priority="4">
      <formula>E$7= "SIM"</formula>
    </cfRule>
  </conditionalFormatting>
  <conditionalFormatting sqref="E35 E27:E28 M27:M28 I27:I28 Q27:Q28 U27:U28 E38 E32 I32 M32 Q32 U32 I38 M38 Q38 U38 U41:U45 Q41:Q45 M41:M45 I41:I45 E41:E45 Q35 I35 U35 M35">
    <cfRule type="expression" dxfId="274" priority="57">
      <formula>E$7="NÃO"</formula>
    </cfRule>
  </conditionalFormatting>
  <conditionalFormatting sqref="E35 E27:E28 M27:M28 I27:I28 Q27:Q28 U27:U28 E38 E32 I32 M32 Q32 U32 I38 M38 Q38 U38 U41:U45 Q41:Q45 M41:M45 I41:I45 E41:E45 Q35 I35 U35 M35">
    <cfRule type="expression" dxfId="273" priority="58">
      <formula>E$7= "SIM"</formula>
    </cfRule>
  </conditionalFormatting>
  <conditionalFormatting sqref="U15">
    <cfRule type="expression" dxfId="272" priority="55">
      <formula>U$7="NÃO"</formula>
    </cfRule>
  </conditionalFormatting>
  <conditionalFormatting sqref="U15">
    <cfRule type="expression" dxfId="271" priority="56">
      <formula>U$7= "SIM"</formula>
    </cfRule>
  </conditionalFormatting>
  <conditionalFormatting sqref="U16">
    <cfRule type="expression" dxfId="270" priority="53">
      <formula>U$7="NÃO"</formula>
    </cfRule>
  </conditionalFormatting>
  <conditionalFormatting sqref="U16">
    <cfRule type="expression" dxfId="269" priority="54">
      <formula>U$7= "SIM"</formula>
    </cfRule>
  </conditionalFormatting>
  <conditionalFormatting sqref="U17">
    <cfRule type="expression" dxfId="268" priority="51">
      <formula>U$7="NÃO"</formula>
    </cfRule>
  </conditionalFormatting>
  <conditionalFormatting sqref="U17">
    <cfRule type="expression" dxfId="267" priority="52">
      <formula>U$7= "SIM"</formula>
    </cfRule>
  </conditionalFormatting>
  <conditionalFormatting sqref="L2">
    <cfRule type="expression" dxfId="266" priority="1">
      <formula>L$2="NÃO"</formula>
    </cfRule>
  </conditionalFormatting>
  <conditionalFormatting sqref="L2">
    <cfRule type="expression" dxfId="265" priority="2">
      <formula>L$2= "SIM"</formula>
    </cfRule>
  </conditionalFormatting>
  <conditionalFormatting sqref="D2">
    <cfRule type="expression" dxfId="264" priority="5">
      <formula>AND($L$2="Sim",$D$2&lt;$D$11)</formula>
    </cfRule>
  </conditionalFormatting>
  <conditionalFormatting sqref="D2">
    <cfRule type="expression" dxfId="263" priority="6">
      <formula>AND($L$2="Sim",$D$2&gt;$V$11)</formula>
    </cfRule>
  </conditionalFormatting>
  <pageMargins left="0.511811024" right="0.511811024" top="0.78740157499999996" bottom="0.78740157499999996" header="0" footer="0"/>
  <pageSetup paperSize="9" orientation="portrait"/>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outlinePr summaryBelow="0"/>
  </sheetPr>
  <dimension ref="A1:BI104"/>
  <sheetViews>
    <sheetView zoomScale="75" zoomScaleNormal="75" workbookViewId="0">
      <selection activeCell="B1" sqref="B1:B3"/>
    </sheetView>
  </sheetViews>
  <sheetFormatPr defaultColWidth="14.453125" defaultRowHeight="15" customHeight="1" outlineLevelRow="1" x14ac:dyDescent="0.35"/>
  <cols>
    <col min="1" max="1" width="1.7265625" customWidth="1"/>
    <col min="2" max="2" width="60.7265625" customWidth="1"/>
    <col min="3" max="3" width="1.7265625" customWidth="1"/>
    <col min="4" max="4" width="11.7265625" customWidth="1"/>
    <col min="5" max="5" width="15.7265625" customWidth="1"/>
    <col min="6" max="6" width="11.7265625" customWidth="1"/>
    <col min="7" max="7" width="1.7265625" customWidth="1"/>
    <col min="8" max="8" width="11.7265625" customWidth="1"/>
    <col min="9" max="9" width="15.7265625" customWidth="1"/>
    <col min="10" max="10" width="11.7265625" customWidth="1"/>
    <col min="11" max="11" width="1.7265625" customWidth="1"/>
    <col min="12" max="12" width="11.7265625" customWidth="1"/>
    <col min="13" max="13" width="15.7265625" customWidth="1"/>
    <col min="14" max="14" width="11.7265625" customWidth="1"/>
    <col min="15" max="15" width="1.7265625" customWidth="1"/>
    <col min="16" max="16" width="11.7265625" customWidth="1"/>
    <col min="17" max="17" width="15.7265625" customWidth="1"/>
    <col min="18" max="18" width="11.7265625" customWidth="1"/>
    <col min="19" max="19" width="1.7265625" customWidth="1"/>
    <col min="20" max="20" width="11.7265625" customWidth="1"/>
    <col min="21" max="21" width="15.7265625" customWidth="1"/>
    <col min="22" max="22" width="11.7265625" customWidth="1"/>
    <col min="23" max="23" width="8.453125" hidden="1" customWidth="1"/>
    <col min="24" max="24" width="8" hidden="1" customWidth="1"/>
    <col min="25" max="26" width="7.453125" hidden="1" customWidth="1"/>
    <col min="27" max="27" width="8" hidden="1" customWidth="1"/>
    <col min="28" max="61" width="8.7265625" customWidth="1"/>
  </cols>
  <sheetData>
    <row r="1" spans="1:61" ht="20.149999999999999" customHeight="1" x14ac:dyDescent="0.35">
      <c r="A1" s="402"/>
      <c r="B1" s="2303" t="s">
        <v>872</v>
      </c>
      <c r="C1" s="441"/>
      <c r="D1" s="441"/>
      <c r="E1" s="441"/>
      <c r="F1" s="441"/>
      <c r="G1" s="441"/>
      <c r="H1" s="441"/>
      <c r="I1" s="441"/>
      <c r="J1" s="441"/>
      <c r="K1" s="441"/>
      <c r="L1" s="441"/>
      <c r="M1" s="441"/>
      <c r="N1" s="441"/>
      <c r="O1" s="441"/>
      <c r="P1" s="441"/>
      <c r="Q1" s="441"/>
      <c r="R1" s="441"/>
      <c r="S1" s="441"/>
      <c r="T1" s="441"/>
      <c r="U1" s="441"/>
      <c r="V1" s="441"/>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20.149999999999999" customHeight="1" x14ac:dyDescent="0.45">
      <c r="A2" s="442"/>
      <c r="B2" s="2303"/>
      <c r="C2" s="444"/>
      <c r="D2" s="1021">
        <f>'R-Resumo Bal. Massa'!B31*(1+'R&amp;C-Painel de Controle'!H63)</f>
        <v>0</v>
      </c>
      <c r="E2" s="1022" t="s">
        <v>19</v>
      </c>
      <c r="F2" s="1017"/>
      <c r="G2" s="1017"/>
      <c r="H2" s="1156">
        <f>D2*313</f>
        <v>0</v>
      </c>
      <c r="I2" s="1155" t="s">
        <v>291</v>
      </c>
      <c r="J2" s="1017"/>
      <c r="K2" s="1017"/>
      <c r="L2" s="1137" t="str">
        <f>IF(D2&gt;0,"Sim","Não")</f>
        <v>Não</v>
      </c>
      <c r="M2" s="439"/>
      <c r="N2" s="439"/>
      <c r="O2" s="439"/>
      <c r="P2" s="1157" t="s">
        <v>493</v>
      </c>
      <c r="Q2" s="2294" t="str">
        <f>'R-Definição'!D2</f>
        <v>São Judas Tadeu</v>
      </c>
      <c r="R2" s="2295"/>
      <c r="S2" s="437"/>
      <c r="T2" s="1157" t="s">
        <v>494</v>
      </c>
      <c r="U2" s="2294" t="str">
        <f>'R-Definição'!D3</f>
        <v>Rota Futura 1</v>
      </c>
      <c r="V2" s="2295"/>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row>
    <row r="3" spans="1:61" ht="20.149999999999999" customHeight="1" x14ac:dyDescent="0.35">
      <c r="A3" s="402"/>
      <c r="B3" s="2303"/>
      <c r="C3" s="435"/>
      <c r="D3" s="434"/>
      <c r="E3" s="434"/>
      <c r="F3" s="434"/>
      <c r="G3" s="434"/>
      <c r="H3" s="434"/>
      <c r="I3" s="434"/>
      <c r="J3" s="434"/>
      <c r="K3" s="434"/>
      <c r="L3" s="434"/>
      <c r="M3" s="434"/>
      <c r="N3" s="434"/>
      <c r="O3" s="439"/>
      <c r="P3" s="434"/>
      <c r="Q3" s="434"/>
      <c r="R3" s="434"/>
      <c r="S3" s="434"/>
      <c r="T3" s="434"/>
      <c r="U3" s="434"/>
      <c r="V3" s="434"/>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row>
    <row r="4" spans="1:61" s="1002" customFormat="1" ht="7.5" customHeight="1" x14ac:dyDescent="0.35">
      <c r="A4" s="402"/>
      <c r="B4" s="733"/>
      <c r="C4" s="393"/>
      <c r="D4" s="1121"/>
      <c r="E4" s="1121"/>
      <c r="F4" s="1121"/>
      <c r="G4" s="393"/>
      <c r="H4" s="1121"/>
      <c r="I4" s="1121"/>
      <c r="J4" s="1121"/>
      <c r="K4" s="393"/>
      <c r="L4" s="1121"/>
      <c r="M4" s="1121"/>
      <c r="N4" s="1121"/>
      <c r="O4" s="393"/>
      <c r="P4" s="1121"/>
      <c r="Q4" s="1121"/>
      <c r="R4" s="1121"/>
      <c r="S4" s="1027"/>
      <c r="T4" s="1121"/>
      <c r="U4" s="1121"/>
      <c r="V4" s="1028"/>
      <c r="W4" s="1001"/>
      <c r="X4" s="1001"/>
      <c r="Y4" s="1001"/>
      <c r="Z4" s="1001"/>
      <c r="AA4" s="1001"/>
      <c r="AB4" s="1001"/>
      <c r="AC4" s="1001"/>
      <c r="AD4" s="1001"/>
      <c r="AE4" s="1001"/>
      <c r="AF4" s="1001"/>
      <c r="AG4" s="1001"/>
      <c r="AH4" s="1001"/>
      <c r="AI4" s="1001"/>
      <c r="AJ4" s="1001"/>
      <c r="AK4" s="1001"/>
      <c r="AL4" s="1001"/>
      <c r="AM4" s="1001"/>
      <c r="AN4" s="1001"/>
      <c r="AO4" s="1001"/>
      <c r="AP4" s="1001"/>
      <c r="AQ4" s="1001"/>
      <c r="AR4" s="1001"/>
      <c r="AS4" s="1001"/>
      <c r="AT4" s="1001"/>
      <c r="AU4" s="1001"/>
      <c r="AV4" s="1001"/>
      <c r="AW4" s="1001"/>
      <c r="AX4" s="1001"/>
      <c r="AY4" s="1001"/>
      <c r="AZ4" s="1001"/>
      <c r="BA4" s="1001"/>
      <c r="BB4" s="1001"/>
      <c r="BC4" s="1001"/>
      <c r="BD4" s="1001"/>
      <c r="BE4" s="1001"/>
      <c r="BF4" s="1001"/>
      <c r="BG4" s="1001"/>
      <c r="BH4" s="1001"/>
      <c r="BI4" s="1001"/>
    </row>
    <row r="5" spans="1:61" ht="17.899999999999999" customHeight="1" x14ac:dyDescent="0.35">
      <c r="A5" s="402"/>
      <c r="B5" s="993" t="s">
        <v>859</v>
      </c>
      <c r="C5" s="445"/>
      <c r="D5" s="1162">
        <v>4</v>
      </c>
      <c r="E5" s="998" t="s">
        <v>870</v>
      </c>
      <c r="F5" s="996"/>
      <c r="G5" s="996"/>
      <c r="H5" s="996"/>
      <c r="I5" s="996"/>
      <c r="J5" s="996"/>
      <c r="K5" s="996"/>
      <c r="L5" s="996"/>
      <c r="M5" s="996"/>
      <c r="N5" s="996"/>
      <c r="O5" s="996"/>
      <c r="P5" s="996"/>
      <c r="Q5" s="996"/>
      <c r="R5" s="996"/>
      <c r="S5" s="996"/>
      <c r="T5" s="996"/>
      <c r="U5" s="996"/>
      <c r="V5" s="32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row>
    <row r="6" spans="1:61" s="1002" customFormat="1" ht="7.5" customHeight="1" x14ac:dyDescent="0.35">
      <c r="A6" s="402"/>
      <c r="B6" s="733"/>
      <c r="C6" s="393"/>
      <c r="D6" s="1121"/>
      <c r="E6" s="1121"/>
      <c r="F6" s="1121"/>
      <c r="G6" s="393"/>
      <c r="H6" s="1121"/>
      <c r="I6" s="1121"/>
      <c r="J6" s="1121"/>
      <c r="K6" s="393"/>
      <c r="L6" s="1121"/>
      <c r="M6" s="1121"/>
      <c r="N6" s="1121"/>
      <c r="O6" s="393"/>
      <c r="P6" s="1121"/>
      <c r="Q6" s="1121"/>
      <c r="R6" s="1121"/>
      <c r="S6" s="1027"/>
      <c r="T6" s="1121"/>
      <c r="U6" s="1121"/>
      <c r="V6" s="1028"/>
      <c r="W6" s="1001"/>
      <c r="X6" s="1001"/>
      <c r="Y6" s="1001"/>
      <c r="Z6" s="1001"/>
      <c r="AA6" s="1001"/>
      <c r="AB6" s="1001"/>
      <c r="AC6" s="1001"/>
      <c r="AD6" s="1001"/>
      <c r="AE6" s="1001"/>
      <c r="AF6" s="1001"/>
      <c r="AG6" s="1001"/>
      <c r="AH6" s="1001"/>
      <c r="AI6" s="1001"/>
      <c r="AJ6" s="1001"/>
      <c r="AK6" s="1001"/>
      <c r="AL6" s="1001"/>
      <c r="AM6" s="1001"/>
      <c r="AN6" s="1001"/>
      <c r="AO6" s="1001"/>
      <c r="AP6" s="1001"/>
      <c r="AQ6" s="1001"/>
      <c r="AR6" s="1001"/>
      <c r="AS6" s="1001"/>
      <c r="AT6" s="1001"/>
      <c r="AU6" s="1001"/>
      <c r="AV6" s="1001"/>
      <c r="AW6" s="1001"/>
      <c r="AX6" s="1001"/>
      <c r="AY6" s="1001"/>
      <c r="AZ6" s="1001"/>
      <c r="BA6" s="1001"/>
      <c r="BB6" s="1001"/>
      <c r="BC6" s="1001"/>
      <c r="BD6" s="1001"/>
      <c r="BE6" s="1001"/>
      <c r="BF6" s="1001"/>
      <c r="BG6" s="1001"/>
      <c r="BH6" s="1001"/>
      <c r="BI6" s="1001"/>
    </row>
    <row r="7" spans="1:61" ht="20.149999999999999" customHeight="1" x14ac:dyDescent="0.35">
      <c r="A7" s="402"/>
      <c r="B7" s="977"/>
      <c r="C7" s="977"/>
      <c r="D7" s="977"/>
      <c r="E7" s="1114" t="str">
        <f>IF(AND(L2="Sim",$D$2&gt;D11,$D$2&lt;=F11),"SIM","NÃO")</f>
        <v>NÃO</v>
      </c>
      <c r="F7" s="981"/>
      <c r="G7" s="977"/>
      <c r="H7" s="981"/>
      <c r="I7" s="1141" t="str">
        <f>IF(AND(L2="Sim",$D$2&gt;H11,$D$2&lt;=J11),"SIM","NÃO")</f>
        <v>NÃO</v>
      </c>
      <c r="J7" s="981"/>
      <c r="K7" s="977"/>
      <c r="L7" s="981"/>
      <c r="M7" s="1114" t="str">
        <f>IF(AND(L2="Sim",$D$2&gt;L11,$D$2&lt;=N11),"SIM","NÃO")</f>
        <v>NÃO</v>
      </c>
      <c r="N7" s="981"/>
      <c r="O7" s="1139"/>
      <c r="P7" s="981"/>
      <c r="Q7" s="1114" t="str">
        <f>IF(AND(L2="Sim",$D$2&gt;P11,$D$2&lt;=R11),"SIM","NÃO")</f>
        <v>NÃO</v>
      </c>
      <c r="R7" s="981"/>
      <c r="S7" s="977"/>
      <c r="T7" s="981"/>
      <c r="U7" s="1142" t="str">
        <f>IF(AND(L2="Sim",$D$2&gt;T11,$D$2&lt;=V11*1.5),"SIM","NÃO")</f>
        <v>NÃO</v>
      </c>
      <c r="V7" s="97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row>
    <row r="8" spans="1:61" s="1002" customFormat="1" ht="7.5" customHeight="1" thickBot="1" x14ac:dyDescent="0.4">
      <c r="A8" s="402"/>
      <c r="B8" s="733"/>
      <c r="C8" s="393"/>
      <c r="D8" s="1121"/>
      <c r="E8" s="1121"/>
      <c r="F8" s="1121"/>
      <c r="G8" s="393"/>
      <c r="H8" s="1121"/>
      <c r="I8" s="1121"/>
      <c r="J8" s="1121"/>
      <c r="K8" s="393"/>
      <c r="L8" s="1121"/>
      <c r="M8" s="1121"/>
      <c r="N8" s="1121"/>
      <c r="O8" s="393"/>
      <c r="P8" s="1121"/>
      <c r="Q8" s="1121"/>
      <c r="R8" s="1121"/>
      <c r="S8" s="1027"/>
      <c r="T8" s="1121"/>
      <c r="U8" s="1121"/>
      <c r="V8" s="1028"/>
      <c r="W8" s="1001"/>
      <c r="X8" s="1001"/>
      <c r="Y8" s="1001"/>
      <c r="Z8" s="1001"/>
      <c r="AA8" s="1001"/>
      <c r="AB8" s="1001"/>
      <c r="AC8" s="1001"/>
      <c r="AD8" s="1001"/>
      <c r="AE8" s="1001"/>
      <c r="AF8" s="1001"/>
      <c r="AG8" s="1001"/>
      <c r="AH8" s="1001"/>
      <c r="AI8" s="1001"/>
      <c r="AJ8" s="1001"/>
      <c r="AK8" s="1001"/>
      <c r="AL8" s="1001"/>
      <c r="AM8" s="1001"/>
      <c r="AN8" s="1001"/>
      <c r="AO8" s="1001"/>
      <c r="AP8" s="1001"/>
      <c r="AQ8" s="1001"/>
      <c r="AR8" s="1001"/>
      <c r="AS8" s="1001"/>
      <c r="AT8" s="1001"/>
      <c r="AU8" s="1001"/>
      <c r="AV8" s="1001"/>
      <c r="AW8" s="1001"/>
      <c r="AX8" s="1001"/>
      <c r="AY8" s="1001"/>
      <c r="AZ8" s="1001"/>
      <c r="BA8" s="1001"/>
      <c r="BB8" s="1001"/>
      <c r="BC8" s="1001"/>
      <c r="BD8" s="1001"/>
      <c r="BE8" s="1001"/>
      <c r="BF8" s="1001"/>
      <c r="BG8" s="1001"/>
      <c r="BH8" s="1001"/>
      <c r="BI8" s="1001"/>
    </row>
    <row r="9" spans="1:61" s="1006" customFormat="1" ht="17.899999999999999" customHeight="1" thickTop="1" thickBot="1" x14ac:dyDescent="0.5">
      <c r="A9" s="1007"/>
      <c r="B9" s="2297" t="s">
        <v>697</v>
      </c>
      <c r="C9" s="1023"/>
      <c r="D9" s="2300" t="s">
        <v>704</v>
      </c>
      <c r="E9" s="2301"/>
      <c r="F9" s="2301"/>
      <c r="G9" s="2301"/>
      <c r="H9" s="2301"/>
      <c r="I9" s="2301"/>
      <c r="J9" s="2301"/>
      <c r="K9" s="2301"/>
      <c r="L9" s="2301"/>
      <c r="M9" s="2301"/>
      <c r="N9" s="2301"/>
      <c r="O9" s="2301"/>
      <c r="P9" s="2301"/>
      <c r="Q9" s="2301"/>
      <c r="R9" s="2301"/>
      <c r="S9" s="2301"/>
      <c r="T9" s="2301"/>
      <c r="U9" s="2301"/>
      <c r="V9" s="2302"/>
      <c r="W9" s="1009"/>
      <c r="X9" s="1009"/>
      <c r="Y9" s="1009"/>
      <c r="Z9" s="1009"/>
      <c r="AA9" s="1009"/>
      <c r="AB9" s="1009"/>
      <c r="AC9" s="1009"/>
      <c r="AD9" s="1009"/>
      <c r="AE9" s="1009"/>
      <c r="AF9" s="1009"/>
      <c r="AG9" s="1009"/>
      <c r="AH9" s="1009"/>
      <c r="AI9" s="1009"/>
      <c r="AJ9" s="1009"/>
      <c r="AK9" s="1009"/>
      <c r="AL9" s="1009"/>
      <c r="AM9" s="1009"/>
      <c r="AN9" s="1009"/>
      <c r="AO9" s="1009"/>
      <c r="AP9" s="1009"/>
      <c r="AQ9" s="1009"/>
      <c r="AR9" s="1009"/>
      <c r="AS9" s="1009"/>
      <c r="AT9" s="1009"/>
      <c r="AU9" s="1009"/>
      <c r="AV9" s="1009"/>
      <c r="AW9" s="1009"/>
      <c r="AX9" s="1009"/>
      <c r="AY9" s="1009"/>
      <c r="AZ9" s="1009"/>
      <c r="BA9" s="1009"/>
      <c r="BB9" s="1009"/>
      <c r="BC9" s="1009"/>
      <c r="BD9" s="1009"/>
      <c r="BE9" s="1009"/>
      <c r="BF9" s="1009"/>
      <c r="BG9" s="1009"/>
      <c r="BH9" s="1009"/>
      <c r="BI9" s="1009"/>
    </row>
    <row r="10" spans="1:61" s="1006" customFormat="1" ht="7.5" customHeight="1" x14ac:dyDescent="0.45">
      <c r="A10" s="1007"/>
      <c r="B10" s="2298"/>
      <c r="C10" s="1023"/>
      <c r="D10" s="1132"/>
      <c r="E10" s="1020"/>
      <c r="F10" s="1020"/>
      <c r="G10" s="978"/>
      <c r="H10" s="1020"/>
      <c r="I10" s="1020"/>
      <c r="J10" s="1020"/>
      <c r="K10" s="978"/>
      <c r="L10" s="1020"/>
      <c r="M10" s="1020"/>
      <c r="N10" s="1020"/>
      <c r="O10" s="978"/>
      <c r="P10" s="1020"/>
      <c r="Q10" s="1020"/>
      <c r="R10" s="1020"/>
      <c r="S10" s="978"/>
      <c r="T10" s="1020"/>
      <c r="U10" s="1020"/>
      <c r="V10" s="1133"/>
      <c r="W10" s="1009"/>
      <c r="X10" s="1009"/>
      <c r="Y10" s="1009"/>
      <c r="Z10" s="1009"/>
      <c r="AA10" s="1009"/>
      <c r="AB10" s="1009"/>
      <c r="AC10" s="1009"/>
      <c r="AD10" s="1009"/>
      <c r="AE10" s="1009"/>
      <c r="AF10" s="1009"/>
      <c r="AG10" s="1009"/>
      <c r="AH10" s="1009"/>
      <c r="AI10" s="1009"/>
      <c r="AJ10" s="1009"/>
      <c r="AK10" s="1009"/>
      <c r="AL10" s="1009"/>
      <c r="AM10" s="1009"/>
      <c r="AN10" s="1009"/>
      <c r="AO10" s="1009"/>
      <c r="AP10" s="1009"/>
      <c r="AQ10" s="1009"/>
      <c r="AR10" s="1009"/>
      <c r="AS10" s="1009"/>
      <c r="AT10" s="1009"/>
      <c r="AU10" s="1009"/>
      <c r="AV10" s="1009"/>
      <c r="AW10" s="1009"/>
      <c r="AX10" s="1009"/>
      <c r="AY10" s="1009"/>
      <c r="AZ10" s="1009"/>
      <c r="BA10" s="1009"/>
      <c r="BB10" s="1009"/>
      <c r="BC10" s="1009"/>
      <c r="BD10" s="1009"/>
      <c r="BE10" s="1009"/>
      <c r="BF10" s="1009"/>
      <c r="BG10" s="1009"/>
      <c r="BH10" s="1009"/>
      <c r="BI10" s="1009"/>
    </row>
    <row r="11" spans="1:61" s="1006" customFormat="1" ht="17.899999999999999" customHeight="1" thickBot="1" x14ac:dyDescent="0.5">
      <c r="A11" s="1007"/>
      <c r="B11" s="2299"/>
      <c r="C11" s="1023"/>
      <c r="D11" s="1124">
        <v>250</v>
      </c>
      <c r="E11" s="1126" t="s">
        <v>19</v>
      </c>
      <c r="F11" s="1126">
        <v>350</v>
      </c>
      <c r="G11" s="1127"/>
      <c r="H11" s="1126">
        <f>F11</f>
        <v>350</v>
      </c>
      <c r="I11" s="1126" t="s">
        <v>19</v>
      </c>
      <c r="J11" s="1126">
        <v>500</v>
      </c>
      <c r="K11" s="1127"/>
      <c r="L11" s="1126">
        <f>J11</f>
        <v>500</v>
      </c>
      <c r="M11" s="1126" t="s">
        <v>19</v>
      </c>
      <c r="N11" s="1126">
        <v>1000</v>
      </c>
      <c r="O11" s="1127"/>
      <c r="P11" s="1126">
        <f>N11</f>
        <v>1000</v>
      </c>
      <c r="Q11" s="1126" t="s">
        <v>19</v>
      </c>
      <c r="R11" s="1126">
        <v>1500</v>
      </c>
      <c r="S11" s="1127"/>
      <c r="T11" s="1126">
        <f>R11</f>
        <v>1500</v>
      </c>
      <c r="U11" s="1126" t="s">
        <v>19</v>
      </c>
      <c r="V11" s="1128">
        <v>2000</v>
      </c>
      <c r="W11" s="1009"/>
      <c r="X11" s="1009"/>
      <c r="Y11" s="1009"/>
      <c r="Z11" s="1009"/>
      <c r="AA11" s="1009"/>
      <c r="AB11" s="1009"/>
      <c r="AC11" s="1009"/>
      <c r="AD11" s="1009"/>
      <c r="AE11" s="1009"/>
      <c r="AF11" s="1009"/>
      <c r="AG11" s="1009"/>
      <c r="AH11" s="1009"/>
      <c r="AI11" s="1009"/>
      <c r="AJ11" s="1009"/>
      <c r="AK11" s="1009"/>
      <c r="AL11" s="1009"/>
      <c r="AM11" s="1009"/>
      <c r="AN11" s="1009"/>
      <c r="AO11" s="1009"/>
      <c r="AP11" s="1009"/>
      <c r="AQ11" s="1009"/>
      <c r="AR11" s="1009"/>
      <c r="AS11" s="1009"/>
      <c r="AT11" s="1009"/>
      <c r="AU11" s="1009"/>
      <c r="AV11" s="1009"/>
      <c r="AW11" s="1009"/>
      <c r="AX11" s="1009"/>
      <c r="AY11" s="1009"/>
      <c r="AZ11" s="1009"/>
      <c r="BA11" s="1009"/>
      <c r="BB11" s="1009"/>
      <c r="BC11" s="1009"/>
      <c r="BD11" s="1009"/>
      <c r="BE11" s="1009"/>
      <c r="BF11" s="1009"/>
      <c r="BG11" s="1009"/>
      <c r="BH11" s="1009"/>
      <c r="BI11" s="1009"/>
    </row>
    <row r="12" spans="1:61" ht="15" customHeight="1" thickTop="1" thickBot="1" x14ac:dyDescent="0.4">
      <c r="A12" s="402"/>
      <c r="B12" s="1130"/>
      <c r="C12" s="875"/>
      <c r="D12" s="1131"/>
      <c r="E12" s="1131"/>
      <c r="F12" s="1131"/>
      <c r="G12" s="875"/>
      <c r="H12" s="1131"/>
      <c r="I12" s="1131"/>
      <c r="J12" s="1131"/>
      <c r="K12" s="875"/>
      <c r="L12" s="1131"/>
      <c r="M12" s="1131"/>
      <c r="N12" s="1131"/>
      <c r="O12" s="875"/>
      <c r="P12" s="1131"/>
      <c r="Q12" s="1131"/>
      <c r="R12" s="1131"/>
      <c r="S12" s="875"/>
      <c r="T12" s="1131"/>
      <c r="U12" s="1131"/>
      <c r="V12" s="1131"/>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row>
    <row r="13" spans="1:61" s="1006" customFormat="1" ht="25.15" customHeight="1" thickTop="1" thickBot="1" x14ac:dyDescent="0.5">
      <c r="A13" s="1007"/>
      <c r="B13" s="1060" t="s">
        <v>500</v>
      </c>
      <c r="C13" s="1025"/>
      <c r="D13" s="1062" t="s">
        <v>858</v>
      </c>
      <c r="E13" s="1063" t="s">
        <v>499</v>
      </c>
      <c r="F13" s="1064" t="s">
        <v>332</v>
      </c>
      <c r="G13" s="997"/>
      <c r="H13" s="1062" t="s">
        <v>858</v>
      </c>
      <c r="I13" s="1063" t="s">
        <v>499</v>
      </c>
      <c r="J13" s="1064" t="s">
        <v>332</v>
      </c>
      <c r="K13" s="997"/>
      <c r="L13" s="1062" t="s">
        <v>858</v>
      </c>
      <c r="M13" s="1063" t="s">
        <v>499</v>
      </c>
      <c r="N13" s="1064" t="s">
        <v>332</v>
      </c>
      <c r="O13" s="997"/>
      <c r="P13" s="1062" t="s">
        <v>858</v>
      </c>
      <c r="Q13" s="1063" t="s">
        <v>499</v>
      </c>
      <c r="R13" s="1064" t="s">
        <v>332</v>
      </c>
      <c r="S13" s="997"/>
      <c r="T13" s="1062" t="s">
        <v>858</v>
      </c>
      <c r="U13" s="1063" t="s">
        <v>499</v>
      </c>
      <c r="V13" s="1064" t="s">
        <v>332</v>
      </c>
      <c r="W13" s="1009"/>
      <c r="X13" s="1009"/>
      <c r="Y13" s="1009"/>
      <c r="Z13" s="1009"/>
      <c r="AA13" s="1009"/>
      <c r="AB13" s="1009"/>
      <c r="AC13" s="1009"/>
      <c r="AD13" s="1009"/>
      <c r="AE13" s="1009"/>
      <c r="AF13" s="1009"/>
      <c r="AG13" s="1009"/>
      <c r="AH13" s="1009"/>
      <c r="AI13" s="1009"/>
      <c r="AJ13" s="1009"/>
      <c r="AK13" s="1009"/>
      <c r="AL13" s="1009"/>
      <c r="AM13" s="1009"/>
      <c r="AN13" s="1009"/>
      <c r="AO13" s="1009"/>
      <c r="AP13" s="1009"/>
      <c r="AQ13" s="1009"/>
      <c r="AR13" s="1009"/>
      <c r="AS13" s="1009"/>
      <c r="AT13" s="1009"/>
      <c r="AU13" s="1009"/>
      <c r="AV13" s="1009"/>
      <c r="AW13" s="1009"/>
      <c r="AX13" s="1009"/>
      <c r="AY13" s="1009"/>
      <c r="AZ13" s="1009"/>
      <c r="BA13" s="1009"/>
      <c r="BB13" s="1009"/>
      <c r="BC13" s="1009"/>
      <c r="BD13" s="1009"/>
      <c r="BE13" s="1009"/>
      <c r="BF13" s="1009"/>
      <c r="BG13" s="1009"/>
      <c r="BH13" s="1009"/>
      <c r="BI13" s="1009"/>
    </row>
    <row r="14" spans="1:61" ht="7.5" customHeight="1" x14ac:dyDescent="0.35">
      <c r="A14" s="402"/>
      <c r="B14" s="1088"/>
      <c r="C14" s="1025"/>
      <c r="D14" s="1094"/>
      <c r="E14" s="337"/>
      <c r="F14" s="1039"/>
      <c r="G14" s="1025"/>
      <c r="H14" s="1094"/>
      <c r="I14" s="337"/>
      <c r="J14" s="1039"/>
      <c r="K14" s="1025"/>
      <c r="L14" s="1094"/>
      <c r="M14" s="337"/>
      <c r="N14" s="1039"/>
      <c r="O14" s="1025"/>
      <c r="P14" s="1094"/>
      <c r="Q14" s="337"/>
      <c r="R14" s="1039"/>
      <c r="S14" s="1025"/>
      <c r="T14" s="1094"/>
      <c r="U14" s="337"/>
      <c r="V14" s="1039"/>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row>
    <row r="15" spans="1:61" ht="20.149999999999999" customHeight="1" x14ac:dyDescent="0.35">
      <c r="A15" s="407"/>
      <c r="B15" s="1035" t="s">
        <v>427</v>
      </c>
      <c r="C15" s="997"/>
      <c r="D15" s="1581">
        <v>101</v>
      </c>
      <c r="E15" s="1514" t="str">
        <f>IF(E7="SIM",((((H15*(($D$2-D11)/(F11-D11))*$H$2/1000)*E21*$D$5*(1+'R&amp;C-Painel de Controle'!$D$62)+(H15*(($D$2-D11)/(F11-D11))*$H$2/1000)*(1-E21)*'R&amp;C-Painel de Controle'!$D$53*(1+'R&amp;C-Painel de Controle'!$D$55)))+(((D15*((F11-$D$2)/(F11-D11))*$H$2/1000)*E21*$D$5*(1+'R&amp;C-Painel de Controle'!$D$62)+(D15*((F11-$D$2)/(F11-D11))*$H$2/1000)*(1-E21)*'R&amp;C-Painel de Controle'!$D$53*(1+'R&amp;C-Painel de Controle'!$D$55))))/1000, "-")</f>
        <v>-</v>
      </c>
      <c r="F15" s="1515">
        <v>0.1</v>
      </c>
      <c r="G15" s="1026"/>
      <c r="H15" s="1581">
        <v>85</v>
      </c>
      <c r="I15" s="1514" t="str">
        <f>IF(I7="SIM",((((L15*(($D$2-H11)/(J11-H11))*$H$2/1000)*I21*$D$5*(1+'R&amp;C-Painel de Controle'!$D$62)+(L15*(($D$2-H11)/(J11-H11))*$H$2/1000)*(1-I21)*'R&amp;C-Painel de Controle'!$D$53*(1+'R&amp;C-Painel de Controle'!$D$55)))+(((H15*((J11-$D$2)/(J11-H11))*$H$2/1000)*I21*$D$5*(1+'R&amp;C-Painel de Controle'!$D$62)+(H15*((J11-$D$2)/(J11-H11))*$H$2/1000)*(1-I21)*'R&amp;C-Painel de Controle'!$D$53*(1+'R&amp;C-Painel de Controle'!$D$55))))/1000, "-")</f>
        <v>-</v>
      </c>
      <c r="J15" s="1515">
        <v>0.1</v>
      </c>
      <c r="K15" s="1026"/>
      <c r="L15" s="1581">
        <v>73</v>
      </c>
      <c r="M15" s="1514" t="str">
        <f>IF(M7="SIM",((((P15*(($D$2-L11)/(N11-L11))*$H$2/1000)*M21*$D$5*(1+'R&amp;C-Painel de Controle'!$D$62)+(P15*(($D$2-L11)/(N11-L11))*$H$2/1000)*(1-M21)*'R&amp;C-Painel de Controle'!$D$53*(1+'R&amp;C-Painel de Controle'!$D$55)))+(((L15*((N11-$D$2)/(N11-L11))*$H$2/1000)*M21*$D$5*(1+'R&amp;C-Painel de Controle'!$D$62)+(L15*((N11-$D$2)/(N11-L11))*$H$2/1000)*(1-M21)*'R&amp;C-Painel de Controle'!$D$53*(1+'R&amp;C-Painel de Controle'!$D$55))))/1000, "-")</f>
        <v>-</v>
      </c>
      <c r="N15" s="1515">
        <v>0.1</v>
      </c>
      <c r="O15" s="1026"/>
      <c r="P15" s="1581">
        <f t="shared" ref="P15:P16" si="0">L15</f>
        <v>73</v>
      </c>
      <c r="Q15" s="1514" t="str">
        <f>IF(Q7="SIM",((((T15*(($D$2-P11)/(R11-P11))*$H$2/1000)*Q21*$D$5*(1+'R&amp;C-Painel de Controle'!$D$62)+(T15*(($D$2-P11)/(R11-P11))*$H$2/1000)*(1-Q21)*'R&amp;C-Painel de Controle'!$D$53*(1+'R&amp;C-Painel de Controle'!$D$55)))+(((P15*((R11-$D$2)/(R11-P11))*$H$2/1000)*Q21*$D$5*(1+'R&amp;C-Painel de Controle'!$D$62)+(P15*((R11-$D$2)/(R11-P11))*$H$2/1000)*(1-Q21)*'R&amp;C-Painel de Controle'!$D$53*(1+'R&amp;C-Painel de Controle'!$D$55))))/1000, "-")</f>
        <v>-</v>
      </c>
      <c r="R15" s="1515">
        <v>0.1</v>
      </c>
      <c r="S15" s="1582"/>
      <c r="T15" s="1581">
        <f t="shared" ref="T15:T16" si="1">P15</f>
        <v>73</v>
      </c>
      <c r="U15" s="1514" t="str">
        <f>IF(U7="SIM",((((73*(($D$2-T11)/(V11-T11))*$H$2/1000)*U21*$D$5*(1+'R&amp;C-Painel de Controle'!$D$62)+(73*(($D$2-T11)/(V11-T11))*$H$2/1000)*(1-U21)*'R&amp;C-Painel de Controle'!$D$53*(1+'R&amp;C-Painel de Controle'!$D$55)))+(((T15*((V11-$D$2)/(V11-T11))*$H$2/1000)*U21*$D$5*(1+'R&amp;C-Painel de Controle'!$D$62)+(T15*((V11-$D$2)/(V11-T11))*$H$2/1000)*(1-U21)*'R&amp;C-Painel de Controle'!$D$53*(1+'R&amp;C-Painel de Controle'!$D$55))))/1000, "-")</f>
        <v>-</v>
      </c>
      <c r="V15" s="1515">
        <v>0.1</v>
      </c>
      <c r="W15" s="40">
        <v>58.29077250000001</v>
      </c>
      <c r="X15" s="40">
        <v>70.147408124999998</v>
      </c>
      <c r="Y15" s="40">
        <v>114.38780625000001</v>
      </c>
      <c r="Z15" s="40">
        <v>190.64634375</v>
      </c>
      <c r="AA15" s="40">
        <v>266.90488125000002</v>
      </c>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row>
    <row r="16" spans="1:61" ht="20.149999999999999" customHeight="1" x14ac:dyDescent="0.35">
      <c r="A16" s="407"/>
      <c r="B16" s="1035" t="s">
        <v>698</v>
      </c>
      <c r="C16" s="997"/>
      <c r="D16" s="1516">
        <v>70</v>
      </c>
      <c r="E16" s="1514" t="str">
        <f>IF(E7="SIM",(((((H16*(($D$2-D11)/(F11-D11))*$H$2/1000)*E21*$D$5*(1+'R&amp;C-Painel de Controle'!$D$55)*(1+'R&amp;C-Painel de Controle'!$D$62)+(H16*(($D$2-D11)/(F11-D11))*$H$2/1000)*(1-E21)*'R&amp;C-Painel de Controle'!$D$53*(1+'R&amp;C-Painel de Controle'!$D$55)))+(((D16*((F11-$D$2)/(F11-D11))*$H$2/1000)*E21*$D$5*(1+'R&amp;C-Painel de Controle'!$D$55)*(1+'R&amp;C-Painel de Controle'!$D$62)+(D16*((F11-$D$2)/(F11-D11))*$H$2/1000)*(1-E21)*'R&amp;C-Painel de Controle'!$D$53*(1+'R&amp;C-Painel de Controle'!$D$55))))/1000*(1+('R&amp;C-Painel de Controle'!$D$60-5000)/5000)+(D17-F17)*'R&amp;C-Painel de Controle'!$D$58/1000000)*(0.65*(1+'R&amp;C-Painel de Controle'!$D$62)+0.35*(1+('R&amp;C-Painel de Controle'!$D$60-5000)/5000)), "-")</f>
        <v>-</v>
      </c>
      <c r="F16" s="1517">
        <v>0.05</v>
      </c>
      <c r="G16" s="1026"/>
      <c r="H16" s="1516">
        <v>53</v>
      </c>
      <c r="I16" s="1514" t="str">
        <f>IF(I7="SIM",(((((L16*(($D$2-H11)/(J11-H11))*$H$2/1000)*I21*$D$5*(1+'R&amp;C-Painel de Controle'!$D$55)*(1+'R&amp;C-Painel de Controle'!$D$62)+(L16*(($D$2-H11)/(J11-H11))*$H$2/1000)*(1-I21)*'R&amp;C-Painel de Controle'!$D$53*(1+'R&amp;C-Painel de Controle'!$D$55)))+(((H16*((J11-$D$2)/(J11-H11))*$H$2/1000)*I21*$D$5*(1+'R&amp;C-Painel de Controle'!$D$55)*(1+'R&amp;C-Painel de Controle'!$D$62)+(H16*((J11-$D$2)/(J11-H11))*$H$2/1000)*(1-I21)*'R&amp;C-Painel de Controle'!$D$53*(1+'R&amp;C-Painel de Controle'!$D$55))))/1000*(1+('R&amp;C-Painel de Controle'!$D$60-5000)/5000)+(H17-J17)*'R&amp;C-Painel de Controle'!$D$58/1000000)*(0.65*(1+'R&amp;C-Painel de Controle'!$D$62)+0.35*(1+('R&amp;C-Painel de Controle'!$D$60-5000)/5000)), "-")</f>
        <v>-</v>
      </c>
      <c r="J16" s="1517">
        <v>0.05</v>
      </c>
      <c r="K16" s="1026"/>
      <c r="L16" s="1516">
        <v>38</v>
      </c>
      <c r="M16" s="1514" t="str">
        <f>IF(M7="SIM",(((((P16*(($D$2-L11)/(N11-L11))*$H$2/1000)*M21*$D$5*(1+'R&amp;C-Painel de Controle'!$D$55)*(1+'R&amp;C-Painel de Controle'!$D$62)+(P16*(($D$2-L11)/(N11-L11))*$H$2/1000)*(1-M21)*'R&amp;C-Painel de Controle'!$D$53*(1+'R&amp;C-Painel de Controle'!$D$55)))+(((L16*((N11-$D$2)/(N11-L11))*$H$2/1000)*M21*$D$5*(1+'R&amp;C-Painel de Controle'!$D$55)*(1+'R&amp;C-Painel de Controle'!$D$62)+(L16*((N11-$D$2)/(N11-L11))*$H$2/1000)*(1-M21)*'R&amp;C-Painel de Controle'!$D$53*(1+'R&amp;C-Painel de Controle'!$D$55))))/1000*(1+('R&amp;C-Painel de Controle'!$D$60-5000)/5000)+(L17-N17)*'R&amp;C-Painel de Controle'!$D$58/1000000)*(0.65*(1+'R&amp;C-Painel de Controle'!$D$62)+0.35*(1+('R&amp;C-Painel de Controle'!$D$60-5000)/5000)), "-")</f>
        <v>-</v>
      </c>
      <c r="N16" s="1517">
        <v>0.05</v>
      </c>
      <c r="O16" s="1026"/>
      <c r="P16" s="1516">
        <f t="shared" si="0"/>
        <v>38</v>
      </c>
      <c r="Q16" s="1514" t="str">
        <f>IF(Q7="SIM",(((((T16*(($D$2-P11)/(R11-P11))*$H$2/1000)*Q21*$D$5*(1+'R&amp;C-Painel de Controle'!$D$55)*(1+'R&amp;C-Painel de Controle'!$D$62)+(T16*(($D$2-P11)/(R11-P11))*$H$2/1000)*(1-Q21)*'R&amp;C-Painel de Controle'!$D$53*(1+'R&amp;C-Painel de Controle'!$D$55)))+(((P16*((R11-$D$2)/(R11-P11))*$H$2/1000)*Q21*$D$5*(1+'R&amp;C-Painel de Controle'!$D$55)*(1+'R&amp;C-Painel de Controle'!$D$62)+(P16*((R11-$D$2)/(R11-P11))*$H$2/1000)*(1-Q21)*'R&amp;C-Painel de Controle'!$D$53*(1+'R&amp;C-Painel de Controle'!$D$55))))/1000*(1+('R&amp;C-Painel de Controle'!$D$60-5000)/5000)+(P17-R17)*'R&amp;C-Painel de Controle'!$D$58/1000000)*(0.65*(1+'R&amp;C-Painel de Controle'!$D$62)+0.35*(1+('R&amp;C-Painel de Controle'!$D$60-5000)/5000)), "-")</f>
        <v>-</v>
      </c>
      <c r="R16" s="1517">
        <v>0.05</v>
      </c>
      <c r="S16" s="1582"/>
      <c r="T16" s="1516">
        <f t="shared" si="1"/>
        <v>38</v>
      </c>
      <c r="U16" s="1514" t="str">
        <f>IF(U7="SIM",(((((38*(($D$2-T11)/(V11-T11))*$H$2/1000)*U21*$D$5*(1+'R&amp;C-Painel de Controle'!$D$55)*(1+'R&amp;C-Painel de Controle'!$D$62)+(38*(($D$2-T11)/(V11-T11))*$H$2/1000)*(1-U21)*'R&amp;C-Painel de Controle'!$D$53*(1+'R&amp;C-Painel de Controle'!$D$55)))+(((T16*((V11-$D$2)/(V11-T11))*$H$2/1000)*U21*$D$5*(1+'R&amp;C-Painel de Controle'!$D$55)*(1+'R&amp;C-Painel de Controle'!$D$62)+(T16*((V11-$D$2)/(V11-T11))*$H$2/1000)*(1-U21)*'R&amp;C-Painel de Controle'!$D$53*(1+'R&amp;C-Painel de Controle'!$D$55))))/1000*(1+('R&amp;C-Painel de Controle'!$D$60-5000)/5000)+(T17-V17)*'R&amp;C-Painel de Controle'!$D$58/1000000)*(0.65*(1+'R&amp;C-Painel de Controle'!$D$62)+0.35*(1+('R&amp;C-Painel de Controle'!$D$60-5000)/5000)), "-")</f>
        <v>-</v>
      </c>
      <c r="V16" s="1517">
        <v>0.05</v>
      </c>
      <c r="W16" s="40">
        <v>40.786862102191982</v>
      </c>
      <c r="X16" s="40">
        <v>43.828243683249724</v>
      </c>
      <c r="Y16" s="40">
        <v>64.175298458218904</v>
      </c>
      <c r="Z16" s="40">
        <v>104.79544085006964</v>
      </c>
      <c r="AA16" s="55">
        <v>145.27056424149947</v>
      </c>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row>
    <row r="17" spans="1:61" ht="20.149999999999999" customHeight="1" x14ac:dyDescent="0.35">
      <c r="A17" s="407"/>
      <c r="B17" s="1035" t="s">
        <v>857</v>
      </c>
      <c r="C17" s="997"/>
      <c r="D17" s="1518">
        <f>2*(20*(20+(SQRT(F17))+20))+2*(20*(F17/(SQRT(F17))))+F17</f>
        <v>11266.502622129181</v>
      </c>
      <c r="E17" s="1514" t="str">
        <f>(IF(E$7="SIM",('R&amp;C-Painel de Controle'!$D$56+0.25)*D17/1000000,"-"))</f>
        <v>-</v>
      </c>
      <c r="F17" s="1519">
        <f>(25+75+50+25)*25</f>
        <v>4375</v>
      </c>
      <c r="G17" s="1026"/>
      <c r="H17" s="1518">
        <f>2*(20*(20+(SQRT(J17))+20))+2*(20*(J17/(SQRT(J17))))+J17</f>
        <v>23044.271909999159</v>
      </c>
      <c r="I17" s="1514" t="str">
        <f>(IF(I$7="SIM",('R&amp;C-Painel de Controle'!$D$56+0.25)*H17/1000000,"-"))</f>
        <v>-</v>
      </c>
      <c r="J17" s="1519">
        <f>(25+125+75+25)*50</f>
        <v>12500</v>
      </c>
      <c r="K17" s="1026"/>
      <c r="L17" s="1518">
        <f>2*(20*(20+(SQRT(N17))+20))+2*(20*(N17/(SQRT(N17))))+N17</f>
        <v>39249.11064067352</v>
      </c>
      <c r="M17" s="1514" t="str">
        <f>(IF(M$7="SIM",('R&amp;C-Painel de Controle'!$D$56+0.25)*L17/1000000,"-"))</f>
        <v>-</v>
      </c>
      <c r="N17" s="1519">
        <f>2*(25+125+75+25)*50</f>
        <v>25000</v>
      </c>
      <c r="O17" s="1026"/>
      <c r="P17" s="1518">
        <f>2*(20*(20+(SQRT(R17))+20))+2*(20*(R17/(SQRT(R17))))+R17</f>
        <v>54591.933384829666</v>
      </c>
      <c r="Q17" s="1514" t="str">
        <f>(IF(Q$7="SIM",('R&amp;C-Painel de Controle'!$D$56+0.25)*P17/1000000,"-"))</f>
        <v>-</v>
      </c>
      <c r="R17" s="1519">
        <f>3*(25+125+75+25)*50</f>
        <v>37500</v>
      </c>
      <c r="S17" s="1026"/>
      <c r="T17" s="1518">
        <f>2*(20*(20+(SQRT(V17))+20))+2*(20*(V17/(SQRT(V17))))+V17</f>
        <v>69488.543819998318</v>
      </c>
      <c r="U17" s="1514" t="str">
        <f>(IF(U$7="SIM",('R&amp;C-Painel de Controle'!$D$56+0.25)*T17/1000000,"-"))</f>
        <v>-</v>
      </c>
      <c r="V17" s="1519">
        <f>4*(25+125+75+25)*50</f>
        <v>50000</v>
      </c>
      <c r="W17" s="55">
        <v>1.1266502622129182</v>
      </c>
      <c r="X17" s="55">
        <v>2.3044271909999159</v>
      </c>
      <c r="Y17" s="55">
        <v>3.9249110640673521</v>
      </c>
      <c r="Z17" s="55">
        <v>5.459193338482967</v>
      </c>
      <c r="AA17" s="55">
        <v>6.9488543819998316</v>
      </c>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row>
    <row r="18" spans="1:61" ht="20.149999999999999" customHeight="1" x14ac:dyDescent="0.35">
      <c r="A18" s="407"/>
      <c r="B18" s="1035" t="s">
        <v>495</v>
      </c>
      <c r="C18" s="997"/>
      <c r="D18" s="1583" t="str">
        <f>IF(E7="SIM",(E15+E16)*F18*1000/$H$2,"-")</f>
        <v>-</v>
      </c>
      <c r="E18" s="1514" t="str">
        <f>(IF(E$7="SIM",$H$2*D18/1000,""))</f>
        <v/>
      </c>
      <c r="F18" s="1515">
        <v>0.05</v>
      </c>
      <c r="G18" s="1026"/>
      <c r="H18" s="1583" t="str">
        <f>IF(I7="SIM",(I15+I16)*J18*1000/$H$2,"-")</f>
        <v>-</v>
      </c>
      <c r="I18" s="1514" t="str">
        <f>(IF(I$7="SIM",$H$2*H18/1000,""))</f>
        <v/>
      </c>
      <c r="J18" s="1515">
        <v>0.05</v>
      </c>
      <c r="K18" s="1026"/>
      <c r="L18" s="1583" t="str">
        <f>IF(M7="SIM",(M15+M16)*N18*1000/$H$2,"-")</f>
        <v>-</v>
      </c>
      <c r="M18" s="1514" t="str">
        <f>(IF(M$7="SIM",$H$2*L18/1000,""))</f>
        <v/>
      </c>
      <c r="N18" s="1515">
        <v>0.05</v>
      </c>
      <c r="O18" s="1026"/>
      <c r="P18" s="1583" t="str">
        <f>IF(Q7="SIM",(Q15+Q16)*R18*1000/$H$2,"-")</f>
        <v>-</v>
      </c>
      <c r="Q18" s="1514" t="str">
        <f>(IF(Q$7="SIM",$H$2*P18/1000,""))</f>
        <v/>
      </c>
      <c r="R18" s="1515">
        <v>0.05</v>
      </c>
      <c r="S18" s="1026"/>
      <c r="T18" s="1583" t="str">
        <f>IF(U7="SIM",(U15+U16)*V18*1000/$H$2,"-")</f>
        <v>-</v>
      </c>
      <c r="U18" s="1514" t="str">
        <f>(IF(U$7="SIM",$H$2*T18/1000,""))</f>
        <v/>
      </c>
      <c r="V18" s="1515">
        <v>0.05</v>
      </c>
      <c r="W18" s="55">
        <v>4.9538817301096003</v>
      </c>
      <c r="X18" s="55">
        <v>5.6987825904124865</v>
      </c>
      <c r="Y18" s="55">
        <v>8.9281552354109461</v>
      </c>
      <c r="Z18" s="55">
        <v>14.772089230003482</v>
      </c>
      <c r="AA18" s="55">
        <v>20.608772274574974</v>
      </c>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row>
    <row r="19" spans="1:61" s="1006" customFormat="1" ht="25.15" customHeight="1" collapsed="1" thickBot="1" x14ac:dyDescent="0.5">
      <c r="A19" s="1003"/>
      <c r="B19" s="1036" t="s">
        <v>428</v>
      </c>
      <c r="C19" s="1026"/>
      <c r="D19" s="1521">
        <v>0.05</v>
      </c>
      <c r="E19" s="1037" t="str">
        <f>IF(E7="SIM",SUM(E15:E18)*(1+D19),"-")</f>
        <v>-</v>
      </c>
      <c r="F19" s="1154" t="str">
        <f>IF(E7="SIM",(E16)/E19,"-")</f>
        <v>-</v>
      </c>
      <c r="G19" s="1026"/>
      <c r="H19" s="1521">
        <v>0.05</v>
      </c>
      <c r="I19" s="1037" t="str">
        <f>IF(I7="SIM",SUM(I15:I18)*(1+H19),"-")</f>
        <v>-</v>
      </c>
      <c r="J19" s="1154" t="str">
        <f>IF(I7="SIM",(I16)/I19,"-")</f>
        <v>-</v>
      </c>
      <c r="K19" s="1026"/>
      <c r="L19" s="1521">
        <v>0.05</v>
      </c>
      <c r="M19" s="1037" t="str">
        <f>IF(M7="SIM",SUM(M15:M18)*(1+L19),"-")</f>
        <v>-</v>
      </c>
      <c r="N19" s="1154" t="str">
        <f>IF(M7="SIM",(M16)/M19,"-")</f>
        <v>-</v>
      </c>
      <c r="O19" s="1026"/>
      <c r="P19" s="1520">
        <v>0.05</v>
      </c>
      <c r="Q19" s="1037" t="str">
        <f>IF(Q7="SIM",SUM(Q15:Q18)*(1+P19),"-")</f>
        <v>-</v>
      </c>
      <c r="R19" s="1154" t="str">
        <f>IF(Q7="SIM",(Q16)/Q19,"-")</f>
        <v>-</v>
      </c>
      <c r="S19" s="1026"/>
      <c r="T19" s="1520">
        <v>0.05</v>
      </c>
      <c r="U19" s="1037" t="str">
        <f>IF(U7="SIM",SUM(U15:U18)*(1+T19),"-")</f>
        <v>-</v>
      </c>
      <c r="V19" s="1154" t="str">
        <f>IF(U7="SIM",(U16)/U19,"-")</f>
        <v>-</v>
      </c>
      <c r="W19" s="1150">
        <v>110.41607492424025</v>
      </c>
      <c r="X19" s="1150">
        <v>128.07780466914525</v>
      </c>
      <c r="Y19" s="1150">
        <v>200.98697955808208</v>
      </c>
      <c r="Z19" s="1150">
        <v>331.45672052698393</v>
      </c>
      <c r="AA19" s="1150">
        <v>461.71972575547801</v>
      </c>
      <c r="AB19" s="1005"/>
      <c r="AC19" s="1005"/>
      <c r="AD19" s="1005"/>
      <c r="AE19" s="1005"/>
      <c r="AF19" s="1005"/>
      <c r="AG19" s="1005"/>
      <c r="AH19" s="1005"/>
      <c r="AI19" s="1005"/>
      <c r="AJ19" s="1005"/>
      <c r="AK19" s="1005"/>
      <c r="AL19" s="1005"/>
      <c r="AM19" s="1005"/>
      <c r="AN19" s="1005"/>
      <c r="AO19" s="1005"/>
      <c r="AP19" s="1005"/>
      <c r="AQ19" s="1005"/>
      <c r="AR19" s="1005"/>
      <c r="AS19" s="1005"/>
      <c r="AT19" s="1005"/>
      <c r="AU19" s="1005"/>
      <c r="AV19" s="1005"/>
      <c r="AW19" s="1005"/>
      <c r="AX19" s="1005"/>
      <c r="AY19" s="1005"/>
      <c r="AZ19" s="1005"/>
      <c r="BA19" s="1005"/>
      <c r="BB19" s="1005"/>
      <c r="BC19" s="1005"/>
      <c r="BD19" s="1005"/>
      <c r="BE19" s="1005"/>
      <c r="BF19" s="1005"/>
      <c r="BG19" s="1005"/>
      <c r="BH19" s="1005"/>
      <c r="BI19" s="1005"/>
    </row>
    <row r="20" spans="1:61" ht="18" hidden="1" customHeight="1" outlineLevel="1" x14ac:dyDescent="0.35">
      <c r="A20" s="402"/>
      <c r="B20" s="1085" t="s">
        <v>429</v>
      </c>
      <c r="C20" s="875"/>
      <c r="D20" s="1086" t="s">
        <v>332</v>
      </c>
      <c r="E20" s="1087" t="str">
        <f>IF(E7="SIM",E19*1000000/$H$2,"-")</f>
        <v>-</v>
      </c>
      <c r="F20" s="1086" t="str">
        <f>IF(E7="SIM",E16/E19,"-")</f>
        <v>-</v>
      </c>
      <c r="G20" s="875"/>
      <c r="H20" s="1086" t="s">
        <v>332</v>
      </c>
      <c r="I20" s="1087" t="str">
        <f>IF(I7="SIM",I19*1000000/$H$2,"-")</f>
        <v>-</v>
      </c>
      <c r="J20" s="1086" t="str">
        <f>IF(I7="SIM",I16/I19,"-")</f>
        <v>-</v>
      </c>
      <c r="K20" s="875"/>
      <c r="L20" s="1086" t="s">
        <v>332</v>
      </c>
      <c r="M20" s="1087" t="str">
        <f>IF(M7="SIM",M19*1000000/$H$2,"-")</f>
        <v>-</v>
      </c>
      <c r="N20" s="1086" t="str">
        <f>IF(M7="SIM",M16/M19,"-")</f>
        <v>-</v>
      </c>
      <c r="O20" s="875"/>
      <c r="P20" s="1086" t="s">
        <v>332</v>
      </c>
      <c r="Q20" s="1087" t="str">
        <f>IF(Q7="SIM",Q19*1000000/$H$2,"-")</f>
        <v>-</v>
      </c>
      <c r="R20" s="1086" t="str">
        <f>IF(Q7="SIM",Q16/Q19,"-")</f>
        <v>-</v>
      </c>
      <c r="S20" s="875"/>
      <c r="T20" s="1086" t="s">
        <v>332</v>
      </c>
      <c r="U20" s="1087" t="str">
        <f>IF(U7="SIM",U19*1000000/$H$2,"-")</f>
        <v>-</v>
      </c>
      <c r="V20" s="1086" t="str">
        <f>IF(U7="SIM",U16/U19,"-")</f>
        <v>-</v>
      </c>
      <c r="W20" s="41">
        <v>1175.8900417916959</v>
      </c>
      <c r="X20" s="41">
        <v>962.81003322041158</v>
      </c>
      <c r="Y20" s="41">
        <v>856.17456680759142</v>
      </c>
      <c r="Z20" s="41">
        <v>847.1737265865404</v>
      </c>
      <c r="AA20" s="41">
        <v>842.93879644998265</v>
      </c>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row>
    <row r="21" spans="1:61" ht="18" hidden="1" customHeight="1" outlineLevel="1" x14ac:dyDescent="0.35">
      <c r="A21" s="402"/>
      <c r="B21" s="1000" t="s">
        <v>696</v>
      </c>
      <c r="C21" s="875"/>
      <c r="D21" s="338"/>
      <c r="E21" s="340">
        <f>'R&amp;C-Painel de Controle'!$G$63</f>
        <v>0.2</v>
      </c>
      <c r="F21" s="339"/>
      <c r="G21" s="876"/>
      <c r="H21" s="339"/>
      <c r="I21" s="340">
        <f>'R&amp;C-Painel de Controle'!$G$63</f>
        <v>0.2</v>
      </c>
      <c r="J21" s="339"/>
      <c r="K21" s="876"/>
      <c r="L21" s="339"/>
      <c r="M21" s="340">
        <f>'R&amp;C-Painel de Controle'!$G$63</f>
        <v>0.2</v>
      </c>
      <c r="N21" s="339"/>
      <c r="O21" s="876"/>
      <c r="P21" s="339"/>
      <c r="Q21" s="340">
        <f>'R&amp;C-Painel de Controle'!$G$63</f>
        <v>0.2</v>
      </c>
      <c r="R21" s="339"/>
      <c r="S21" s="876"/>
      <c r="T21" s="339"/>
      <c r="U21" s="340">
        <f>'R&amp;C-Painel de Controle'!$G$63</f>
        <v>0.2</v>
      </c>
      <c r="V21" s="337"/>
      <c r="W21" s="37"/>
      <c r="X21" s="54">
        <f t="shared" ref="X21:AA21" si="2">(X20-W20)/W20</f>
        <v>-0.18120742671365406</v>
      </c>
      <c r="Y21" s="54">
        <f t="shared" si="2"/>
        <v>-0.11075441959837638</v>
      </c>
      <c r="Z21" s="54">
        <f t="shared" si="2"/>
        <v>-1.0512856337945607E-2</v>
      </c>
      <c r="AA21" s="54">
        <f t="shared" si="2"/>
        <v>-4.998892203162705E-3</v>
      </c>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row>
    <row r="22" spans="1:61" ht="18" hidden="1" customHeight="1" outlineLevel="1" x14ac:dyDescent="0.35">
      <c r="A22" s="402"/>
      <c r="B22" s="879"/>
      <c r="C22" s="875"/>
      <c r="D22" s="338"/>
      <c r="E22" s="337"/>
      <c r="F22" s="337"/>
      <c r="G22" s="875"/>
      <c r="H22" s="337">
        <f>(($D$2-H11)/(J11-H11))</f>
        <v>-2.3333333333333335</v>
      </c>
      <c r="I22" s="341"/>
      <c r="J22" s="337">
        <f>((J11-$D$2)/(J11-H11))</f>
        <v>3.3333333333333335</v>
      </c>
      <c r="K22" s="875"/>
      <c r="L22" s="337"/>
      <c r="M22" s="337"/>
      <c r="N22" s="337"/>
      <c r="O22" s="875"/>
      <c r="P22" s="337"/>
      <c r="Q22" s="337"/>
      <c r="R22" s="337"/>
      <c r="S22" s="875"/>
      <c r="T22" s="337"/>
      <c r="U22" s="337"/>
      <c r="V22" s="3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row>
    <row r="23" spans="1:61" ht="18" hidden="1" customHeight="1" outlineLevel="1" x14ac:dyDescent="0.35">
      <c r="A23" s="402"/>
      <c r="B23" s="878" t="s">
        <v>492</v>
      </c>
      <c r="C23" s="875"/>
      <c r="D23" s="342"/>
      <c r="E23" s="341" t="str">
        <f>IF(E7="SIM",(E15*F15+E16*F16)/4,"-")</f>
        <v>-</v>
      </c>
      <c r="F23" s="337"/>
      <c r="G23" s="875"/>
      <c r="H23" s="337">
        <f>(L15*(($D$2-H11)/(J11-H11))*$H$2/1000)*I21*$D$5*(1+'R&amp;C-Painel de Controle'!$D$55)*(1+'R&amp;C-Painel de Controle'!$D$62)</f>
        <v>0</v>
      </c>
      <c r="I23" s="341" t="str">
        <f>IF(I7="SIM",(I15*J15+I16*J16)/4,"-")</f>
        <v>-</v>
      </c>
      <c r="J23" s="337">
        <f>((L15*(($D$2-H11)/(J11-H11))*$H$2/1000)*(1-I21)*'R&amp;C-Painel de Controle'!$D$53*(1+'R&amp;C-Painel de Controle'!$D$55))/1000</f>
        <v>0</v>
      </c>
      <c r="K23" s="875"/>
      <c r="L23" s="337"/>
      <c r="M23" s="341" t="str">
        <f>IF(M7="SIM",(M15*N15+M16*N16)/4,"-")</f>
        <v>-</v>
      </c>
      <c r="N23" s="337"/>
      <c r="O23" s="875"/>
      <c r="P23" s="337"/>
      <c r="Q23" s="341" t="str">
        <f>IF(Q7="SIM",(Q15*R15+Q16*R16)/4,"-")</f>
        <v>-</v>
      </c>
      <c r="R23" s="337"/>
      <c r="S23" s="875"/>
      <c r="T23" s="337"/>
      <c r="U23" s="341" t="str">
        <f>IF(U7="SIM",(U15*V15+U16*V16)/4,"-")</f>
        <v>-</v>
      </c>
      <c r="V23" s="3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row>
    <row r="24" spans="1:61" s="1002" customFormat="1" ht="15" customHeight="1" thickTop="1" thickBot="1" x14ac:dyDescent="0.4">
      <c r="A24" s="402"/>
      <c r="B24" s="1045"/>
      <c r="C24" s="875"/>
      <c r="D24" s="1046"/>
      <c r="E24" s="1046"/>
      <c r="F24" s="1046"/>
      <c r="G24" s="875"/>
      <c r="H24" s="1046"/>
      <c r="I24" s="1046"/>
      <c r="J24" s="1046"/>
      <c r="K24" s="875"/>
      <c r="L24" s="1046"/>
      <c r="M24" s="1046"/>
      <c r="N24" s="1046"/>
      <c r="O24" s="875"/>
      <c r="P24" s="1046"/>
      <c r="Q24" s="1046"/>
      <c r="R24" s="1046"/>
      <c r="S24" s="875"/>
      <c r="T24" s="1046"/>
      <c r="U24" s="1046"/>
      <c r="V24" s="1046"/>
      <c r="W24" s="1001"/>
      <c r="X24" s="1001"/>
      <c r="Y24" s="1001"/>
      <c r="Z24" s="1001"/>
      <c r="AA24" s="1001"/>
      <c r="AB24" s="1001"/>
      <c r="AC24" s="1001"/>
      <c r="AD24" s="1001"/>
      <c r="AE24" s="1001"/>
      <c r="AF24" s="1001"/>
      <c r="AG24" s="1001"/>
      <c r="AH24" s="1001"/>
      <c r="AI24" s="1001"/>
      <c r="AJ24" s="1001"/>
      <c r="AK24" s="1001"/>
      <c r="AL24" s="1001"/>
      <c r="AM24" s="1001"/>
      <c r="AN24" s="1001"/>
      <c r="AO24" s="1001"/>
      <c r="AP24" s="1001"/>
      <c r="AQ24" s="1001"/>
      <c r="AR24" s="1001"/>
      <c r="AS24" s="1001"/>
      <c r="AT24" s="1001"/>
      <c r="AU24" s="1001"/>
      <c r="AV24" s="1001"/>
      <c r="AW24" s="1001"/>
      <c r="AX24" s="1001"/>
      <c r="AY24" s="1001"/>
      <c r="AZ24" s="1001"/>
      <c r="BA24" s="1001"/>
      <c r="BB24" s="1001"/>
      <c r="BC24" s="1001"/>
      <c r="BD24" s="1001"/>
      <c r="BE24" s="1001"/>
      <c r="BF24" s="1001"/>
      <c r="BG24" s="1001"/>
      <c r="BH24" s="1001"/>
      <c r="BI24" s="1001"/>
    </row>
    <row r="25" spans="1:61" ht="25.15" customHeight="1" thickTop="1" thickBot="1" x14ac:dyDescent="0.4">
      <c r="A25" s="402"/>
      <c r="B25" s="1136" t="s">
        <v>496</v>
      </c>
      <c r="C25" s="1023"/>
      <c r="D25" s="1065" t="s">
        <v>858</v>
      </c>
      <c r="E25" s="1066" t="s">
        <v>867</v>
      </c>
      <c r="F25" s="1067" t="s">
        <v>332</v>
      </c>
      <c r="G25" s="393"/>
      <c r="H25" s="1068" t="s">
        <v>858</v>
      </c>
      <c r="I25" s="1069" t="s">
        <v>867</v>
      </c>
      <c r="J25" s="1070" t="s">
        <v>332</v>
      </c>
      <c r="K25" s="393"/>
      <c r="L25" s="1068" t="s">
        <v>858</v>
      </c>
      <c r="M25" s="1069" t="s">
        <v>867</v>
      </c>
      <c r="N25" s="1070" t="s">
        <v>332</v>
      </c>
      <c r="O25" s="393"/>
      <c r="P25" s="1068" t="s">
        <v>858</v>
      </c>
      <c r="Q25" s="1069" t="s">
        <v>867</v>
      </c>
      <c r="R25" s="1070" t="s">
        <v>332</v>
      </c>
      <c r="S25" s="393"/>
      <c r="T25" s="1068" t="s">
        <v>858</v>
      </c>
      <c r="U25" s="1069" t="s">
        <v>867</v>
      </c>
      <c r="V25" s="1070" t="s">
        <v>332</v>
      </c>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row>
    <row r="26" spans="1:61" ht="7.5" customHeight="1" x14ac:dyDescent="0.35">
      <c r="A26" s="402"/>
      <c r="B26" s="1135"/>
      <c r="C26" s="1025"/>
      <c r="D26" s="1094"/>
      <c r="E26" s="343"/>
      <c r="F26" s="1095"/>
      <c r="G26" s="1079"/>
      <c r="H26" s="1100"/>
      <c r="I26" s="343"/>
      <c r="J26" s="1096"/>
      <c r="K26" s="1079"/>
      <c r="L26" s="1101"/>
      <c r="M26" s="343"/>
      <c r="N26" s="1096"/>
      <c r="O26" s="1079"/>
      <c r="P26" s="1101"/>
      <c r="Q26" s="343"/>
      <c r="R26" s="1096"/>
      <c r="S26" s="1079"/>
      <c r="T26" s="1101"/>
      <c r="U26" s="343"/>
      <c r="V26" s="1102"/>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row>
    <row r="27" spans="1:61" ht="20.149999999999999" customHeight="1" collapsed="1" x14ac:dyDescent="0.35">
      <c r="A27" s="407"/>
      <c r="B27" s="1035" t="s">
        <v>432</v>
      </c>
      <c r="C27" s="997"/>
      <c r="D27" s="1134"/>
      <c r="E27" s="1011" t="str">
        <f>(IF(E$7="SIM",(E31)*2.4*12/$H$2,"-"))</f>
        <v>-</v>
      </c>
      <c r="F27" s="1515"/>
      <c r="G27" s="1582"/>
      <c r="H27" s="1586"/>
      <c r="I27" s="1011" t="str">
        <f>(IF(I$7="SIM",(I31)*2.4*12/$H$2,"-"))</f>
        <v>-</v>
      </c>
      <c r="J27" s="1589"/>
      <c r="K27" s="1582"/>
      <c r="L27" s="1586"/>
      <c r="M27" s="1011" t="str">
        <f>(IF(M$7="SIM",(M31)*2.4*12/$H$2,"-"))</f>
        <v>-</v>
      </c>
      <c r="N27" s="1589"/>
      <c r="O27" s="1582"/>
      <c r="P27" s="1586"/>
      <c r="Q27" s="1011" t="str">
        <f>(IF(Q$7="SIM",(Q31)*2.4*12/$H$2,"-"))</f>
        <v>-</v>
      </c>
      <c r="R27" s="1589"/>
      <c r="S27" s="1582"/>
      <c r="T27" s="1586"/>
      <c r="U27" s="1107" t="str">
        <f>(IF(U$7="SIM",(U31)*2.4*12/$H$2,"-"))</f>
        <v>-</v>
      </c>
      <c r="V27" s="1103"/>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row>
    <row r="28" spans="1:61" ht="18" hidden="1" customHeight="1" outlineLevel="1" x14ac:dyDescent="0.35">
      <c r="A28" s="402"/>
      <c r="B28" s="1089"/>
      <c r="C28" s="1040"/>
      <c r="D28" s="1134"/>
      <c r="E28" s="1011"/>
      <c r="F28" s="1515"/>
      <c r="G28" s="1582"/>
      <c r="H28" s="1586"/>
      <c r="I28" s="1011"/>
      <c r="J28" s="1589"/>
      <c r="K28" s="1582"/>
      <c r="L28" s="1586"/>
      <c r="M28" s="1011"/>
      <c r="N28" s="1589"/>
      <c r="O28" s="1582"/>
      <c r="P28" s="1586"/>
      <c r="Q28" s="1011"/>
      <c r="R28" s="1589"/>
      <c r="S28" s="1582"/>
      <c r="T28" s="1586"/>
      <c r="U28" s="1107"/>
      <c r="V28" s="1103"/>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row>
    <row r="29" spans="1:61" ht="18" hidden="1" customHeight="1" outlineLevel="1" x14ac:dyDescent="0.35">
      <c r="A29" s="402"/>
      <c r="B29" s="1090" t="s">
        <v>687</v>
      </c>
      <c r="C29" s="1025"/>
      <c r="D29" s="1134"/>
      <c r="E29" s="1554">
        <v>2</v>
      </c>
      <c r="F29" s="1515"/>
      <c r="G29" s="1552"/>
      <c r="H29" s="1586"/>
      <c r="I29" s="1554">
        <v>2</v>
      </c>
      <c r="J29" s="1590"/>
      <c r="K29" s="1552"/>
      <c r="L29" s="1513"/>
      <c r="M29" s="1554">
        <v>2</v>
      </c>
      <c r="N29" s="1590"/>
      <c r="O29" s="1552"/>
      <c r="P29" s="1513"/>
      <c r="Q29" s="1554">
        <v>2</v>
      </c>
      <c r="R29" s="1590"/>
      <c r="S29" s="1552"/>
      <c r="T29" s="1513"/>
      <c r="U29" s="1554">
        <v>2</v>
      </c>
      <c r="V29" s="1103"/>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row>
    <row r="30" spans="1:61" ht="18" hidden="1" customHeight="1" outlineLevel="1" x14ac:dyDescent="0.35">
      <c r="A30" s="402"/>
      <c r="B30" s="1090" t="s">
        <v>699</v>
      </c>
      <c r="C30" s="1025"/>
      <c r="D30" s="1134"/>
      <c r="E30" s="1554">
        <v>5</v>
      </c>
      <c r="F30" s="1515"/>
      <c r="G30" s="1552"/>
      <c r="H30" s="1586"/>
      <c r="I30" s="1554">
        <v>8</v>
      </c>
      <c r="J30" s="1590"/>
      <c r="K30" s="1552"/>
      <c r="L30" s="1513"/>
      <c r="M30" s="1554">
        <v>15</v>
      </c>
      <c r="N30" s="1590"/>
      <c r="O30" s="1552"/>
      <c r="P30" s="1513"/>
      <c r="Q30" s="1554">
        <v>25</v>
      </c>
      <c r="R30" s="1590"/>
      <c r="S30" s="1552"/>
      <c r="T30" s="1513"/>
      <c r="U30" s="1554">
        <v>30</v>
      </c>
      <c r="V30" s="1103"/>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row>
    <row r="31" spans="1:61" ht="18" hidden="1" customHeight="1" outlineLevel="1" x14ac:dyDescent="0.35">
      <c r="A31" s="402"/>
      <c r="B31" s="1090" t="s">
        <v>689</v>
      </c>
      <c r="C31" s="1025"/>
      <c r="D31" s="1134"/>
      <c r="E31" s="1542">
        <f>0.6*'R&amp;C-Painel de Controle'!$D$64+0.6*E30/10*E29*'R&amp;C-Painel de Controle'!$D$65+E30*E29*'R&amp;C-Painel de Controle'!$D$66</f>
        <v>33000</v>
      </c>
      <c r="F31" s="1515"/>
      <c r="G31" s="1544"/>
      <c r="H31" s="1586"/>
      <c r="I31" s="1542">
        <f>0.7*'R&amp;C-Painel de Controle'!$D$64+0.7*I30/10*I29*'R&amp;C-Painel de Controle'!$D$65+I30*I29*'R&amp;C-Painel de Controle'!$D$66</f>
        <v>49200</v>
      </c>
      <c r="J31" s="1587"/>
      <c r="K31" s="1544"/>
      <c r="L31" s="1588"/>
      <c r="M31" s="1542">
        <f>0.8*'R&amp;C-Painel de Controle'!$D$64+0.8*M30/10*M29*'R&amp;C-Painel de Controle'!$D$65+M30*M29*'R&amp;C-Painel de Controle'!$D$66</f>
        <v>85000</v>
      </c>
      <c r="N31" s="1587"/>
      <c r="O31" s="1544"/>
      <c r="P31" s="1588"/>
      <c r="Q31" s="1542">
        <f>0.9*'R&amp;C-Painel de Controle'!$D$64+0.9*Q30/10*Q29*'R&amp;C-Painel de Controle'!$D$65+Q30*Q29*'R&amp;C-Painel de Controle'!$D$66</f>
        <v>138000</v>
      </c>
      <c r="R31" s="1587"/>
      <c r="S31" s="1544"/>
      <c r="T31" s="1588"/>
      <c r="U31" s="1542">
        <f>1*'R&amp;C-Painel de Controle'!$D$64+1*U30/10*U29*'R&amp;C-Painel de Controle'!$D$65+U30*U29*'R&amp;C-Painel de Controle'!$D$66</f>
        <v>170000</v>
      </c>
      <c r="V31" s="1103"/>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row>
    <row r="32" spans="1:61" ht="20.149999999999999" customHeight="1" collapsed="1" x14ac:dyDescent="0.35">
      <c r="A32" s="407"/>
      <c r="B32" s="1035" t="s">
        <v>433</v>
      </c>
      <c r="C32" s="997"/>
      <c r="D32" s="1134"/>
      <c r="E32" s="1011" t="str">
        <f>(IF(E$7="SIM",(E33*$H$2/1000*'R&amp;C-Painel de Controle'!$D$69+E34/1000*'R&amp;C-Painel de Controle'!$D$70*12)/$H$2,"-"))</f>
        <v>-</v>
      </c>
      <c r="F32" s="1515"/>
      <c r="G32" s="1582"/>
      <c r="H32" s="1588"/>
      <c r="I32" s="1011" t="str">
        <f>(IF(I$7="SIM",(I33*$H$2/1000*'R&amp;C-Painel de Controle'!$D$69+I34/1000*'R&amp;C-Painel de Controle'!$D$70*12)/$H$2,"-"))</f>
        <v>-</v>
      </c>
      <c r="J32" s="1589"/>
      <c r="K32" s="1582"/>
      <c r="L32" s="1588"/>
      <c r="M32" s="1011" t="str">
        <f>(IF(M$7="SIM",(M33*$H$2/1000*'R&amp;C-Painel de Controle'!$D$69+M34/1000*'R&amp;C-Painel de Controle'!$D$70*12)/$H$2,"-"))</f>
        <v>-</v>
      </c>
      <c r="N32" s="1589"/>
      <c r="O32" s="1582"/>
      <c r="P32" s="1588"/>
      <c r="Q32" s="1011" t="str">
        <f>(IF(Q$7="SIM",(Q33*$H$2/1000*'R&amp;C-Painel de Controle'!$D$69+Q34/1000*'R&amp;C-Painel de Controle'!$D$70*12)/$H$2,"-"))</f>
        <v>-</v>
      </c>
      <c r="R32" s="1589"/>
      <c r="S32" s="1582"/>
      <c r="T32" s="1588"/>
      <c r="U32" s="1107" t="str">
        <f>(IF(U$7="SIM",(U33*$H$2/1000*'R&amp;C-Painel de Controle'!$D$69+U34/1000*'R&amp;C-Painel de Controle'!$D$70*12)/$H$2,"-"))</f>
        <v>-</v>
      </c>
      <c r="V32" s="1103"/>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row>
    <row r="33" spans="1:61" ht="18" hidden="1" customHeight="1" outlineLevel="1" x14ac:dyDescent="0.35">
      <c r="A33" s="407"/>
      <c r="B33" s="1090" t="s">
        <v>690</v>
      </c>
      <c r="C33" s="1025"/>
      <c r="D33" s="1591"/>
      <c r="E33" s="1592">
        <f>IF('R-Definição'!$L$49&lt;=20,35,IF(AND('R-Definição'!$L$49&gt;20,'R-Definição'!$L$49&lt;=50),35*1.25,IF('R-Definição'!$L$49&gt;50,35*1.5,)))</f>
        <v>35</v>
      </c>
      <c r="F33" s="1517"/>
      <c r="G33" s="1544"/>
      <c r="H33" s="1593"/>
      <c r="I33" s="1592">
        <f>IF('R-Definição'!$L$49&lt;=20,35,IF(AND('R-Definição'!$L$49&gt;20,'R-Definição'!$L$49&lt;=50),35*1.25,IF('R-Definição'!$L$49&gt;50,35*1.5,)))</f>
        <v>35</v>
      </c>
      <c r="J33" s="1517"/>
      <c r="K33" s="1544"/>
      <c r="L33" s="1593"/>
      <c r="M33" s="1526">
        <f>IF('R-Definição'!$L$49&lt;=20,35,IF(AND('R-Definição'!$L$49&gt;20,'R-Definição'!$L$49&lt;=50),35*1.25,IF('R-Definição'!$L$49&gt;50,35*1.5,)))</f>
        <v>35</v>
      </c>
      <c r="N33" s="1517"/>
      <c r="O33" s="1544"/>
      <c r="P33" s="1593"/>
      <c r="Q33" s="1526">
        <f>IF('R-Definição'!$L$49&lt;=20,35,IF(AND('R-Definição'!$L$49&gt;20,'R-Definição'!$L$49&lt;=50),35*1.25,IF('R-Definição'!$L$49&gt;50,35*1.5,)))</f>
        <v>35</v>
      </c>
      <c r="R33" s="1517"/>
      <c r="S33" s="1544"/>
      <c r="T33" s="1593"/>
      <c r="U33" s="1526">
        <f>IF('R-Definição'!$L$49&lt;=20,35,IF(AND('R-Definição'!$L$49&gt;20,'R-Definição'!$L$49&lt;=50),35*1.25,IF('R-Definição'!$L$49&gt;50,35*1.5,)))</f>
        <v>35</v>
      </c>
      <c r="V33" s="1517"/>
      <c r="W33" s="37"/>
      <c r="X33" s="37"/>
      <c r="Y33" s="37"/>
      <c r="Z33" s="37"/>
      <c r="AA33" s="37"/>
      <c r="AB33" s="3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row>
    <row r="34" spans="1:61" ht="18" hidden="1" customHeight="1" outlineLevel="1" x14ac:dyDescent="0.35">
      <c r="A34" s="402"/>
      <c r="B34" s="1090" t="s">
        <v>691</v>
      </c>
      <c r="C34" s="1040"/>
      <c r="D34" s="1134"/>
      <c r="E34" s="1542">
        <f>E33*F11*(0.9)*0.92/16</f>
        <v>633.9375</v>
      </c>
      <c r="F34" s="1515"/>
      <c r="G34" s="1540"/>
      <c r="H34" s="1588"/>
      <c r="I34" s="1542">
        <f>I33*J11*(0.9)*0.92/16</f>
        <v>905.625</v>
      </c>
      <c r="J34" s="1594"/>
      <c r="K34" s="1540"/>
      <c r="L34" s="1595"/>
      <c r="M34" s="1542">
        <f>M33*N11*(0.9)*0.92/16</f>
        <v>1811.25</v>
      </c>
      <c r="N34" s="1594"/>
      <c r="O34" s="1540"/>
      <c r="P34" s="1595"/>
      <c r="Q34" s="1542">
        <f>Q33*R11*(0.9)*0.92/16</f>
        <v>2716.875</v>
      </c>
      <c r="R34" s="1594"/>
      <c r="S34" s="1540"/>
      <c r="T34" s="1595"/>
      <c r="U34" s="1542">
        <f>U33*V11*(0.9)*0.92/16</f>
        <v>3622.5</v>
      </c>
      <c r="V34" s="1103"/>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row>
    <row r="35" spans="1:61" ht="20.149999999999999" customHeight="1" collapsed="1" x14ac:dyDescent="0.35">
      <c r="A35" s="407"/>
      <c r="B35" s="1035" t="s">
        <v>434</v>
      </c>
      <c r="C35" s="997"/>
      <c r="D35" s="1134"/>
      <c r="E35" s="1011" t="str">
        <f>(IF(E$7="SIM",(E15*1000000*E36+E37*12)/$H$2,"-"))</f>
        <v>-</v>
      </c>
      <c r="F35" s="1097"/>
      <c r="G35" s="1080"/>
      <c r="H35" s="1595"/>
      <c r="I35" s="1011" t="str">
        <f>(IF(I$7="SIM",(I15*1000000*I36+I37*12)/$H$2,"-"))</f>
        <v>-</v>
      </c>
      <c r="J35" s="1097"/>
      <c r="K35" s="1080"/>
      <c r="L35" s="1595"/>
      <c r="M35" s="1011" t="str">
        <f>(IF(M$7="SIM",(M15*1000000*M36+M37*12)/$H$2,"-"))</f>
        <v>-</v>
      </c>
      <c r="N35" s="1097"/>
      <c r="O35" s="1080"/>
      <c r="P35" s="1595"/>
      <c r="Q35" s="1011" t="str">
        <f>(IF(Q$7="SIM",(Q15*1000000*Q36+Q37*12)/$H$2,"-"))</f>
        <v>-</v>
      </c>
      <c r="R35" s="1097"/>
      <c r="S35" s="1080"/>
      <c r="T35" s="1595"/>
      <c r="U35" s="1107" t="str">
        <f>(IF(U$7="SIM",(U15*1000000*U36+U37*12)/$H$2,"-"))</f>
        <v>-</v>
      </c>
      <c r="V35" s="1103"/>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row>
    <row r="36" spans="1:61" ht="18" hidden="1" customHeight="1" outlineLevel="1" x14ac:dyDescent="0.35">
      <c r="A36" s="402"/>
      <c r="B36" s="1090" t="s">
        <v>692</v>
      </c>
      <c r="C36" s="1025"/>
      <c r="D36" s="1134"/>
      <c r="E36" s="1561">
        <v>0.05</v>
      </c>
      <c r="F36" s="1515"/>
      <c r="G36" s="1596"/>
      <c r="H36" s="1597"/>
      <c r="I36" s="1561">
        <v>0.05</v>
      </c>
      <c r="J36" s="1515"/>
      <c r="K36" s="1596"/>
      <c r="L36" s="1597"/>
      <c r="M36" s="1561">
        <v>0.05</v>
      </c>
      <c r="N36" s="1515"/>
      <c r="O36" s="1596"/>
      <c r="P36" s="1597"/>
      <c r="Q36" s="1561">
        <v>0.05</v>
      </c>
      <c r="R36" s="1515"/>
      <c r="S36" s="1596"/>
      <c r="T36" s="1597"/>
      <c r="U36" s="1561">
        <v>0.05</v>
      </c>
      <c r="V36" s="1103"/>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row>
    <row r="37" spans="1:61" ht="18" hidden="1" customHeight="1" outlineLevel="1" x14ac:dyDescent="0.35">
      <c r="A37" s="402"/>
      <c r="B37" s="1090" t="s">
        <v>498</v>
      </c>
      <c r="C37" s="1025"/>
      <c r="D37" s="1134"/>
      <c r="E37" s="1542">
        <v>50000</v>
      </c>
      <c r="F37" s="1594"/>
      <c r="G37" s="1540"/>
      <c r="H37" s="1595"/>
      <c r="I37" s="1542">
        <v>50000</v>
      </c>
      <c r="J37" s="1594"/>
      <c r="K37" s="1540"/>
      <c r="L37" s="1595"/>
      <c r="M37" s="1542">
        <v>50000</v>
      </c>
      <c r="N37" s="1594"/>
      <c r="O37" s="1540"/>
      <c r="P37" s="1595"/>
      <c r="Q37" s="1542">
        <v>100000</v>
      </c>
      <c r="R37" s="1594"/>
      <c r="S37" s="1540"/>
      <c r="T37" s="1595"/>
      <c r="U37" s="1542">
        <v>100000</v>
      </c>
      <c r="V37" s="1103"/>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row>
    <row r="38" spans="1:61" ht="20.149999999999999" customHeight="1" collapsed="1" x14ac:dyDescent="0.35">
      <c r="A38" s="407"/>
      <c r="B38" s="1035" t="s">
        <v>695</v>
      </c>
      <c r="C38" s="997"/>
      <c r="D38" s="1593">
        <v>0.5</v>
      </c>
      <c r="E38" s="1011" t="str">
        <f>(IF(E$7="SIM",D38*E39*E40*12/$H$2,"-"))</f>
        <v>-</v>
      </c>
      <c r="F38" s="1097"/>
      <c r="G38" s="1080"/>
      <c r="H38" s="1593">
        <f>D38</f>
        <v>0.5</v>
      </c>
      <c r="I38" s="1011" t="str">
        <f>(IF(I$7="SIM",H38*I39*I40*12/$H$2,"-"))</f>
        <v>-</v>
      </c>
      <c r="J38" s="1097"/>
      <c r="K38" s="1080"/>
      <c r="L38" s="1593">
        <f>H38</f>
        <v>0.5</v>
      </c>
      <c r="M38" s="1011" t="str">
        <f>(IF(M$7="SIM",L38*M39*M40*12/$H$2,"-"))</f>
        <v>-</v>
      </c>
      <c r="N38" s="1097"/>
      <c r="O38" s="1080"/>
      <c r="P38" s="1593">
        <f>L38</f>
        <v>0.5</v>
      </c>
      <c r="Q38" s="1011" t="str">
        <f>(IF(Q$7="SIM",P38*Q39*Q40*12/$H$2,"-"))</f>
        <v>-</v>
      </c>
      <c r="R38" s="1097"/>
      <c r="S38" s="1080"/>
      <c r="T38" s="1593">
        <f>P38</f>
        <v>0.5</v>
      </c>
      <c r="U38" s="1107" t="str">
        <f>(IF(U$7="SIM",T38*U39*U40*12/$H$2,"-"))</f>
        <v>-</v>
      </c>
      <c r="V38" s="1103"/>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row>
    <row r="39" spans="1:61" ht="18" hidden="1" customHeight="1" outlineLevel="1" x14ac:dyDescent="0.35">
      <c r="A39" s="402"/>
      <c r="B39" s="1090" t="s">
        <v>693</v>
      </c>
      <c r="C39" s="1040"/>
      <c r="D39" s="1134"/>
      <c r="E39" s="1542">
        <f>'R&amp;C-Painel de Controle'!$D$71</f>
        <v>100000</v>
      </c>
      <c r="F39" s="1587"/>
      <c r="G39" s="1544"/>
      <c r="H39" s="1588"/>
      <c r="I39" s="1542">
        <f>'R&amp;C-Painel de Controle'!$D$71</f>
        <v>100000</v>
      </c>
      <c r="J39" s="1587"/>
      <c r="K39" s="1544"/>
      <c r="L39" s="1588"/>
      <c r="M39" s="1542">
        <f>'R&amp;C-Painel de Controle'!$D$71</f>
        <v>100000</v>
      </c>
      <c r="N39" s="1587"/>
      <c r="O39" s="1544"/>
      <c r="P39" s="1588"/>
      <c r="Q39" s="1542">
        <f>'R&amp;C-Painel de Controle'!$D$71</f>
        <v>100000</v>
      </c>
      <c r="R39" s="1587"/>
      <c r="S39" s="1544"/>
      <c r="T39" s="1588"/>
      <c r="U39" s="1542">
        <f>'R&amp;C-Painel de Controle'!$D$71</f>
        <v>100000</v>
      </c>
      <c r="V39" s="1103"/>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row>
    <row r="40" spans="1:61" ht="18" hidden="1" customHeight="1" outlineLevel="1" x14ac:dyDescent="0.35">
      <c r="A40" s="407"/>
      <c r="B40" s="1090" t="s">
        <v>694</v>
      </c>
      <c r="C40" s="1040"/>
      <c r="D40" s="1134"/>
      <c r="E40" s="1525">
        <v>1</v>
      </c>
      <c r="F40" s="1587"/>
      <c r="G40" s="1544"/>
      <c r="H40" s="1588"/>
      <c r="I40" s="1525">
        <v>1.25</v>
      </c>
      <c r="J40" s="1587"/>
      <c r="K40" s="1544"/>
      <c r="L40" s="1588"/>
      <c r="M40" s="1525">
        <v>2</v>
      </c>
      <c r="N40" s="1587"/>
      <c r="O40" s="1544"/>
      <c r="P40" s="1588"/>
      <c r="Q40" s="1525">
        <v>2.5</v>
      </c>
      <c r="R40" s="1587"/>
      <c r="S40" s="1544"/>
      <c r="T40" s="1588"/>
      <c r="U40" s="1525">
        <v>3</v>
      </c>
      <c r="V40" s="1103"/>
      <c r="W40" s="37"/>
      <c r="X40" s="37"/>
      <c r="Y40" s="37"/>
      <c r="Z40" s="37"/>
      <c r="AA40" s="37"/>
      <c r="AB40" s="3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row>
    <row r="41" spans="1:61" ht="20.149999999999999" customHeight="1" x14ac:dyDescent="0.35">
      <c r="A41" s="407"/>
      <c r="B41" s="1035" t="s">
        <v>441</v>
      </c>
      <c r="C41" s="997"/>
      <c r="D41" s="1134"/>
      <c r="E41" s="1598" t="str">
        <f>(IF(E$7="SIM",5+2.5+1*'R&amp;C-Painel de Controle'!$D$75,"-"))</f>
        <v>-</v>
      </c>
      <c r="F41" s="1097"/>
      <c r="G41" s="1080"/>
      <c r="H41" s="1595"/>
      <c r="I41" s="1598" t="str">
        <f>(IF(I$7="SIM",5+2.5+1*'R&amp;C-Painel de Controle'!$D$75,"-"))</f>
        <v>-</v>
      </c>
      <c r="J41" s="1097"/>
      <c r="K41" s="1080"/>
      <c r="L41" s="1595"/>
      <c r="M41" s="1598" t="str">
        <f>(IF(M$7="SIM",5+2.5+1*'R&amp;C-Painel de Controle'!$D$75,"-"))</f>
        <v>-</v>
      </c>
      <c r="N41" s="1097"/>
      <c r="O41" s="1080"/>
      <c r="P41" s="1595"/>
      <c r="Q41" s="1598" t="str">
        <f>(IF(Q$7="SIM",5+2.5+1*'R&amp;C-Painel de Controle'!$D$75,"-"))</f>
        <v>-</v>
      </c>
      <c r="R41" s="1097"/>
      <c r="S41" s="1080"/>
      <c r="T41" s="1595"/>
      <c r="U41" s="1599" t="str">
        <f>(IF(U$7="SIM",5+2.5+1*'R&amp;C-Painel de Controle'!$D$75,"-"))</f>
        <v>-</v>
      </c>
      <c r="V41" s="1103"/>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row>
    <row r="42" spans="1:61" s="1153" customFormat="1" ht="25.15" customHeight="1" x14ac:dyDescent="0.45">
      <c r="A42" s="1151"/>
      <c r="B42" s="1091" t="s">
        <v>437</v>
      </c>
      <c r="C42" s="1026"/>
      <c r="D42" s="1593">
        <v>0.1</v>
      </c>
      <c r="E42" s="1011" t="str">
        <f>(IF(E$7="SIM",(E27+E32+E35+E38+E41)*(1+D42),"-"))</f>
        <v>-</v>
      </c>
      <c r="F42" s="1097"/>
      <c r="G42" s="1080"/>
      <c r="H42" s="1593">
        <v>0.1</v>
      </c>
      <c r="I42" s="1011" t="str">
        <f>(IF(I$7="SIM",(I27+I32+I35+I38+I41)*(1+H42),"-"))</f>
        <v>-</v>
      </c>
      <c r="J42" s="1097"/>
      <c r="K42" s="1080"/>
      <c r="L42" s="1593">
        <v>0.1</v>
      </c>
      <c r="M42" s="1011" t="str">
        <f>(IF(M$7="SIM",(M27+M32+M35+M38+M41)*(1+L42),"-"))</f>
        <v>-</v>
      </c>
      <c r="N42" s="1097"/>
      <c r="O42" s="1080"/>
      <c r="P42" s="1593">
        <v>0.1</v>
      </c>
      <c r="Q42" s="1011" t="str">
        <f>(IF(Q$7="SIM",(Q27+Q32+Q35+Q38+Q41)*(1+P42),"-"))</f>
        <v>-</v>
      </c>
      <c r="R42" s="1097"/>
      <c r="S42" s="1080"/>
      <c r="T42" s="1593">
        <v>0.1</v>
      </c>
      <c r="U42" s="1012" t="str">
        <f>(IF(U$7="SIM",(U27+U32+U35+U38+U41)*(1+T42),"-"))</f>
        <v>-</v>
      </c>
      <c r="V42" s="1103"/>
      <c r="W42" s="1152"/>
      <c r="X42" s="1152"/>
      <c r="Y42" s="1152"/>
      <c r="Z42" s="1152"/>
      <c r="AA42" s="1152"/>
      <c r="AB42" s="1152"/>
      <c r="AC42" s="1152"/>
      <c r="AD42" s="1152"/>
      <c r="AE42" s="1152"/>
      <c r="AF42" s="1152"/>
      <c r="AG42" s="1152"/>
      <c r="AH42" s="1152"/>
      <c r="AI42" s="1152"/>
      <c r="AJ42" s="1152"/>
      <c r="AK42" s="1152"/>
      <c r="AL42" s="1152"/>
      <c r="AM42" s="1152"/>
      <c r="AN42" s="1152"/>
      <c r="AO42" s="1152"/>
      <c r="AP42" s="1152"/>
      <c r="AQ42" s="1152"/>
      <c r="AR42" s="1152"/>
      <c r="AS42" s="1152"/>
      <c r="AT42" s="1152"/>
      <c r="AU42" s="1152"/>
      <c r="AV42" s="1152"/>
      <c r="AW42" s="1152"/>
      <c r="AX42" s="1152"/>
      <c r="AY42" s="1152"/>
      <c r="AZ42" s="1152"/>
      <c r="BA42" s="1152"/>
      <c r="BB42" s="1152"/>
      <c r="BC42" s="1152"/>
      <c r="BD42" s="1152"/>
      <c r="BE42" s="1152"/>
      <c r="BF42" s="1152"/>
      <c r="BG42" s="1152"/>
      <c r="BH42" s="1152"/>
      <c r="BI42" s="1152"/>
    </row>
    <row r="43" spans="1:61" s="1153" customFormat="1" ht="25.15" customHeight="1" x14ac:dyDescent="0.45">
      <c r="A43" s="1151"/>
      <c r="B43" s="1091" t="s">
        <v>438</v>
      </c>
      <c r="C43" s="1026"/>
      <c r="D43" s="1098"/>
      <c r="E43" s="1010" t="str">
        <f>(IF(E$7="SIM",E42*$H$2/1000000,"-"))</f>
        <v>-</v>
      </c>
      <c r="F43" s="1099"/>
      <c r="G43" s="1026"/>
      <c r="H43" s="1098"/>
      <c r="I43" s="1010" t="str">
        <f>(IF(I$7="SIM",I42*$H$2/1000000,"-"))</f>
        <v>-</v>
      </c>
      <c r="J43" s="1099"/>
      <c r="K43" s="1026"/>
      <c r="L43" s="1098"/>
      <c r="M43" s="1010" t="str">
        <f>(IF(M$7="SIM",M42*$H$2/1000000,"-"))</f>
        <v>-</v>
      </c>
      <c r="N43" s="1099"/>
      <c r="O43" s="1026"/>
      <c r="P43" s="1134"/>
      <c r="Q43" s="1010" t="str">
        <f>(IF(Q$7="SIM",Q42*$H$2/1000000,"-"))</f>
        <v>-</v>
      </c>
      <c r="R43" s="1099"/>
      <c r="S43" s="1026"/>
      <c r="T43" s="1098"/>
      <c r="U43" s="979" t="str">
        <f>(IF(U$7="SIM",U42*$H$2/1000000,"-"))</f>
        <v>-</v>
      </c>
      <c r="V43" s="1099"/>
      <c r="W43" s="1152"/>
      <c r="X43" s="1152"/>
      <c r="Y43" s="1152"/>
      <c r="Z43" s="1152"/>
      <c r="AA43" s="1152"/>
      <c r="AB43" s="1152"/>
      <c r="AC43" s="1152"/>
      <c r="AD43" s="1152"/>
      <c r="AE43" s="1152"/>
      <c r="AF43" s="1152"/>
      <c r="AG43" s="1152"/>
      <c r="AH43" s="1152"/>
      <c r="AI43" s="1152"/>
      <c r="AJ43" s="1152"/>
      <c r="AK43" s="1152"/>
      <c r="AL43" s="1152"/>
      <c r="AM43" s="1152"/>
      <c r="AN43" s="1152"/>
      <c r="AO43" s="1152"/>
      <c r="AP43" s="1152"/>
      <c r="AQ43" s="1152"/>
      <c r="AR43" s="1152"/>
      <c r="AS43" s="1152"/>
      <c r="AT43" s="1152"/>
      <c r="AU43" s="1152"/>
      <c r="AV43" s="1152"/>
      <c r="AW43" s="1152"/>
      <c r="AX43" s="1152"/>
      <c r="AY43" s="1152"/>
      <c r="AZ43" s="1152"/>
      <c r="BA43" s="1152"/>
      <c r="BB43" s="1152"/>
      <c r="BC43" s="1152"/>
      <c r="BD43" s="1152"/>
      <c r="BE43" s="1152"/>
      <c r="BF43" s="1152"/>
      <c r="BG43" s="1152"/>
      <c r="BH43" s="1152"/>
      <c r="BI43" s="1152"/>
    </row>
    <row r="44" spans="1:61" s="817" customFormat="1" ht="20.149999999999999" customHeight="1" x14ac:dyDescent="0.35">
      <c r="A44" s="685"/>
      <c r="B44" s="1092" t="s">
        <v>439</v>
      </c>
      <c r="C44" s="997"/>
      <c r="D44" s="1098"/>
      <c r="E44" s="1010" t="str">
        <f>(IF(E$7="SIM",(((E27*$H$2/12)+(E34/1000*'R&amp;C-Painel de Controle'!$D$70*12)+(E37*12)+(E39*E40*12))/1000000),"-"))</f>
        <v>-</v>
      </c>
      <c r="F44" s="1099"/>
      <c r="G44" s="1026"/>
      <c r="H44" s="1098"/>
      <c r="I44" s="1010" t="str">
        <f>(IF(I$7="SIM",(((I27*$H$2/12)+(I34/1000*'R&amp;C-Painel de Controle'!$D$70*12)+(I37*12)+(I39*I40*12))/1000000),"-"))</f>
        <v>-</v>
      </c>
      <c r="J44" s="1099"/>
      <c r="K44" s="1026"/>
      <c r="L44" s="1098"/>
      <c r="M44" s="1010" t="str">
        <f>(IF(M$7="SIM",(((M27*$H$2/12)+(M34/1000*'R&amp;C-Painel de Controle'!$D$70*12)+(M37*12)+(M39*M40*12))/1000000),"-"))</f>
        <v>-</v>
      </c>
      <c r="N44" s="1099"/>
      <c r="O44" s="1026"/>
      <c r="P44" s="1098"/>
      <c r="Q44" s="1010" t="str">
        <f>(IF(Q$7="SIM",(((Q27*$H$2/12)+(Q34/1000*'R&amp;C-Painel de Controle'!$D$70*12)+(Q37*12)+(Q39*Q40*12))/1000000),"-"))</f>
        <v>-</v>
      </c>
      <c r="R44" s="1099"/>
      <c r="S44" s="1026"/>
      <c r="T44" s="1098"/>
      <c r="U44" s="979" t="str">
        <f>(IF(U$7="SIM",(((U27*$H$2/12)+(U34/1000*'R&amp;C-Painel de Controle'!$D$70*12)+(U37*12)+(U39*U40*12))/1000000),"-"))</f>
        <v>-</v>
      </c>
      <c r="V44" s="1099"/>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row>
    <row r="45" spans="1:61" s="817" customFormat="1" ht="20.149999999999999" customHeight="1" thickBot="1" x14ac:dyDescent="0.4">
      <c r="A45" s="685"/>
      <c r="B45" s="1093" t="s">
        <v>440</v>
      </c>
      <c r="C45" s="997"/>
      <c r="D45" s="1600"/>
      <c r="E45" s="1601" t="str">
        <f>(IF(E$7="SIM",((E43-E44)*1000000)/$H$2,"-"))</f>
        <v>-</v>
      </c>
      <c r="F45" s="1602"/>
      <c r="G45" s="1026"/>
      <c r="H45" s="1600"/>
      <c r="I45" s="1601" t="str">
        <f>(IF(I$7="SIM",((I43-I44)*1000000)/$H$2,"-"))</f>
        <v>-</v>
      </c>
      <c r="J45" s="1602"/>
      <c r="K45" s="1026"/>
      <c r="L45" s="1600"/>
      <c r="M45" s="1601" t="str">
        <f>(IF(M$7="SIM",((M43-M44)*1000000)/$H$2,"-"))</f>
        <v>-</v>
      </c>
      <c r="N45" s="1602"/>
      <c r="O45" s="1026"/>
      <c r="P45" s="1600"/>
      <c r="Q45" s="1601" t="str">
        <f>(IF(Q$7="SIM",((Q43-Q44)*1000000)/$H$2,"-"))</f>
        <v>-</v>
      </c>
      <c r="R45" s="1602"/>
      <c r="S45" s="1026"/>
      <c r="T45" s="1600"/>
      <c r="U45" s="1603" t="str">
        <f>(IF(U$7="SIM",((U43-U44)*1000000)/$H$2,"-"))</f>
        <v>-</v>
      </c>
      <c r="V45" s="1602"/>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row>
    <row r="46" spans="1:61" ht="14.25" customHeight="1" thickTop="1" x14ac:dyDescent="0.35">
      <c r="A46" s="37"/>
      <c r="B46" s="4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row>
    <row r="47" spans="1:61" ht="14.25" customHeight="1" x14ac:dyDescent="0.35">
      <c r="A47" s="37"/>
      <c r="B47" s="4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row>
    <row r="48" spans="1:61" ht="14.25" customHeight="1" x14ac:dyDescent="0.35">
      <c r="A48" s="37"/>
      <c r="B48" s="4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row>
    <row r="49" spans="1:61" ht="14.25" customHeight="1" x14ac:dyDescent="0.35">
      <c r="A49" s="37"/>
      <c r="B49" s="4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row>
    <row r="50" spans="1:61" ht="14.25" customHeight="1" x14ac:dyDescent="0.35">
      <c r="A50" s="37"/>
      <c r="B50" s="4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row>
    <row r="51" spans="1:61" ht="14.25" customHeight="1" x14ac:dyDescent="0.35">
      <c r="A51" s="37"/>
      <c r="B51" s="4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row>
    <row r="52" spans="1:61" ht="14.25" customHeight="1" x14ac:dyDescent="0.35">
      <c r="A52" s="37"/>
      <c r="B52" s="4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row>
    <row r="53" spans="1:61" ht="14.25" customHeight="1" x14ac:dyDescent="0.35">
      <c r="A53" s="37"/>
      <c r="B53" s="4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row>
    <row r="54" spans="1:61" ht="14.25" customHeight="1" x14ac:dyDescent="0.35">
      <c r="A54" s="37"/>
      <c r="B54" s="4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row>
    <row r="55" spans="1:61" ht="14.25" customHeight="1" x14ac:dyDescent="0.35">
      <c r="A55" s="37"/>
      <c r="B55" s="4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row>
    <row r="56" spans="1:61" ht="14.25" customHeight="1" x14ac:dyDescent="0.35">
      <c r="A56" s="37"/>
      <c r="B56" s="4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row>
    <row r="57" spans="1:61" ht="14.25" customHeight="1" x14ac:dyDescent="0.35">
      <c r="A57" s="37"/>
      <c r="B57" s="4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row>
    <row r="58" spans="1:61" ht="14.25" customHeight="1" x14ac:dyDescent="0.35">
      <c r="A58" s="37"/>
      <c r="B58" s="4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row>
    <row r="59" spans="1:61" ht="14.25" customHeight="1" x14ac:dyDescent="0.35">
      <c r="A59" s="37"/>
      <c r="B59" s="4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row>
    <row r="60" spans="1:61" ht="14.25" customHeight="1" x14ac:dyDescent="0.35">
      <c r="A60" s="37"/>
      <c r="B60" s="4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row>
    <row r="61" spans="1:61" ht="14.25" customHeight="1" x14ac:dyDescent="0.35">
      <c r="A61" s="37"/>
      <c r="B61" s="4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row>
    <row r="62" spans="1:61" ht="14.25" customHeight="1" x14ac:dyDescent="0.35">
      <c r="A62" s="37"/>
      <c r="B62" s="4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row>
    <row r="63" spans="1:61" ht="14.25" customHeight="1" x14ac:dyDescent="0.35">
      <c r="A63" s="37"/>
      <c r="B63" s="4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row>
    <row r="64" spans="1:61" ht="14.25" customHeight="1" x14ac:dyDescent="0.35">
      <c r="A64" s="37"/>
      <c r="B64" s="4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row>
    <row r="65" spans="1:61" ht="14.25" customHeight="1" x14ac:dyDescent="0.35">
      <c r="A65" s="37"/>
      <c r="B65" s="4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row>
    <row r="66" spans="1:61" ht="14.25" customHeight="1" x14ac:dyDescent="0.35">
      <c r="A66" s="37"/>
      <c r="B66" s="4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row>
    <row r="67" spans="1:61" ht="14.25" customHeight="1" x14ac:dyDescent="0.35">
      <c r="A67" s="37"/>
      <c r="B67" s="4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row>
    <row r="68" spans="1:61" ht="14.25" customHeight="1" x14ac:dyDescent="0.35">
      <c r="A68" s="37"/>
      <c r="B68" s="4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row>
    <row r="69" spans="1:61" ht="14.25" customHeight="1" x14ac:dyDescent="0.35">
      <c r="A69" s="37"/>
      <c r="B69" s="4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row>
    <row r="70" spans="1:61" ht="14.25" customHeight="1" x14ac:dyDescent="0.35">
      <c r="A70" s="37"/>
      <c r="B70" s="4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row>
    <row r="71" spans="1:61" ht="14.25" customHeight="1" x14ac:dyDescent="0.35">
      <c r="A71" s="37"/>
      <c r="B71" s="4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row>
    <row r="72" spans="1:61" ht="14.25" customHeight="1" x14ac:dyDescent="0.35">
      <c r="A72" s="37"/>
      <c r="B72" s="4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row>
    <row r="73" spans="1:61" ht="14.25" customHeight="1" x14ac:dyDescent="0.35">
      <c r="A73" s="37"/>
      <c r="B73" s="4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row>
    <row r="74" spans="1:61" ht="14.25" customHeight="1" x14ac:dyDescent="0.35">
      <c r="A74" s="37"/>
      <c r="B74" s="4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row>
    <row r="75" spans="1:61" ht="14.25" customHeight="1" x14ac:dyDescent="0.35">
      <c r="A75" s="37"/>
      <c r="B75" s="4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row>
    <row r="76" spans="1:61" ht="14.25" customHeight="1" x14ac:dyDescent="0.35">
      <c r="A76" s="37"/>
      <c r="B76" s="4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row>
    <row r="77" spans="1:61" ht="14.25" customHeight="1" x14ac:dyDescent="0.35">
      <c r="A77" s="37"/>
      <c r="B77" s="4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row>
    <row r="78" spans="1:61" ht="14.25" customHeight="1" x14ac:dyDescent="0.35">
      <c r="A78" s="37"/>
      <c r="B78" s="4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row>
    <row r="79" spans="1:61" ht="14.25" customHeight="1" x14ac:dyDescent="0.35">
      <c r="A79" s="37"/>
      <c r="B79" s="4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row>
    <row r="80" spans="1:61" ht="14.25" customHeight="1" x14ac:dyDescent="0.35">
      <c r="A80" s="37"/>
      <c r="B80" s="4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row>
    <row r="81" spans="1:61" ht="14.25" customHeight="1" x14ac:dyDescent="0.35">
      <c r="A81" s="37"/>
      <c r="B81" s="4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row>
    <row r="82" spans="1:61" ht="14.25" customHeight="1" x14ac:dyDescent="0.35">
      <c r="A82" s="37"/>
      <c r="B82" s="4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row>
    <row r="83" spans="1:61" ht="14.25" customHeight="1" x14ac:dyDescent="0.35">
      <c r="A83" s="37"/>
      <c r="B83" s="4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row>
    <row r="84" spans="1:61" ht="14.25" customHeight="1" x14ac:dyDescent="0.35">
      <c r="A84" s="37"/>
      <c r="B84" s="4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row>
    <row r="85" spans="1:61" ht="14.25" customHeight="1" x14ac:dyDescent="0.35">
      <c r="A85" s="37"/>
      <c r="B85" s="4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row>
    <row r="86" spans="1:61" ht="14.25" customHeight="1" x14ac:dyDescent="0.35">
      <c r="A86" s="37"/>
      <c r="B86" s="4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row>
    <row r="87" spans="1:61" ht="14.25" customHeight="1" x14ac:dyDescent="0.35">
      <c r="A87" s="37"/>
      <c r="B87" s="4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row>
    <row r="88" spans="1:61" ht="14.25" customHeight="1" x14ac:dyDescent="0.35">
      <c r="A88" s="37"/>
      <c r="B88" s="4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row>
    <row r="89" spans="1:61" ht="14.25" customHeight="1" x14ac:dyDescent="0.35">
      <c r="A89" s="37"/>
      <c r="B89" s="4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row>
    <row r="90" spans="1:61" ht="14.25" customHeight="1" x14ac:dyDescent="0.35">
      <c r="A90" s="37"/>
      <c r="B90" s="4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row>
    <row r="91" spans="1:61" ht="14.25" customHeight="1" x14ac:dyDescent="0.35">
      <c r="A91" s="37"/>
      <c r="B91" s="4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row>
    <row r="92" spans="1:61" ht="14.25" customHeight="1" x14ac:dyDescent="0.35">
      <c r="A92" s="37"/>
      <c r="B92" s="4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row>
    <row r="93" spans="1:61" ht="14.25" customHeight="1" x14ac:dyDescent="0.35">
      <c r="A93" s="37"/>
      <c r="B93" s="4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row>
    <row r="94" spans="1:61" ht="14.25" customHeight="1" x14ac:dyDescent="0.35">
      <c r="A94" s="37"/>
      <c r="B94" s="4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row>
    <row r="95" spans="1:61" ht="14.25" customHeight="1" x14ac:dyDescent="0.35">
      <c r="A95" s="37"/>
      <c r="B95" s="4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row>
    <row r="96" spans="1:61" ht="14.25" customHeight="1" x14ac:dyDescent="0.35">
      <c r="A96" s="37"/>
      <c r="B96" s="4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row>
    <row r="97" spans="1:61" ht="14.25" customHeight="1" x14ac:dyDescent="0.35">
      <c r="A97" s="37"/>
      <c r="B97" s="4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row>
    <row r="98" spans="1:61" ht="14.25" customHeight="1" x14ac:dyDescent="0.35">
      <c r="A98" s="37"/>
      <c r="B98" s="4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row>
    <row r="99" spans="1:61" ht="14.25" customHeight="1" x14ac:dyDescent="0.35">
      <c r="A99" s="37"/>
      <c r="B99" s="4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row>
    <row r="100" spans="1:61" ht="14.25" customHeight="1" x14ac:dyDescent="0.35">
      <c r="A100" s="37"/>
      <c r="B100" s="4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row>
    <row r="101" spans="1:61" ht="14.25" customHeight="1" x14ac:dyDescent="0.35">
      <c r="A101" s="37"/>
      <c r="B101" s="4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row>
    <row r="102" spans="1:61" ht="14.25" customHeight="1" x14ac:dyDescent="0.35">
      <c r="A102" s="37"/>
      <c r="B102" s="4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row>
    <row r="103" spans="1:61" ht="14.25" customHeight="1" x14ac:dyDescent="0.35">
      <c r="A103" s="37"/>
      <c r="B103" s="4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row>
    <row r="104" spans="1:61" ht="14.25" customHeight="1" x14ac:dyDescent="0.35">
      <c r="A104" s="37"/>
      <c r="B104" s="4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row>
  </sheetData>
  <sheetProtection algorithmName="SHA-512" hashValue="EgeoWZAKKcp51emVYXjIt43gKMDQ133nPl9T0i69qWOUkRBbAuNu/5EeudEcGlVDqKsumH76ydIBwTgfhAEZIg==" saltValue="ZrN3K45K//GGL2PKkOReMg==" spinCount="100000" sheet="1" objects="1" scenarios="1"/>
  <mergeCells count="5">
    <mergeCell ref="B9:B11"/>
    <mergeCell ref="D9:V9"/>
    <mergeCell ref="Q2:R2"/>
    <mergeCell ref="U2:V2"/>
    <mergeCell ref="B1:B3"/>
  </mergeCells>
  <conditionalFormatting sqref="U18">
    <cfRule type="expression" dxfId="262" priority="55">
      <formula>U$7="NÃO"</formula>
    </cfRule>
  </conditionalFormatting>
  <conditionalFormatting sqref="U18">
    <cfRule type="expression" dxfId="261" priority="56">
      <formula>U$7= "SIM"</formula>
    </cfRule>
  </conditionalFormatting>
  <conditionalFormatting sqref="U19">
    <cfRule type="expression" dxfId="260" priority="53">
      <formula>U$7="NÃO"</formula>
    </cfRule>
  </conditionalFormatting>
  <conditionalFormatting sqref="U19">
    <cfRule type="expression" dxfId="259" priority="54">
      <formula>U$7= "SIM"</formula>
    </cfRule>
  </conditionalFormatting>
  <conditionalFormatting sqref="Q15">
    <cfRule type="expression" dxfId="258" priority="51">
      <formula>Q$7="NÃO"</formula>
    </cfRule>
  </conditionalFormatting>
  <conditionalFormatting sqref="Q15">
    <cfRule type="expression" dxfId="257" priority="52">
      <formula>Q$7= "SIM"</formula>
    </cfRule>
  </conditionalFormatting>
  <conditionalFormatting sqref="Q16">
    <cfRule type="expression" dxfId="256" priority="49">
      <formula>Q$7="NÃO"</formula>
    </cfRule>
  </conditionalFormatting>
  <conditionalFormatting sqref="Q16">
    <cfRule type="expression" dxfId="255" priority="50">
      <formula>Q$7= "SIM"</formula>
    </cfRule>
  </conditionalFormatting>
  <conditionalFormatting sqref="Q17">
    <cfRule type="expression" dxfId="254" priority="47">
      <formula>Q$7="NÃO"</formula>
    </cfRule>
  </conditionalFormatting>
  <conditionalFormatting sqref="Q17">
    <cfRule type="expression" dxfId="253" priority="48">
      <formula>Q$7= "SIM"</formula>
    </cfRule>
  </conditionalFormatting>
  <conditionalFormatting sqref="Q18">
    <cfRule type="expression" dxfId="252" priority="45">
      <formula>Q$7="NÃO"</formula>
    </cfRule>
  </conditionalFormatting>
  <conditionalFormatting sqref="Q18">
    <cfRule type="expression" dxfId="251" priority="46">
      <formula>Q$7= "SIM"</formula>
    </cfRule>
  </conditionalFormatting>
  <conditionalFormatting sqref="Q19">
    <cfRule type="expression" dxfId="250" priority="43">
      <formula>Q$7="NÃO"</formula>
    </cfRule>
  </conditionalFormatting>
  <conditionalFormatting sqref="Q19">
    <cfRule type="expression" dxfId="249" priority="44">
      <formula>Q$7= "SIM"</formula>
    </cfRule>
  </conditionalFormatting>
  <conditionalFormatting sqref="M15">
    <cfRule type="expression" dxfId="248" priority="41">
      <formula>M$7="NÃO"</formula>
    </cfRule>
  </conditionalFormatting>
  <conditionalFormatting sqref="M15">
    <cfRule type="expression" dxfId="247" priority="42">
      <formula>M$7= "SIM"</formula>
    </cfRule>
  </conditionalFormatting>
  <conditionalFormatting sqref="M16">
    <cfRule type="expression" dxfId="246" priority="39">
      <formula>M$7="NÃO"</formula>
    </cfRule>
  </conditionalFormatting>
  <conditionalFormatting sqref="M16">
    <cfRule type="expression" dxfId="245" priority="40">
      <formula>M$7= "SIM"</formula>
    </cfRule>
  </conditionalFormatting>
  <conditionalFormatting sqref="M17">
    <cfRule type="expression" dxfId="244" priority="37">
      <formula>M$7="NÃO"</formula>
    </cfRule>
  </conditionalFormatting>
  <conditionalFormatting sqref="M17">
    <cfRule type="expression" dxfId="243" priority="38">
      <formula>M$7= "SIM"</formula>
    </cfRule>
  </conditionalFormatting>
  <conditionalFormatting sqref="M18">
    <cfRule type="expression" dxfId="242" priority="35">
      <formula>M$7="NÃO"</formula>
    </cfRule>
  </conditionalFormatting>
  <conditionalFormatting sqref="M18">
    <cfRule type="expression" dxfId="241" priority="36">
      <formula>M$7= "SIM"</formula>
    </cfRule>
  </conditionalFormatting>
  <conditionalFormatting sqref="M19">
    <cfRule type="expression" dxfId="240" priority="33">
      <formula>M$7="NÃO"</formula>
    </cfRule>
  </conditionalFormatting>
  <conditionalFormatting sqref="M19">
    <cfRule type="expression" dxfId="239" priority="34">
      <formula>M$7= "SIM"</formula>
    </cfRule>
  </conditionalFormatting>
  <conditionalFormatting sqref="I15">
    <cfRule type="expression" dxfId="238" priority="31">
      <formula>I$7="NÃO"</formula>
    </cfRule>
  </conditionalFormatting>
  <conditionalFormatting sqref="I15">
    <cfRule type="expression" dxfId="237" priority="32">
      <formula>I$7= "SIM"</formula>
    </cfRule>
  </conditionalFormatting>
  <conditionalFormatting sqref="I16">
    <cfRule type="expression" dxfId="236" priority="29">
      <formula>I$7="NÃO"</formula>
    </cfRule>
  </conditionalFormatting>
  <conditionalFormatting sqref="I16">
    <cfRule type="expression" dxfId="235" priority="30">
      <formula>I$7= "SIM"</formula>
    </cfRule>
  </conditionalFormatting>
  <conditionalFormatting sqref="I17">
    <cfRule type="expression" dxfId="234" priority="27">
      <formula>I$7="NÃO"</formula>
    </cfRule>
  </conditionalFormatting>
  <conditionalFormatting sqref="I17">
    <cfRule type="expression" dxfId="233" priority="28">
      <formula>I$7= "SIM"</formula>
    </cfRule>
  </conditionalFormatting>
  <conditionalFormatting sqref="I18">
    <cfRule type="expression" dxfId="232" priority="25">
      <formula>I$7="NÃO"</formula>
    </cfRule>
  </conditionalFormatting>
  <conditionalFormatting sqref="I18">
    <cfRule type="expression" dxfId="231" priority="26">
      <formula>I$7= "SIM"</formula>
    </cfRule>
  </conditionalFormatting>
  <conditionalFormatting sqref="I19">
    <cfRule type="expression" dxfId="230" priority="23">
      <formula>I$7="NÃO"</formula>
    </cfRule>
  </conditionalFormatting>
  <conditionalFormatting sqref="I19">
    <cfRule type="expression" dxfId="229" priority="24">
      <formula>I$7= "SIM"</formula>
    </cfRule>
  </conditionalFormatting>
  <conditionalFormatting sqref="E15">
    <cfRule type="expression" dxfId="228" priority="21">
      <formula>E$7="NÃO"</formula>
    </cfRule>
  </conditionalFormatting>
  <conditionalFormatting sqref="E15">
    <cfRule type="expression" dxfId="227" priority="22">
      <formula>E$7= "SIM"</formula>
    </cfRule>
  </conditionalFormatting>
  <conditionalFormatting sqref="E16">
    <cfRule type="expression" dxfId="226" priority="19">
      <formula>E$7="NÃO"</formula>
    </cfRule>
  </conditionalFormatting>
  <conditionalFormatting sqref="E16">
    <cfRule type="expression" dxfId="225" priority="20">
      <formula>E$7= "SIM"</formula>
    </cfRule>
  </conditionalFormatting>
  <conditionalFormatting sqref="E17">
    <cfRule type="expression" dxfId="224" priority="17">
      <formula>E$7="NÃO"</formula>
    </cfRule>
  </conditionalFormatting>
  <conditionalFormatting sqref="E17">
    <cfRule type="expression" dxfId="223" priority="18">
      <formula>E$7= "SIM"</formula>
    </cfRule>
  </conditionalFormatting>
  <conditionalFormatting sqref="E18">
    <cfRule type="expression" dxfId="222" priority="15">
      <formula>E$7="NÃO"</formula>
    </cfRule>
  </conditionalFormatting>
  <conditionalFormatting sqref="E18">
    <cfRule type="expression" dxfId="221" priority="16">
      <formula>E$7= "SIM"</formula>
    </cfRule>
  </conditionalFormatting>
  <conditionalFormatting sqref="E19">
    <cfRule type="expression" dxfId="220" priority="13">
      <formula>E$7="NÃO"</formula>
    </cfRule>
  </conditionalFormatting>
  <conditionalFormatting sqref="E19">
    <cfRule type="expression" dxfId="219" priority="14">
      <formula>E$7= "SIM"</formula>
    </cfRule>
  </conditionalFormatting>
  <conditionalFormatting sqref="E35 E27:E28 M27:M28 I27:I28 Q27:Q28 U27:U28 E38 E32 I32 M32 Q32 U32 I38 M38 Q38 U38 U41:U45 Q41:Q45 M41:M45 I41:I45 E41:E45 Q35 I35 U35 M35">
    <cfRule type="expression" dxfId="218" priority="63">
      <formula>E$7="NÃO"</formula>
    </cfRule>
  </conditionalFormatting>
  <conditionalFormatting sqref="E35 E27:E28 M27:M28 I27:I28 Q27:Q28 U27:U28 E38 E32 I32 M32 Q32 U32 I38 M38 Q38 U38 U41:U45 Q41:Q45 M41:M45 I41:I45 E41:E45 Q35 I35 U35 M35">
    <cfRule type="expression" dxfId="217" priority="64">
      <formula>E$7= "SIM"</formula>
    </cfRule>
  </conditionalFormatting>
  <conditionalFormatting sqref="U15">
    <cfRule type="expression" dxfId="216" priority="61">
      <formula>U$7="NÃO"</formula>
    </cfRule>
  </conditionalFormatting>
  <conditionalFormatting sqref="U15">
    <cfRule type="expression" dxfId="215" priority="62">
      <formula>U$7= "SIM"</formula>
    </cfRule>
  </conditionalFormatting>
  <conditionalFormatting sqref="U16">
    <cfRule type="expression" dxfId="214" priority="59">
      <formula>U$7="NÃO"</formula>
    </cfRule>
  </conditionalFormatting>
  <conditionalFormatting sqref="U16">
    <cfRule type="expression" dxfId="213" priority="60">
      <formula>U$7= "SIM"</formula>
    </cfRule>
  </conditionalFormatting>
  <conditionalFormatting sqref="U17">
    <cfRule type="expression" dxfId="212" priority="57">
      <formula>U$7="NÃO"</formula>
    </cfRule>
  </conditionalFormatting>
  <conditionalFormatting sqref="U17">
    <cfRule type="expression" dxfId="211" priority="58">
      <formula>U$7= "SIM"</formula>
    </cfRule>
  </conditionalFormatting>
  <conditionalFormatting sqref="I7 E7 M7 Q7 U7">
    <cfRule type="expression" dxfId="210" priority="3">
      <formula>E$7="NÃO"</formula>
    </cfRule>
  </conditionalFormatting>
  <conditionalFormatting sqref="I7 E7 M7 Q7 U7">
    <cfRule type="expression" dxfId="209" priority="4">
      <formula>E$7= "SIM"</formula>
    </cfRule>
  </conditionalFormatting>
  <conditionalFormatting sqref="L2">
    <cfRule type="expression" dxfId="208" priority="1">
      <formula>L$2="NÃO"</formula>
    </cfRule>
  </conditionalFormatting>
  <conditionalFormatting sqref="L2">
    <cfRule type="expression" dxfId="207" priority="2">
      <formula>L$2= "SIM"</formula>
    </cfRule>
  </conditionalFormatting>
  <conditionalFormatting sqref="D2">
    <cfRule type="expression" dxfId="206" priority="5">
      <formula>AND($L$2="Sim",$D$2&lt;$D$11)</formula>
    </cfRule>
  </conditionalFormatting>
  <conditionalFormatting sqref="D2">
    <cfRule type="expression" dxfId="205" priority="6">
      <formula>AND($L$2="Sim",$D$2&gt;$V$11)</formula>
    </cfRule>
  </conditionalFormatting>
  <pageMargins left="0.511811024" right="0.511811024" top="0.78740157499999996" bottom="0.78740157499999996"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outlinePr summaryBelow="0"/>
  </sheetPr>
  <dimension ref="A1:BI104"/>
  <sheetViews>
    <sheetView zoomScale="75" zoomScaleNormal="75" workbookViewId="0">
      <selection activeCell="B1" sqref="B1:B3"/>
    </sheetView>
  </sheetViews>
  <sheetFormatPr defaultColWidth="14.453125" defaultRowHeight="15" customHeight="1" outlineLevelRow="1" x14ac:dyDescent="0.35"/>
  <cols>
    <col min="1" max="1" width="1.7265625" customWidth="1"/>
    <col min="2" max="2" width="60.7265625" customWidth="1"/>
    <col min="3" max="3" width="1.7265625" customWidth="1"/>
    <col min="4" max="4" width="11.7265625" customWidth="1"/>
    <col min="5" max="5" width="15.7265625" customWidth="1"/>
    <col min="6" max="6" width="11.7265625" customWidth="1"/>
    <col min="7" max="7" width="1.7265625" customWidth="1"/>
    <col min="8" max="8" width="11.7265625" customWidth="1"/>
    <col min="9" max="9" width="15.7265625" customWidth="1"/>
    <col min="10" max="10" width="11.7265625" customWidth="1"/>
    <col min="11" max="11" width="1.7265625" customWidth="1"/>
    <col min="12" max="12" width="11.7265625" customWidth="1"/>
    <col min="13" max="13" width="15.7265625" customWidth="1"/>
    <col min="14" max="14" width="11.7265625" customWidth="1"/>
    <col min="15" max="15" width="1.7265625" customWidth="1"/>
    <col min="16" max="16" width="11.7265625" customWidth="1"/>
    <col min="17" max="17" width="15.7265625" customWidth="1"/>
    <col min="18" max="18" width="11.7265625" customWidth="1"/>
    <col min="19" max="19" width="1.7265625" customWidth="1"/>
    <col min="20" max="20" width="11.7265625" customWidth="1"/>
    <col min="21" max="21" width="15.7265625" customWidth="1"/>
    <col min="22" max="22" width="11.7265625" customWidth="1"/>
    <col min="23" max="23" width="9.453125" hidden="1" customWidth="1"/>
    <col min="24" max="27" width="8.7265625" hidden="1" customWidth="1"/>
  </cols>
  <sheetData>
    <row r="1" spans="1:61" ht="20.149999999999999" customHeight="1" x14ac:dyDescent="0.35">
      <c r="A1" s="885"/>
      <c r="B1" s="2303" t="s">
        <v>873</v>
      </c>
      <c r="C1" s="441"/>
      <c r="D1" s="441"/>
      <c r="E1" s="441"/>
      <c r="F1" s="441"/>
      <c r="G1" s="441"/>
      <c r="H1" s="441"/>
      <c r="I1" s="441"/>
      <c r="J1" s="441"/>
      <c r="K1" s="441"/>
      <c r="L1" s="441"/>
      <c r="M1" s="441"/>
      <c r="N1" s="441"/>
      <c r="O1" s="441"/>
      <c r="P1" s="441"/>
      <c r="Q1" s="441"/>
      <c r="R1" s="441"/>
      <c r="S1" s="441"/>
      <c r="T1" s="441"/>
      <c r="U1" s="441"/>
      <c r="V1" s="441"/>
      <c r="W1" s="37"/>
      <c r="X1" s="37"/>
      <c r="Y1" s="37"/>
      <c r="Z1" s="37"/>
      <c r="AA1" s="37"/>
    </row>
    <row r="2" spans="1:61" ht="20.149999999999999" customHeight="1" x14ac:dyDescent="0.45">
      <c r="A2" s="886"/>
      <c r="B2" s="2303"/>
      <c r="C2" s="444"/>
      <c r="D2" s="1021">
        <f>'R-Resumo Bal. Massa'!B35*(1+'R&amp;C-Painel de Controle'!H69)</f>
        <v>730.9319999999999</v>
      </c>
      <c r="E2" s="1022" t="s">
        <v>442</v>
      </c>
      <c r="F2" s="1017"/>
      <c r="G2" s="1017"/>
      <c r="H2" s="1156">
        <f>D2*313</f>
        <v>228781.71599999996</v>
      </c>
      <c r="I2" s="1155" t="s">
        <v>443</v>
      </c>
      <c r="J2" s="1017"/>
      <c r="K2" s="1017"/>
      <c r="L2" s="1137" t="str">
        <f>IF(D2&gt;0,"Sim","Não")</f>
        <v>Sim</v>
      </c>
      <c r="M2" s="439"/>
      <c r="N2" s="439"/>
      <c r="O2" s="439"/>
      <c r="P2" s="1157" t="s">
        <v>493</v>
      </c>
      <c r="Q2" s="2294" t="str">
        <f>'R-Definição'!D2</f>
        <v>São Judas Tadeu</v>
      </c>
      <c r="R2" s="2295"/>
      <c r="S2" s="437"/>
      <c r="T2" s="1157" t="s">
        <v>494</v>
      </c>
      <c r="U2" s="2294" t="str">
        <f>'R-Definição'!D3</f>
        <v>Rota Futura 1</v>
      </c>
      <c r="V2" s="2295"/>
      <c r="W2" s="317"/>
      <c r="X2" s="317"/>
      <c r="Y2" s="317"/>
      <c r="Z2" s="317"/>
      <c r="AA2" s="317"/>
      <c r="AB2" s="195"/>
    </row>
    <row r="3" spans="1:61" ht="20.149999999999999" customHeight="1" x14ac:dyDescent="0.35">
      <c r="A3" s="885"/>
      <c r="B3" s="2303"/>
      <c r="C3" s="435"/>
      <c r="D3" s="434"/>
      <c r="E3" s="434"/>
      <c r="F3" s="434"/>
      <c r="G3" s="434"/>
      <c r="H3" s="434"/>
      <c r="I3" s="434"/>
      <c r="J3" s="434"/>
      <c r="K3" s="434"/>
      <c r="L3" s="434"/>
      <c r="M3" s="434"/>
      <c r="N3" s="434"/>
      <c r="O3" s="439"/>
      <c r="P3" s="434"/>
      <c r="Q3" s="434"/>
      <c r="R3" s="434"/>
      <c r="S3" s="434"/>
      <c r="T3" s="434"/>
      <c r="U3" s="434"/>
      <c r="V3" s="434"/>
      <c r="W3" s="161"/>
      <c r="X3" s="161"/>
      <c r="Y3" s="161"/>
      <c r="Z3" s="161"/>
      <c r="AA3" s="161"/>
      <c r="AB3" s="195"/>
    </row>
    <row r="4" spans="1:61" s="1017" customFormat="1" ht="7.5" customHeight="1" x14ac:dyDescent="0.35">
      <c r="A4" s="402"/>
      <c r="B4" s="733"/>
      <c r="C4" s="393"/>
      <c r="D4" s="1121"/>
      <c r="E4" s="1121"/>
      <c r="F4" s="1121"/>
      <c r="G4" s="393"/>
      <c r="H4" s="1121"/>
      <c r="I4" s="1121"/>
      <c r="J4" s="1121"/>
      <c r="K4" s="393"/>
      <c r="L4" s="1121"/>
      <c r="M4" s="1121"/>
      <c r="N4" s="1121"/>
      <c r="O4" s="393"/>
      <c r="P4" s="1121"/>
      <c r="Q4" s="1121"/>
      <c r="R4" s="1121"/>
      <c r="S4" s="1027"/>
      <c r="T4" s="1121"/>
      <c r="U4" s="1121"/>
      <c r="V4" s="1028"/>
      <c r="W4" s="1016"/>
      <c r="X4" s="1016"/>
      <c r="Y4" s="1016"/>
      <c r="Z4" s="1016"/>
      <c r="AA4" s="1016"/>
      <c r="AB4" s="1016"/>
      <c r="AC4" s="1016"/>
      <c r="AD4" s="1016"/>
      <c r="AE4" s="1016"/>
      <c r="AF4" s="1016"/>
      <c r="AG4" s="1016"/>
      <c r="AH4" s="1016"/>
      <c r="AI4" s="1016"/>
      <c r="AJ4" s="1016"/>
      <c r="AK4" s="1016"/>
      <c r="AL4" s="1016"/>
      <c r="AM4" s="1016"/>
      <c r="AN4" s="1016"/>
      <c r="AO4" s="1016"/>
      <c r="AP4" s="1016"/>
      <c r="AQ4" s="1016"/>
      <c r="AR4" s="1016"/>
      <c r="AS4" s="1016"/>
      <c r="AT4" s="1016"/>
      <c r="AU4" s="1016"/>
      <c r="AV4" s="1016"/>
      <c r="AW4" s="1016"/>
      <c r="AX4" s="1016"/>
      <c r="AY4" s="1016"/>
      <c r="AZ4" s="1016"/>
      <c r="BA4" s="1016"/>
      <c r="BB4" s="1016"/>
      <c r="BC4" s="1016"/>
      <c r="BD4" s="1016"/>
      <c r="BE4" s="1016"/>
      <c r="BF4" s="1016"/>
      <c r="BG4" s="1016"/>
      <c r="BH4" s="1016"/>
      <c r="BI4" s="1016"/>
    </row>
    <row r="5" spans="1:61" ht="17.899999999999999" customHeight="1" x14ac:dyDescent="0.35">
      <c r="A5" s="885"/>
      <c r="B5" s="993" t="s">
        <v>859</v>
      </c>
      <c r="C5" s="445"/>
      <c r="D5" s="1162">
        <v>4</v>
      </c>
      <c r="E5" s="998" t="s">
        <v>870</v>
      </c>
      <c r="F5" s="996"/>
      <c r="G5" s="996"/>
      <c r="H5" s="996"/>
      <c r="I5" s="996"/>
      <c r="J5" s="996"/>
      <c r="K5" s="996"/>
      <c r="L5" s="996"/>
      <c r="M5" s="996"/>
      <c r="N5" s="996"/>
      <c r="O5" s="996"/>
      <c r="P5" s="996"/>
      <c r="Q5" s="996"/>
      <c r="R5" s="996"/>
      <c r="S5" s="996"/>
      <c r="T5" s="996"/>
      <c r="U5" s="996"/>
      <c r="V5" s="327"/>
      <c r="W5" s="161"/>
      <c r="X5" s="161"/>
      <c r="Y5" s="161"/>
      <c r="Z5" s="161"/>
      <c r="AA5" s="161"/>
      <c r="AB5" s="195"/>
    </row>
    <row r="6" spans="1:61" s="1017" customFormat="1" ht="7.5" customHeight="1" x14ac:dyDescent="0.35">
      <c r="A6" s="402"/>
      <c r="B6" s="733"/>
      <c r="C6" s="393"/>
      <c r="D6" s="1121"/>
      <c r="E6" s="1121"/>
      <c r="F6" s="1121"/>
      <c r="G6" s="393"/>
      <c r="H6" s="1121"/>
      <c r="I6" s="1121"/>
      <c r="J6" s="1121"/>
      <c r="K6" s="393"/>
      <c r="L6" s="1121"/>
      <c r="M6" s="1121"/>
      <c r="N6" s="1121"/>
      <c r="O6" s="393"/>
      <c r="P6" s="1121"/>
      <c r="Q6" s="1121"/>
      <c r="R6" s="1121"/>
      <c r="S6" s="1027"/>
      <c r="T6" s="1121"/>
      <c r="U6" s="1121"/>
      <c r="V6" s="1028"/>
      <c r="W6" s="1016"/>
      <c r="X6" s="1016"/>
      <c r="Y6" s="1016"/>
      <c r="Z6" s="1016"/>
      <c r="AA6" s="1016"/>
      <c r="AB6" s="1016"/>
      <c r="AC6" s="1016"/>
      <c r="AD6" s="1016"/>
      <c r="AE6" s="1016"/>
      <c r="AF6" s="1016"/>
      <c r="AG6" s="1016"/>
      <c r="AH6" s="1016"/>
      <c r="AI6" s="1016"/>
      <c r="AJ6" s="1016"/>
      <c r="AK6" s="1016"/>
      <c r="AL6" s="1016"/>
      <c r="AM6" s="1016"/>
      <c r="AN6" s="1016"/>
      <c r="AO6" s="1016"/>
      <c r="AP6" s="1016"/>
      <c r="AQ6" s="1016"/>
      <c r="AR6" s="1016"/>
      <c r="AS6" s="1016"/>
      <c r="AT6" s="1016"/>
      <c r="AU6" s="1016"/>
      <c r="AV6" s="1016"/>
      <c r="AW6" s="1016"/>
      <c r="AX6" s="1016"/>
      <c r="AY6" s="1016"/>
      <c r="AZ6" s="1016"/>
      <c r="BA6" s="1016"/>
      <c r="BB6" s="1016"/>
      <c r="BC6" s="1016"/>
      <c r="BD6" s="1016"/>
      <c r="BE6" s="1016"/>
      <c r="BF6" s="1016"/>
      <c r="BG6" s="1016"/>
      <c r="BH6" s="1016"/>
      <c r="BI6" s="1016"/>
    </row>
    <row r="7" spans="1:61" ht="20.149999999999999" customHeight="1" x14ac:dyDescent="0.35">
      <c r="A7" s="885"/>
      <c r="B7" s="977"/>
      <c r="C7" s="977"/>
      <c r="D7" s="977"/>
      <c r="E7" s="1114" t="str">
        <f>IF(AND(L2="Sim",$D$2&gt;D11,$D$2&lt;=F11),"SIM","NÃO")</f>
        <v>NÃO</v>
      </c>
      <c r="F7" s="981"/>
      <c r="G7" s="977"/>
      <c r="H7" s="981"/>
      <c r="I7" s="1141" t="str">
        <f>IF(AND(L2="Sim",$D$2&gt;H11,$D$2&lt;=J11),"SIM","NÃO")</f>
        <v>NÃO</v>
      </c>
      <c r="J7" s="981"/>
      <c r="K7" s="977"/>
      <c r="L7" s="981"/>
      <c r="M7" s="1114" t="str">
        <f>IF(AND(L2="Sim",$D$2&gt;L11,$D$2&lt;=N11),"SIM","NÃO")</f>
        <v>NÃO</v>
      </c>
      <c r="N7" s="981"/>
      <c r="O7" s="1139"/>
      <c r="P7" s="981"/>
      <c r="Q7" s="1114" t="str">
        <f>IF(AND(L2="Sim",$D$2&gt;P11,$D$2&lt;=R11),"SIM","NÃO")</f>
        <v>NÃO</v>
      </c>
      <c r="R7" s="981"/>
      <c r="S7" s="977"/>
      <c r="T7" s="981"/>
      <c r="U7" s="1142" t="str">
        <f>IF(AND(L2="Sim",$D$2&gt;T11,$D$2&lt;=V11*1.5),"SIM","NÃO")</f>
        <v>SIM</v>
      </c>
      <c r="V7" s="977"/>
      <c r="W7" s="161"/>
      <c r="X7" s="161"/>
      <c r="Y7" s="161"/>
      <c r="Z7" s="161"/>
      <c r="AA7" s="161"/>
      <c r="AB7" s="195"/>
    </row>
    <row r="8" spans="1:61" s="1017" customFormat="1" ht="7.5" customHeight="1" thickBot="1" x14ac:dyDescent="0.4">
      <c r="A8" s="402"/>
      <c r="B8" s="733"/>
      <c r="C8" s="393"/>
      <c r="D8" s="1121"/>
      <c r="E8" s="1121"/>
      <c r="F8" s="1121"/>
      <c r="G8" s="393"/>
      <c r="H8" s="1121"/>
      <c r="I8" s="1121"/>
      <c r="J8" s="1121"/>
      <c r="K8" s="393"/>
      <c r="L8" s="1121"/>
      <c r="M8" s="1121"/>
      <c r="N8" s="1121"/>
      <c r="O8" s="393"/>
      <c r="P8" s="1121"/>
      <c r="Q8" s="1121"/>
      <c r="R8" s="1121"/>
      <c r="S8" s="1027"/>
      <c r="T8" s="1121"/>
      <c r="U8" s="1121"/>
      <c r="V8" s="1028"/>
      <c r="W8" s="1016"/>
      <c r="X8" s="1016"/>
      <c r="Y8" s="1016"/>
      <c r="Z8" s="1016"/>
      <c r="AA8" s="1016"/>
      <c r="AB8" s="1016"/>
      <c r="AC8" s="1016"/>
      <c r="AD8" s="1016"/>
      <c r="AE8" s="1016"/>
      <c r="AF8" s="1016"/>
      <c r="AG8" s="1016"/>
      <c r="AH8" s="1016"/>
      <c r="AI8" s="1016"/>
      <c r="AJ8" s="1016"/>
      <c r="AK8" s="1016"/>
      <c r="AL8" s="1016"/>
      <c r="AM8" s="1016"/>
      <c r="AN8" s="1016"/>
      <c r="AO8" s="1016"/>
      <c r="AP8" s="1016"/>
      <c r="AQ8" s="1016"/>
      <c r="AR8" s="1016"/>
      <c r="AS8" s="1016"/>
      <c r="AT8" s="1016"/>
      <c r="AU8" s="1016"/>
      <c r="AV8" s="1016"/>
      <c r="AW8" s="1016"/>
      <c r="AX8" s="1016"/>
      <c r="AY8" s="1016"/>
      <c r="AZ8" s="1016"/>
      <c r="BA8" s="1016"/>
      <c r="BB8" s="1016"/>
      <c r="BC8" s="1016"/>
      <c r="BD8" s="1016"/>
      <c r="BE8" s="1016"/>
      <c r="BF8" s="1016"/>
      <c r="BG8" s="1016"/>
      <c r="BH8" s="1016"/>
      <c r="BI8" s="1016"/>
    </row>
    <row r="9" spans="1:61" s="1006" customFormat="1" ht="17.899999999999999" customHeight="1" thickTop="1" thickBot="1" x14ac:dyDescent="0.5">
      <c r="A9" s="1161"/>
      <c r="B9" s="2297" t="s">
        <v>697</v>
      </c>
      <c r="C9" s="1023"/>
      <c r="D9" s="2300" t="s">
        <v>705</v>
      </c>
      <c r="E9" s="2301"/>
      <c r="F9" s="2301"/>
      <c r="G9" s="2301"/>
      <c r="H9" s="2301"/>
      <c r="I9" s="2301"/>
      <c r="J9" s="2301"/>
      <c r="K9" s="2301"/>
      <c r="L9" s="2301"/>
      <c r="M9" s="2301"/>
      <c r="N9" s="2301"/>
      <c r="O9" s="2301"/>
      <c r="P9" s="2301"/>
      <c r="Q9" s="2301"/>
      <c r="R9" s="2301"/>
      <c r="S9" s="2301"/>
      <c r="T9" s="2301"/>
      <c r="U9" s="2301"/>
      <c r="V9" s="2302"/>
      <c r="W9" s="1009"/>
      <c r="X9" s="1009"/>
      <c r="Y9" s="1009"/>
      <c r="Z9" s="1009"/>
      <c r="AA9" s="1009"/>
    </row>
    <row r="10" spans="1:61" ht="7.5" customHeight="1" x14ac:dyDescent="0.35">
      <c r="A10" s="885"/>
      <c r="B10" s="2298"/>
      <c r="C10" s="1023"/>
      <c r="D10" s="1132"/>
      <c r="E10" s="1020"/>
      <c r="F10" s="1020"/>
      <c r="G10" s="978"/>
      <c r="H10" s="1020"/>
      <c r="I10" s="1020"/>
      <c r="J10" s="1020"/>
      <c r="K10" s="978"/>
      <c r="L10" s="1020"/>
      <c r="M10" s="1020"/>
      <c r="N10" s="1020"/>
      <c r="O10" s="978"/>
      <c r="P10" s="1020"/>
      <c r="Q10" s="1020"/>
      <c r="R10" s="1020"/>
      <c r="S10" s="978"/>
      <c r="T10" s="1020"/>
      <c r="U10" s="1020"/>
      <c r="V10" s="1133"/>
      <c r="W10" s="161"/>
      <c r="X10" s="161"/>
      <c r="Y10" s="161"/>
      <c r="Z10" s="161"/>
      <c r="AA10" s="161"/>
      <c r="AB10" s="195"/>
    </row>
    <row r="11" spans="1:61" s="1006" customFormat="1" ht="17.899999999999999" customHeight="1" thickBot="1" x14ac:dyDescent="0.5">
      <c r="A11" s="1161"/>
      <c r="B11" s="2299"/>
      <c r="C11" s="1023"/>
      <c r="D11" s="1124">
        <v>1</v>
      </c>
      <c r="E11" s="1126" t="s">
        <v>19</v>
      </c>
      <c r="F11" s="1126">
        <v>3</v>
      </c>
      <c r="G11" s="1127"/>
      <c r="H11" s="1126">
        <f>F11</f>
        <v>3</v>
      </c>
      <c r="I11" s="1126" t="s">
        <v>19</v>
      </c>
      <c r="J11" s="1126">
        <v>30</v>
      </c>
      <c r="K11" s="1127"/>
      <c r="L11" s="1126">
        <f>J11</f>
        <v>30</v>
      </c>
      <c r="M11" s="1126" t="s">
        <v>19</v>
      </c>
      <c r="N11" s="1126">
        <v>150</v>
      </c>
      <c r="O11" s="1127"/>
      <c r="P11" s="1126">
        <f>N11</f>
        <v>150</v>
      </c>
      <c r="Q11" s="1126" t="s">
        <v>19</v>
      </c>
      <c r="R11" s="1126">
        <v>350</v>
      </c>
      <c r="S11" s="1127"/>
      <c r="T11" s="1126">
        <f>R11</f>
        <v>350</v>
      </c>
      <c r="U11" s="1126" t="s">
        <v>19</v>
      </c>
      <c r="V11" s="1128">
        <v>750</v>
      </c>
      <c r="W11" s="1009"/>
      <c r="X11" s="1009"/>
      <c r="Y11" s="1009"/>
      <c r="Z11" s="1009"/>
      <c r="AA11" s="1009"/>
    </row>
    <row r="12" spans="1:61" s="1017" customFormat="1" ht="15" customHeight="1" thickTop="1" thickBot="1" x14ac:dyDescent="0.4">
      <c r="A12" s="402"/>
      <c r="B12" s="1130"/>
      <c r="C12" s="875"/>
      <c r="D12" s="1131"/>
      <c r="E12" s="1131"/>
      <c r="F12" s="1131"/>
      <c r="G12" s="875"/>
      <c r="H12" s="1131"/>
      <c r="I12" s="1131"/>
      <c r="J12" s="1131"/>
      <c r="K12" s="875"/>
      <c r="L12" s="1131"/>
      <c r="M12" s="1131"/>
      <c r="N12" s="1131"/>
      <c r="O12" s="875"/>
      <c r="P12" s="1131"/>
      <c r="Q12" s="1131"/>
      <c r="R12" s="1131"/>
      <c r="S12" s="875"/>
      <c r="T12" s="1131"/>
      <c r="U12" s="1131"/>
      <c r="V12" s="1131"/>
      <c r="W12" s="1016"/>
      <c r="X12" s="1016"/>
      <c r="Y12" s="1016"/>
      <c r="Z12" s="1016"/>
      <c r="AA12" s="1016"/>
      <c r="AB12" s="1016"/>
      <c r="AC12" s="1016"/>
      <c r="AD12" s="1016"/>
      <c r="AE12" s="1016"/>
      <c r="AF12" s="1016"/>
      <c r="AG12" s="1016"/>
      <c r="AH12" s="1016"/>
      <c r="AI12" s="1016"/>
      <c r="AJ12" s="1016"/>
      <c r="AK12" s="1016"/>
      <c r="AL12" s="1016"/>
      <c r="AM12" s="1016"/>
      <c r="AN12" s="1016"/>
      <c r="AO12" s="1016"/>
      <c r="AP12" s="1016"/>
      <c r="AQ12" s="1016"/>
      <c r="AR12" s="1016"/>
      <c r="AS12" s="1016"/>
      <c r="AT12" s="1016"/>
      <c r="AU12" s="1016"/>
      <c r="AV12" s="1016"/>
      <c r="AW12" s="1016"/>
      <c r="AX12" s="1016"/>
      <c r="AY12" s="1016"/>
      <c r="AZ12" s="1016"/>
      <c r="BA12" s="1016"/>
      <c r="BB12" s="1016"/>
      <c r="BC12" s="1016"/>
      <c r="BD12" s="1016"/>
      <c r="BE12" s="1016"/>
      <c r="BF12" s="1016"/>
      <c r="BG12" s="1016"/>
      <c r="BH12" s="1016"/>
      <c r="BI12" s="1016"/>
    </row>
    <row r="13" spans="1:61" s="1006" customFormat="1" ht="25.15" customHeight="1" thickTop="1" thickBot="1" x14ac:dyDescent="0.5">
      <c r="A13" s="1161"/>
      <c r="B13" s="1060" t="s">
        <v>500</v>
      </c>
      <c r="C13" s="1025"/>
      <c r="D13" s="1062" t="s">
        <v>858</v>
      </c>
      <c r="E13" s="1063" t="s">
        <v>499</v>
      </c>
      <c r="F13" s="1064" t="s">
        <v>332</v>
      </c>
      <c r="G13" s="997"/>
      <c r="H13" s="1062" t="s">
        <v>858</v>
      </c>
      <c r="I13" s="1063" t="s">
        <v>499</v>
      </c>
      <c r="J13" s="1064" t="s">
        <v>332</v>
      </c>
      <c r="K13" s="997"/>
      <c r="L13" s="1062" t="s">
        <v>858</v>
      </c>
      <c r="M13" s="1063" t="s">
        <v>499</v>
      </c>
      <c r="N13" s="1064" t="s">
        <v>332</v>
      </c>
      <c r="O13" s="997"/>
      <c r="P13" s="1062" t="s">
        <v>858</v>
      </c>
      <c r="Q13" s="1063" t="s">
        <v>499</v>
      </c>
      <c r="R13" s="1064" t="s">
        <v>332</v>
      </c>
      <c r="S13" s="997"/>
      <c r="T13" s="1062" t="s">
        <v>858</v>
      </c>
      <c r="U13" s="1063" t="s">
        <v>499</v>
      </c>
      <c r="V13" s="1064" t="s">
        <v>332</v>
      </c>
      <c r="W13" s="1009"/>
      <c r="X13" s="1009"/>
      <c r="Y13" s="1009"/>
      <c r="Z13" s="1009"/>
      <c r="AA13" s="1009"/>
    </row>
    <row r="14" spans="1:61" ht="7.5" customHeight="1" x14ac:dyDescent="0.35">
      <c r="A14" s="885"/>
      <c r="B14" s="1088"/>
      <c r="C14" s="1025"/>
      <c r="D14" s="1094"/>
      <c r="E14" s="337"/>
      <c r="F14" s="1039"/>
      <c r="G14" s="1025"/>
      <c r="H14" s="1094"/>
      <c r="I14" s="337"/>
      <c r="J14" s="1039"/>
      <c r="K14" s="1025"/>
      <c r="L14" s="1094"/>
      <c r="M14" s="337"/>
      <c r="N14" s="1039"/>
      <c r="O14" s="1025"/>
      <c r="P14" s="1094"/>
      <c r="Q14" s="337"/>
      <c r="R14" s="1039"/>
      <c r="S14" s="1025"/>
      <c r="T14" s="1094"/>
      <c r="U14" s="337"/>
      <c r="V14" s="1039"/>
      <c r="W14" s="161"/>
      <c r="X14" s="161"/>
      <c r="Y14" s="161"/>
      <c r="Z14" s="161"/>
      <c r="AA14" s="161"/>
      <c r="AB14" s="195"/>
    </row>
    <row r="15" spans="1:61" ht="20.149999999999999" customHeight="1" x14ac:dyDescent="0.35">
      <c r="A15" s="885"/>
      <c r="B15" s="1035" t="s">
        <v>427</v>
      </c>
      <c r="C15" s="997"/>
      <c r="D15" s="1581">
        <f>2706*1.18/(313*2)</f>
        <v>5.1007667731629391</v>
      </c>
      <c r="E15" s="1514" t="str">
        <f>(IF(E$7="SIM",(((D15*$H$2)*E21*(1+'R&amp;C-Painel de Controle'!$D$62))+((D15*$H$2)*(1-E21)/$D$5*'R&amp;C-Painel de Controle'!$D$53*(1+'R&amp;C-Painel de Controle'!$D$55)))/1000000,"-"))</f>
        <v>-</v>
      </c>
      <c r="F15" s="1515">
        <v>0.1</v>
      </c>
      <c r="G15" s="1026"/>
      <c r="H15" s="1581">
        <f>(2706+75000)*1.18/(313*10)</f>
        <v>29.294913738019169</v>
      </c>
      <c r="I15" s="1514" t="str">
        <f>(IF(I$7="SIM",(((H15*$H$2)*I21*(1+'R&amp;C-Painel de Controle'!$D$62))+((H15*$H$2)*(1-I21)/$D$5*'R&amp;C-Painel de Controle'!$D$53*(1+'R&amp;C-Painel de Controle'!$D$55)))/1000000,"-"))</f>
        <v>-</v>
      </c>
      <c r="J15" s="1515">
        <v>0.1</v>
      </c>
      <c r="K15" s="1026"/>
      <c r="L15" s="1581">
        <v>250</v>
      </c>
      <c r="M15" s="1514" t="str">
        <f>(IF(M$7="SIM",(((M22*L15*1000+(3731520/2)*((M22/5)/1.5))*M21*(1+'R&amp;C-Painel de Controle'!$D$62))+((M22*L15*1000+(3731520/2)*((M22/5)/1.5))*(1-M21)/$D$5*'R&amp;C-Painel de Controle'!$D$53*(1+'R&amp;C-Painel de Controle'!$D$55)))/1000000,"-"))</f>
        <v>-</v>
      </c>
      <c r="N15" s="1515">
        <v>0.35</v>
      </c>
      <c r="O15" s="1026"/>
      <c r="P15" s="1581">
        <v>500</v>
      </c>
      <c r="Q15" s="1514" t="str">
        <f>(IF(Q$7="SIM",(((Q22*P15*1000+(3731520/1)*((Q22/5)/1.5))*Q21*(1+'R&amp;C-Painel de Controle'!$D$62))+((Q22*P15*1000+(3731520/1)*((Q22/5)/1.5))*(1-Q21)/$D$5*'R&amp;C-Painel de Controle'!$D$53*(1+'R&amp;C-Painel de Controle'!$D$55)))/1000000,"-"))</f>
        <v>-</v>
      </c>
      <c r="R15" s="1515">
        <v>0.35</v>
      </c>
      <c r="S15" s="1582"/>
      <c r="T15" s="1581">
        <v>500</v>
      </c>
      <c r="U15" s="1514">
        <f>(IF(U$7="SIM",(((U22*T15*1000+(3731520/1)*((U22/5)/1.5))*U21*(1+'R&amp;C-Painel de Controle'!$D$62))+((U22*T15*1000+(3731520/1)*((U22/5)/1.5))*(1-U21)/$D$5*'R&amp;C-Painel de Controle'!$D$53*(1+'R&amp;C-Painel de Controle'!$D$55)))/1000000,"-"))</f>
        <v>49.580906881536009</v>
      </c>
      <c r="V15" s="1515">
        <v>0.35</v>
      </c>
      <c r="W15" s="320">
        <v>2.44073406720013E-3</v>
      </c>
      <c r="X15" s="320">
        <v>4.4118468134400268E-3</v>
      </c>
      <c r="Y15" s="320">
        <v>5.5541252601274449</v>
      </c>
      <c r="Z15" s="320">
        <v>14.407895345202244</v>
      </c>
      <c r="AA15" s="320">
        <v>31.727614145202242</v>
      </c>
      <c r="AB15" s="195"/>
    </row>
    <row r="16" spans="1:61" ht="20.149999999999999" customHeight="1" x14ac:dyDescent="0.35">
      <c r="A16" s="885"/>
      <c r="B16" s="1035" t="s">
        <v>698</v>
      </c>
      <c r="C16" s="997"/>
      <c r="D16" s="1516">
        <f>38884*1.18/(2*313)</f>
        <v>73.295718849840242</v>
      </c>
      <c r="E16" s="1514" t="str">
        <f>(IF(E$7="SIM",((F17*0.15/1.2*('R&amp;C-Painel de Controle'!$D$61))+(D16*$H$2*(1+'R&amp;C-Painel de Controle'!$D$62))+('R&amp;C-Painel de Controle'!$D$6*600*$L$16/100*(1+'R&amp;C-Painel de Controle'!$D$62)))/1000000,"-"))</f>
        <v>-</v>
      </c>
      <c r="F16" s="1517">
        <v>0.05</v>
      </c>
      <c r="G16" s="1026"/>
      <c r="H16" s="1516">
        <f>51600*1.18/(10*313)</f>
        <v>19.453035143769966</v>
      </c>
      <c r="I16" s="1514" t="str">
        <f>(IF(I$7="SIM",((J17*0.15/1.2*('R&amp;C-Painel de Controle'!$D$61))+(H16*$H$2*(1+'R&amp;C-Painel de Controle'!$D$62))+('R&amp;C-Painel de Controle'!$D$6*600*$L$16/100*(1+'R&amp;C-Painel de Controle'!$D$62)))/1000000,"-"))</f>
        <v>-</v>
      </c>
      <c r="J16" s="1517">
        <v>0.05</v>
      </c>
      <c r="K16" s="1026"/>
      <c r="L16" s="1516">
        <v>1</v>
      </c>
      <c r="M16" s="1514" t="str">
        <f>(IF(M$7="SIM",(((L17-N17)*'R&amp;C-Painel de Controle'!$D$58*0.1)+(N17*('R&amp;C-Painel de Controle'!$D$61*0.25))+(250*(1+'R&amp;C-Painel de Controle'!$D$62)*((500/2)*M22))+('R&amp;C-Painel de Controle'!$D$6*600*L16/100*(1+'R&amp;C-Painel de Controle'!$D$62)))/1000000,"-"))</f>
        <v>-</v>
      </c>
      <c r="N16" s="1517">
        <v>0.05</v>
      </c>
      <c r="O16" s="1026"/>
      <c r="P16" s="1516">
        <v>0.5</v>
      </c>
      <c r="Q16" s="1514" t="str">
        <f>(IF(Q$7="SIM",(((P17-R17)*'R&amp;C-Painel de Controle'!$D$58*0.1)+(R17*('R&amp;C-Painel de Controle'!$D$61*0.25))+(250*(1+'R&amp;C-Painel de Controle'!$D$62)*((500/1)*Q22))+('R&amp;C-Painel de Controle'!$D$6*600*P16/100*(1+'R&amp;C-Painel de Controle'!$D$62)))/1000000,"-"))</f>
        <v>-</v>
      </c>
      <c r="R16" s="1517">
        <v>0.05</v>
      </c>
      <c r="S16" s="1582"/>
      <c r="T16" s="1516">
        <v>0.25</v>
      </c>
      <c r="U16" s="1514">
        <f>(IF(U$7="SIM",(((T17-V17)*'R&amp;C-Painel de Controle'!$D$58*0.1)+(V17*('R&amp;C-Painel de Controle'!$D$61*0.25))+(250*(1+'R&amp;C-Painel de Controle'!$D$62)*((500/1)*U22))+('R&amp;C-Painel de Controle'!$D$6*600*T16/100*(1+'R&amp;C-Painel de Controle'!$D$62)))/1000000,"-"))</f>
        <v>19.132596489844204</v>
      </c>
      <c r="V16" s="1517">
        <v>0.05</v>
      </c>
      <c r="W16" s="320">
        <v>8.3694133140804483E-2</v>
      </c>
      <c r="X16" s="320">
        <v>0.52357054028400296</v>
      </c>
      <c r="Y16" s="320">
        <v>1.3303792707750766</v>
      </c>
      <c r="Z16" s="320">
        <v>3.264279456372202</v>
      </c>
      <c r="AA16" s="320">
        <v>6.9471436981495014</v>
      </c>
      <c r="AB16" s="195"/>
    </row>
    <row r="17" spans="1:28" ht="20.149999999999999" customHeight="1" x14ac:dyDescent="0.35">
      <c r="A17" s="887"/>
      <c r="B17" s="1035" t="s">
        <v>857</v>
      </c>
      <c r="C17" s="997"/>
      <c r="D17" s="1518" t="str">
        <f>(IF(E$7="SIM",2*(20*(20+(SQRT(F17))+20))+2*(20*(F17/(SQRT(F17))))+F17,"-"))</f>
        <v>-</v>
      </c>
      <c r="E17" s="1514" t="str">
        <f>(IF(E$7="SIM",('R&amp;C-Painel de Controle'!$D$56+0.25)*D17/1000000,"-"))</f>
        <v>-</v>
      </c>
      <c r="F17" s="1519" t="str">
        <f>IF(E7="SIM",(500/4*E22)*(1+0.075+0.075),"-")</f>
        <v>-</v>
      </c>
      <c r="G17" s="1026"/>
      <c r="H17" s="1518" t="str">
        <f>(IF(I$7="SIM",2*(20*(20+(SQRT(J17))+20))+2*(20*(J17/(SQRT(J17))))+J17,"-"))</f>
        <v>-</v>
      </c>
      <c r="I17" s="1514" t="str">
        <f>(IF(I$7="SIM",('R&amp;C-Painel de Controle'!$D$56+0.25)*H17/1000000,"-"))</f>
        <v>-</v>
      </c>
      <c r="J17" s="1519" t="str">
        <f>IF(I7="SIM",(2500/10*I22)*(1+0.075+0.075),"-")</f>
        <v>-</v>
      </c>
      <c r="K17" s="1026"/>
      <c r="L17" s="1518" t="str">
        <f>(IF(M$7="SIM",2*(20*(20+(SQRT(N17))+20))+2*(20*(N17/(SQRT(N17))))+N17,"-"))</f>
        <v>-</v>
      </c>
      <c r="M17" s="1514" t="str">
        <f>(IF(M$7="SIM",('R&amp;C-Painel de Controle'!$D$56+0.25)*L17/1000000,"-"))</f>
        <v>-</v>
      </c>
      <c r="N17" s="1519" t="str">
        <f>IF(M7="SIM",(500/2*M22)*(1+1/2+1/2),"-")</f>
        <v>-</v>
      </c>
      <c r="O17" s="1026"/>
      <c r="P17" s="1518" t="str">
        <f>(IF(Q$7="SIM",2*(20*(20+(SQRT(R17))+20))+2*(20*(R17/(SQRT(R17))))+R17,"-"))</f>
        <v>-</v>
      </c>
      <c r="Q17" s="1514" t="str">
        <f>(IF(Q$7="SIM",('R&amp;C-Painel de Controle'!$D$56+0.25)*P17/1000000,"-"))</f>
        <v>-</v>
      </c>
      <c r="R17" s="1519" t="str">
        <f>IF(Q7="SIM",(500*Q22)*(1+1/2+1/2),"-")</f>
        <v>-</v>
      </c>
      <c r="S17" s="1026"/>
      <c r="T17" s="1518">
        <f>(IF(U$7="SIM",2*(20*(20+(SQRT(V17))+20))+2*(20*(V17/(SQRT(V17))))+V17,"-"))</f>
        <v>44516.409796884007</v>
      </c>
      <c r="U17" s="1514">
        <f>(IF(U$7="SIM",('R&amp;C-Painel de Controle'!$D$56+0.25)*T17/1000000,"-"))</f>
        <v>4.0176059841687817</v>
      </c>
      <c r="V17" s="1519">
        <f>IF(U7="SIM",(500*U22)*(1+1/2+1/2),"-")</f>
        <v>29237.279999999999</v>
      </c>
      <c r="W17" s="320">
        <v>0.35563151831327922</v>
      </c>
      <c r="X17" s="320">
        <v>1.061749817661567</v>
      </c>
      <c r="Y17" s="320">
        <v>0.90132012952401708</v>
      </c>
      <c r="Z17" s="320">
        <v>1.8403385816580575</v>
      </c>
      <c r="AA17" s="320">
        <v>3.3106900948189795</v>
      </c>
      <c r="AB17" s="195"/>
    </row>
    <row r="18" spans="1:28" ht="20.149999999999999" customHeight="1" x14ac:dyDescent="0.35">
      <c r="A18" s="885"/>
      <c r="B18" s="1035" t="s">
        <v>495</v>
      </c>
      <c r="C18" s="997"/>
      <c r="D18" s="1583" t="str">
        <f>IF(E7="SIM",(E15+E16)*F18*1000/$H$2,"-")</f>
        <v>-</v>
      </c>
      <c r="E18" s="1514" t="str">
        <f>(IF(E$7="SIM",$H$2*D18/1000,""))</f>
        <v/>
      </c>
      <c r="F18" s="1515">
        <v>0.5</v>
      </c>
      <c r="G18" s="1026"/>
      <c r="H18" s="1583" t="str">
        <f>IF(I7="SIM",(I15+I16)*J18*1000/$H$2,"-")</f>
        <v>-</v>
      </c>
      <c r="I18" s="1514" t="str">
        <f>(IF(I$7="SIM",$H$2*H18/1000,""))</f>
        <v/>
      </c>
      <c r="J18" s="1515">
        <v>0.35</v>
      </c>
      <c r="K18" s="1026"/>
      <c r="L18" s="1583" t="str">
        <f>IF(M7="SIM",(M15+M16)*N18*1000/$H$2,"-")</f>
        <v>-</v>
      </c>
      <c r="M18" s="1514" t="str">
        <f>(IF(M$7="SIM",$H$2*L18/1000,""))</f>
        <v/>
      </c>
      <c r="N18" s="1515">
        <v>7.4999999999999997E-2</v>
      </c>
      <c r="O18" s="1026"/>
      <c r="P18" s="1583" t="str">
        <f>IF(Q7="SIM",(Q15+Q16)*R18*1000/$H$2,"-")</f>
        <v>-</v>
      </c>
      <c r="Q18" s="1514" t="str">
        <f>(IF(Q$7="SIM",$H$2*P18/1000,""))</f>
        <v/>
      </c>
      <c r="R18" s="1515">
        <v>0.05</v>
      </c>
      <c r="S18" s="1026"/>
      <c r="T18" s="1583">
        <f>IF(U7="SIM",(U15+U16)*V18*1000/$H$2,"-")</f>
        <v>1.5017262868021375E-2</v>
      </c>
      <c r="U18" s="1514">
        <f>(IF(U$7="SIM",$H$2*T18/1000,""))</f>
        <v>3.435675168569011</v>
      </c>
      <c r="V18" s="1515">
        <v>0.05</v>
      </c>
      <c r="W18" s="320">
        <v>4.3067433604002309E-2</v>
      </c>
      <c r="X18" s="320">
        <v>0.184793835484105</v>
      </c>
      <c r="Y18" s="320">
        <v>0.5163378398176891</v>
      </c>
      <c r="Z18" s="320">
        <v>0.61852611805510582</v>
      </c>
      <c r="AA18" s="320">
        <v>0.96686894608379359</v>
      </c>
      <c r="AB18" s="195"/>
    </row>
    <row r="19" spans="1:28" s="1006" customFormat="1" ht="25.15" customHeight="1" collapsed="1" thickBot="1" x14ac:dyDescent="0.5">
      <c r="A19" s="1159"/>
      <c r="B19" s="1036" t="s">
        <v>428</v>
      </c>
      <c r="C19" s="1026"/>
      <c r="D19" s="1521">
        <v>2.5000000000000001E-2</v>
      </c>
      <c r="E19" s="1037" t="str">
        <f>IF(E7="SIM",SUM(E15:E18)*(1+D19),"-")</f>
        <v>-</v>
      </c>
      <c r="F19" s="1154" t="s">
        <v>332</v>
      </c>
      <c r="G19" s="1026"/>
      <c r="H19" s="1521">
        <v>2.5000000000000001E-2</v>
      </c>
      <c r="I19" s="1037" t="str">
        <f>IF(I7="SIM",SUM(I15:I18)*(1+H19),"-")</f>
        <v>-</v>
      </c>
      <c r="J19" s="1154" t="s">
        <v>332</v>
      </c>
      <c r="K19" s="1026"/>
      <c r="L19" s="1521">
        <v>0.05</v>
      </c>
      <c r="M19" s="1037" t="str">
        <f>IF(M7="SIM",SUM(M15:M18)*(1+L19),"-")</f>
        <v>-</v>
      </c>
      <c r="N19" s="1154" t="s">
        <v>332</v>
      </c>
      <c r="O19" s="1026"/>
      <c r="P19" s="1520">
        <v>0.05</v>
      </c>
      <c r="Q19" s="1037" t="str">
        <f>IF(Q7="SIM",SUM(Q15:Q18)*(1+P19),"-")</f>
        <v>-</v>
      </c>
      <c r="R19" s="1154" t="s">
        <v>332</v>
      </c>
      <c r="S19" s="1026"/>
      <c r="T19" s="1520">
        <v>0.05</v>
      </c>
      <c r="U19" s="1037">
        <f>IF(U7="SIM",SUM(U15:U18)*(1+T19),"-")</f>
        <v>79.975123750323903</v>
      </c>
      <c r="V19" s="1154" t="s">
        <v>332</v>
      </c>
      <c r="W19" s="1004">
        <v>0.49695466460341825</v>
      </c>
      <c r="X19" s="1004">
        <v>1.8188891912491927</v>
      </c>
      <c r="Y19" s="1004">
        <v>8.7172706252564396</v>
      </c>
      <c r="Z19" s="1004">
        <v>21.137591476351989</v>
      </c>
      <c r="AA19" s="1004">
        <v>45.099932728467245</v>
      </c>
    </row>
    <row r="20" spans="1:28" ht="18" hidden="1" customHeight="1" outlineLevel="1" thickTop="1" x14ac:dyDescent="0.35">
      <c r="A20" s="885"/>
      <c r="B20" s="1085" t="s">
        <v>429</v>
      </c>
      <c r="C20" s="875"/>
      <c r="D20" s="1086" t="s">
        <v>332</v>
      </c>
      <c r="E20" s="1087" t="str">
        <f>IF(E7="SIM",E19*1000000/$H$2,"-")</f>
        <v>-</v>
      </c>
      <c r="F20" s="1086" t="s">
        <v>332</v>
      </c>
      <c r="G20" s="875"/>
      <c r="H20" s="1086" t="s">
        <v>332</v>
      </c>
      <c r="I20" s="1087" t="str">
        <f>IF(I7="SIM",I19*1000000/$H$2,"-")</f>
        <v>-</v>
      </c>
      <c r="J20" s="1086" t="s">
        <v>332</v>
      </c>
      <c r="K20" s="875"/>
      <c r="L20" s="1086" t="s">
        <v>332</v>
      </c>
      <c r="M20" s="1087" t="str">
        <f>IF(M7="SIM",M19*1000000/$H$2,"-")</f>
        <v>-</v>
      </c>
      <c r="N20" s="1086" t="s">
        <v>332</v>
      </c>
      <c r="O20" s="875"/>
      <c r="P20" s="1086" t="s">
        <v>332</v>
      </c>
      <c r="Q20" s="1087" t="str">
        <f>IF(Q7="SIM",Q19*1000000/$H$2,"-")</f>
        <v>-</v>
      </c>
      <c r="R20" s="1086" t="s">
        <v>332</v>
      </c>
      <c r="S20" s="875"/>
      <c r="T20" s="1086" t="s">
        <v>332</v>
      </c>
      <c r="U20" s="1087">
        <f>IF(U7="SIM",U19*1000000/$H$2,"-")</f>
        <v>349.56955979088787</v>
      </c>
      <c r="V20" s="1086" t="s">
        <v>332</v>
      </c>
      <c r="W20" s="321">
        <v>880.13596409587001</v>
      </c>
      <c r="X20" s="321">
        <v>356.42591425470079</v>
      </c>
      <c r="Y20" s="321">
        <v>310.12786442016761</v>
      </c>
      <c r="Z20" s="321">
        <v>270.60149971688458</v>
      </c>
      <c r="AA20" s="321">
        <v>262.18855086864005</v>
      </c>
      <c r="AB20" s="195"/>
    </row>
    <row r="21" spans="1:28" ht="18" hidden="1" customHeight="1" outlineLevel="1" x14ac:dyDescent="0.35">
      <c r="A21" s="885"/>
      <c r="B21" s="1015" t="s">
        <v>696</v>
      </c>
      <c r="C21" s="875"/>
      <c r="D21" s="338"/>
      <c r="E21" s="340">
        <f>'R&amp;C-Painel de Controle'!$G$69</f>
        <v>0.2</v>
      </c>
      <c r="F21" s="339"/>
      <c r="G21" s="876"/>
      <c r="H21" s="339"/>
      <c r="I21" s="340">
        <f>'R&amp;C-Painel de Controle'!$G$69</f>
        <v>0.2</v>
      </c>
      <c r="J21" s="339"/>
      <c r="K21" s="876"/>
      <c r="L21" s="339"/>
      <c r="M21" s="340">
        <f>'R&amp;C-Painel de Controle'!$G$69</f>
        <v>0.2</v>
      </c>
      <c r="N21" s="339"/>
      <c r="O21" s="876"/>
      <c r="P21" s="339"/>
      <c r="Q21" s="340">
        <f>'R&amp;C-Painel de Controle'!$G$69</f>
        <v>0.2</v>
      </c>
      <c r="R21" s="339"/>
      <c r="S21" s="876"/>
      <c r="T21" s="339"/>
      <c r="U21" s="340">
        <f>'R&amp;C-Painel de Controle'!$G$69</f>
        <v>0.2</v>
      </c>
      <c r="V21" s="337"/>
      <c r="W21" s="161"/>
      <c r="X21" s="324">
        <f t="shared" ref="X21:AA21" si="0">(X20-W20)/X20</f>
        <v>-1.4693377470498055</v>
      </c>
      <c r="Y21" s="324">
        <f t="shared" si="0"/>
        <v>-0.14928697207229216</v>
      </c>
      <c r="Z21" s="324">
        <f t="shared" si="0"/>
        <v>-0.14606853526176791</v>
      </c>
      <c r="AA21" s="324">
        <f t="shared" si="0"/>
        <v>-3.2087399775360612E-2</v>
      </c>
      <c r="AB21" s="195"/>
    </row>
    <row r="22" spans="1:28" ht="18" hidden="1" customHeight="1" outlineLevel="1" x14ac:dyDescent="0.35">
      <c r="A22" s="885"/>
      <c r="B22" s="879" t="s">
        <v>706</v>
      </c>
      <c r="C22" s="875"/>
      <c r="D22" s="338"/>
      <c r="E22" s="337" t="str">
        <f>IF(E7="SIM",($D$2/(2))*4,"-")</f>
        <v>-</v>
      </c>
      <c r="F22" s="337"/>
      <c r="G22" s="875"/>
      <c r="H22" s="337"/>
      <c r="I22" s="341" t="str">
        <f>IF(I7="SIM",($D$2/10)*10,"-")</f>
        <v>-</v>
      </c>
      <c r="J22" s="337"/>
      <c r="K22" s="875"/>
      <c r="L22" s="337"/>
      <c r="M22" s="337" t="str">
        <f>IF(M7="SIM",($D$2/(125/2))*5,"-")</f>
        <v>-</v>
      </c>
      <c r="N22" s="337"/>
      <c r="O22" s="875"/>
      <c r="P22" s="337"/>
      <c r="Q22" s="337" t="str">
        <f>IF(Q7="SIM",($D$2/125)*5,"-")</f>
        <v>-</v>
      </c>
      <c r="R22" s="337"/>
      <c r="S22" s="875"/>
      <c r="T22" s="337"/>
      <c r="U22" s="337">
        <f>IF(U7="SIM",($D$2/125)*5,"-")</f>
        <v>29.237279999999998</v>
      </c>
      <c r="V22" s="337"/>
      <c r="W22" s="161"/>
      <c r="X22" s="161"/>
      <c r="Y22" s="161"/>
      <c r="Z22" s="161"/>
      <c r="AA22" s="161"/>
      <c r="AB22" s="195"/>
    </row>
    <row r="23" spans="1:28" ht="18" hidden="1" customHeight="1" outlineLevel="1" x14ac:dyDescent="0.35">
      <c r="A23" s="885"/>
      <c r="B23" s="878" t="s">
        <v>492</v>
      </c>
      <c r="C23" s="875"/>
      <c r="D23" s="342"/>
      <c r="E23" s="341" t="str">
        <f>IF(E7="SIM",(E15*F15+E16*F16)/4,"-")</f>
        <v>-</v>
      </c>
      <c r="F23" s="337"/>
      <c r="G23" s="875"/>
      <c r="H23" s="337"/>
      <c r="I23" s="341" t="str">
        <f>IF(I7="SIM",(I15*J15+I16*J16)/4,"-")</f>
        <v>-</v>
      </c>
      <c r="J23" s="337"/>
      <c r="K23" s="875"/>
      <c r="L23" s="337"/>
      <c r="M23" s="341" t="str">
        <f>IF(M7="SIM",(M15*N15+M16*N16)/4,"-")</f>
        <v>-</v>
      </c>
      <c r="N23" s="337"/>
      <c r="O23" s="875"/>
      <c r="P23" s="337"/>
      <c r="Q23" s="341" t="str">
        <f>IF(Q7="SIM",(Q15*R15+Q16*R16)/4,"-")</f>
        <v>-</v>
      </c>
      <c r="R23" s="337"/>
      <c r="S23" s="875"/>
      <c r="T23" s="337"/>
      <c r="U23" s="341">
        <f>IF(U7="SIM",(U15*V15+U16*V16)/4,"-")</f>
        <v>4.5774868082574534</v>
      </c>
      <c r="V23" s="337"/>
      <c r="W23" s="161"/>
      <c r="X23" s="161"/>
      <c r="Y23" s="161"/>
      <c r="Z23" s="161"/>
      <c r="AA23" s="161"/>
      <c r="AB23" s="195"/>
    </row>
    <row r="24" spans="1:28" s="1017" customFormat="1" ht="15" customHeight="1" thickTop="1" thickBot="1" x14ac:dyDescent="0.4">
      <c r="A24" s="885"/>
      <c r="B24" s="1045"/>
      <c r="C24" s="875"/>
      <c r="D24" s="1046"/>
      <c r="E24" s="1046"/>
      <c r="F24" s="1046"/>
      <c r="G24" s="875"/>
      <c r="H24" s="1046"/>
      <c r="I24" s="1046"/>
      <c r="J24" s="1046"/>
      <c r="K24" s="875"/>
      <c r="L24" s="1046"/>
      <c r="M24" s="1046"/>
      <c r="N24" s="1046"/>
      <c r="O24" s="875"/>
      <c r="P24" s="1046"/>
      <c r="Q24" s="1046"/>
      <c r="R24" s="1046"/>
      <c r="S24" s="875"/>
      <c r="T24" s="1046"/>
      <c r="U24" s="1046"/>
      <c r="V24" s="1046"/>
      <c r="W24" s="161"/>
      <c r="X24" s="161"/>
      <c r="Y24" s="161"/>
      <c r="Z24" s="161"/>
      <c r="AA24" s="161"/>
      <c r="AB24" s="195"/>
    </row>
    <row r="25" spans="1:28" s="1006" customFormat="1" ht="25.15" customHeight="1" thickTop="1" thickBot="1" x14ac:dyDescent="0.5">
      <c r="A25" s="1161"/>
      <c r="B25" s="1136" t="s">
        <v>496</v>
      </c>
      <c r="C25" s="1023"/>
      <c r="D25" s="1065" t="s">
        <v>858</v>
      </c>
      <c r="E25" s="1066" t="s">
        <v>867</v>
      </c>
      <c r="F25" s="1067" t="s">
        <v>332</v>
      </c>
      <c r="G25" s="393"/>
      <c r="H25" s="1068" t="s">
        <v>858</v>
      </c>
      <c r="I25" s="1069" t="s">
        <v>867</v>
      </c>
      <c r="J25" s="1070" t="s">
        <v>332</v>
      </c>
      <c r="K25" s="393"/>
      <c r="L25" s="1068" t="s">
        <v>858</v>
      </c>
      <c r="M25" s="1069" t="s">
        <v>867</v>
      </c>
      <c r="N25" s="1070" t="s">
        <v>332</v>
      </c>
      <c r="O25" s="393"/>
      <c r="P25" s="1068" t="s">
        <v>858</v>
      </c>
      <c r="Q25" s="1069" t="s">
        <v>867</v>
      </c>
      <c r="R25" s="1070" t="s">
        <v>332</v>
      </c>
      <c r="S25" s="393"/>
      <c r="T25" s="1068" t="s">
        <v>858</v>
      </c>
      <c r="U25" s="1069" t="s">
        <v>867</v>
      </c>
      <c r="V25" s="1070" t="s">
        <v>332</v>
      </c>
      <c r="W25" s="1009"/>
      <c r="X25" s="1009"/>
      <c r="Y25" s="1009"/>
      <c r="Z25" s="1009"/>
      <c r="AA25" s="1009"/>
    </row>
    <row r="26" spans="1:28" s="1017" customFormat="1" ht="7.5" customHeight="1" x14ac:dyDescent="0.35">
      <c r="A26" s="885"/>
      <c r="B26" s="1135"/>
      <c r="C26" s="1025"/>
      <c r="D26" s="1094"/>
      <c r="E26" s="343"/>
      <c r="F26" s="1095"/>
      <c r="G26" s="1079"/>
      <c r="H26" s="1100"/>
      <c r="I26" s="343"/>
      <c r="J26" s="1096"/>
      <c r="K26" s="1079"/>
      <c r="L26" s="1101"/>
      <c r="M26" s="343"/>
      <c r="N26" s="1096"/>
      <c r="O26" s="1079"/>
      <c r="P26" s="1101"/>
      <c r="Q26" s="343"/>
      <c r="R26" s="1096"/>
      <c r="S26" s="1079"/>
      <c r="T26" s="1101"/>
      <c r="U26" s="343"/>
      <c r="V26" s="1102"/>
      <c r="W26" s="161"/>
      <c r="X26" s="161"/>
      <c r="Y26" s="161"/>
      <c r="Z26" s="161"/>
      <c r="AA26" s="161"/>
      <c r="AB26" s="195"/>
    </row>
    <row r="27" spans="1:28" ht="20.149999999999999" customHeight="1" collapsed="1" x14ac:dyDescent="0.35">
      <c r="A27" s="888"/>
      <c r="B27" s="1035" t="s">
        <v>432</v>
      </c>
      <c r="C27" s="997"/>
      <c r="D27" s="1134"/>
      <c r="E27" s="1011" t="str">
        <f>(IF(E$7="SIM",(E31)*2.4*12/$H$2,"-"))</f>
        <v>-</v>
      </c>
      <c r="F27" s="1515"/>
      <c r="G27" s="1582"/>
      <c r="H27" s="1586"/>
      <c r="I27" s="1011" t="str">
        <f>(IF(I$7="SIM",(I31)*2.4*12/$H$2,"-"))</f>
        <v>-</v>
      </c>
      <c r="J27" s="1589"/>
      <c r="K27" s="1582"/>
      <c r="L27" s="1586"/>
      <c r="M27" s="1011" t="str">
        <f>(IF(M$7="SIM",(M31)*2.4*12/$H$2,"-"))</f>
        <v>-</v>
      </c>
      <c r="N27" s="1589"/>
      <c r="O27" s="1582"/>
      <c r="P27" s="1586"/>
      <c r="Q27" s="1011" t="str">
        <f>(IF(Q$7="SIM",(Q31)*2.4*12/$H$2,"-"))</f>
        <v>-</v>
      </c>
      <c r="R27" s="1589"/>
      <c r="S27" s="1582"/>
      <c r="T27" s="1586"/>
      <c r="U27" s="1107">
        <f>(IF(U$7="SIM",(U31)*2.4*12/$H$2,"-"))</f>
        <v>7.6650646973904148</v>
      </c>
      <c r="V27" s="1103"/>
      <c r="W27" s="162"/>
      <c r="X27" s="162"/>
      <c r="Y27" s="162"/>
      <c r="Z27" s="162"/>
      <c r="AA27" s="162"/>
      <c r="AB27" s="195"/>
    </row>
    <row r="28" spans="1:28" ht="18" hidden="1" customHeight="1" outlineLevel="1" x14ac:dyDescent="0.35">
      <c r="A28" s="885"/>
      <c r="B28" s="1089"/>
      <c r="C28" s="1040"/>
      <c r="D28" s="1134"/>
      <c r="E28" s="1011"/>
      <c r="F28" s="1515"/>
      <c r="G28" s="1582"/>
      <c r="H28" s="1586"/>
      <c r="I28" s="1011"/>
      <c r="J28" s="1589"/>
      <c r="K28" s="1582"/>
      <c r="L28" s="1586"/>
      <c r="M28" s="1011"/>
      <c r="N28" s="1589"/>
      <c r="O28" s="1582"/>
      <c r="P28" s="1586"/>
      <c r="Q28" s="1011"/>
      <c r="R28" s="1589"/>
      <c r="S28" s="1582"/>
      <c r="T28" s="1586"/>
      <c r="U28" s="1107"/>
      <c r="V28" s="1103"/>
      <c r="W28" s="161"/>
      <c r="X28" s="161"/>
      <c r="Y28" s="161"/>
      <c r="Z28" s="161"/>
      <c r="AA28" s="161"/>
      <c r="AB28" s="195"/>
    </row>
    <row r="29" spans="1:28" ht="18" hidden="1" customHeight="1" outlineLevel="1" x14ac:dyDescent="0.35">
      <c r="A29" s="885"/>
      <c r="B29" s="1090" t="s">
        <v>687</v>
      </c>
      <c r="C29" s="1025"/>
      <c r="D29" s="1134"/>
      <c r="E29" s="1554">
        <v>1</v>
      </c>
      <c r="F29" s="1515"/>
      <c r="G29" s="1552"/>
      <c r="H29" s="1586"/>
      <c r="I29" s="1554">
        <v>1</v>
      </c>
      <c r="J29" s="1590"/>
      <c r="K29" s="1552"/>
      <c r="L29" s="1513"/>
      <c r="M29" s="1554">
        <v>2</v>
      </c>
      <c r="N29" s="1590"/>
      <c r="O29" s="1552"/>
      <c r="P29" s="1513"/>
      <c r="Q29" s="1554">
        <v>2</v>
      </c>
      <c r="R29" s="1590"/>
      <c r="S29" s="1552"/>
      <c r="T29" s="1513"/>
      <c r="U29" s="1554">
        <v>2</v>
      </c>
      <c r="V29" s="1103"/>
      <c r="W29" s="161"/>
      <c r="X29" s="161"/>
      <c r="Y29" s="161"/>
      <c r="Z29" s="161"/>
      <c r="AA29" s="161"/>
      <c r="AB29" s="195"/>
    </row>
    <row r="30" spans="1:28" ht="18" hidden="1" customHeight="1" outlineLevel="1" x14ac:dyDescent="0.35">
      <c r="A30" s="885"/>
      <c r="B30" s="1090" t="s">
        <v>699</v>
      </c>
      <c r="C30" s="1025"/>
      <c r="D30" s="1134"/>
      <c r="E30" s="1554" t="str">
        <f>IF(E7="SIM",($D$2/2)*4,"-")</f>
        <v>-</v>
      </c>
      <c r="F30" s="1515"/>
      <c r="G30" s="1552"/>
      <c r="H30" s="1586"/>
      <c r="I30" s="1554" t="str">
        <f>IF(I7="SIM",($D$2/10)*5,"-")</f>
        <v>-</v>
      </c>
      <c r="J30" s="1590"/>
      <c r="K30" s="1552"/>
      <c r="L30" s="1513"/>
      <c r="M30" s="1554" t="str">
        <f>IF(M7="SIM",(M22/5)*3,"-")</f>
        <v>-</v>
      </c>
      <c r="N30" s="1590"/>
      <c r="O30" s="1552"/>
      <c r="P30" s="1513"/>
      <c r="Q30" s="1554" t="str">
        <f>IF(Q7="SIM",(Q22/5)*3,"-")</f>
        <v>-</v>
      </c>
      <c r="R30" s="1590"/>
      <c r="S30" s="1552"/>
      <c r="T30" s="1513"/>
      <c r="U30" s="1554">
        <f>IF(U7="SIM",(U22/5)*3,"-")</f>
        <v>17.542367999999996</v>
      </c>
      <c r="V30" s="1103"/>
      <c r="W30" s="161"/>
      <c r="X30" s="161"/>
      <c r="Y30" s="161"/>
      <c r="Z30" s="161"/>
      <c r="AA30" s="161"/>
      <c r="AB30" s="195"/>
    </row>
    <row r="31" spans="1:28" ht="18" hidden="1" customHeight="1" outlineLevel="1" x14ac:dyDescent="0.35">
      <c r="A31" s="885"/>
      <c r="B31" s="1090" t="s">
        <v>689</v>
      </c>
      <c r="C31" s="1025"/>
      <c r="D31" s="1134"/>
      <c r="E31" s="1542" t="str">
        <f>IF(E7="SIM",0.6*'R&amp;C-Painel de Controle'!$D$64*0.25+0.6*E29*E30/10*'R&amp;C-Painel de Controle'!$D$65*0.25+E30*E29*'R&amp;C-Painel de Controle'!$D$66,"-")</f>
        <v>-</v>
      </c>
      <c r="F31" s="1515"/>
      <c r="G31" s="1544"/>
      <c r="H31" s="1586"/>
      <c r="I31" s="1542" t="str">
        <f>IF(I7="SIM",0.6*'R&amp;C-Painel de Controle'!$D$64*0.25+0.6*I29*I30/10*'R&amp;C-Painel de Controle'!$D$65*0.25+I30*I29*'R&amp;C-Painel de Controle'!$D$66,"-")</f>
        <v>-</v>
      </c>
      <c r="J31" s="1587"/>
      <c r="K31" s="1544"/>
      <c r="L31" s="1588"/>
      <c r="M31" s="1542" t="str">
        <f>IF(M7="SIM",0.6*'R&amp;C-Painel de Controle'!$D$64*0.25+0.6*M29*M30/10*'R&amp;C-Painel de Controle'!$D$65*0.25+M30*M29*'R&amp;C-Painel de Controle'!$D$66,"-")</f>
        <v>-</v>
      </c>
      <c r="N31" s="1587"/>
      <c r="O31" s="1544"/>
      <c r="P31" s="1588"/>
      <c r="Q31" s="1542" t="str">
        <f>IF(Q7="SIM",0.6*'R&amp;C-Painel de Controle'!$D$64*0.25+0.6*Q29*Q30/10*'R&amp;C-Painel de Controle'!$D$65*0.25+Q30*Q29*'R&amp;C-Painel de Controle'!$D$66,"-")</f>
        <v>-</v>
      </c>
      <c r="R31" s="1587"/>
      <c r="S31" s="1544"/>
      <c r="T31" s="1588"/>
      <c r="U31" s="1542">
        <f>IF(U7="SIM",0.6*'R&amp;C-Painel de Controle'!$D$64*0.25+0.6*U29*U30/10*'R&amp;C-Painel de Controle'!$D$65*0.25+U30*U29*'R&amp;C-Painel de Controle'!$D$66,"-")</f>
        <v>60889.814399999988</v>
      </c>
      <c r="V31" s="1103"/>
      <c r="W31" s="161"/>
      <c r="X31" s="161"/>
      <c r="Y31" s="161"/>
      <c r="Z31" s="161"/>
      <c r="AA31" s="161"/>
      <c r="AB31" s="195"/>
    </row>
    <row r="32" spans="1:28" ht="20.149999999999999" customHeight="1" collapsed="1" x14ac:dyDescent="0.35">
      <c r="A32" s="888"/>
      <c r="B32" s="1035" t="s">
        <v>433</v>
      </c>
      <c r="C32" s="997"/>
      <c r="D32" s="1134"/>
      <c r="E32" s="1011" t="str">
        <f>(IF(E$7="SIM",(E33*$H$2/1000*'R&amp;C-Painel de Controle'!$D$69+E34/1000*'R&amp;C-Painel de Controle'!$D$70*12)/$H$2,"-"))</f>
        <v>-</v>
      </c>
      <c r="F32" s="1515"/>
      <c r="G32" s="1582"/>
      <c r="H32" s="1588"/>
      <c r="I32" s="1011" t="str">
        <f>(IF(I$7="SIM",(I33*$H$2/1000*'R&amp;C-Painel de Controle'!$D$69+I34/1000*'R&amp;C-Painel de Controle'!$D$70*12)/$H$2,"-"))</f>
        <v>-</v>
      </c>
      <c r="J32" s="1589"/>
      <c r="K32" s="1582"/>
      <c r="L32" s="1588"/>
      <c r="M32" s="1011" t="str">
        <f>(IF(M$7="SIM",(M33*$H$2/1000*'R&amp;C-Painel de Controle'!$D$69+M34/1000*'R&amp;C-Painel de Controle'!$D$70*12)/$H$2,"-"))</f>
        <v>-</v>
      </c>
      <c r="N32" s="1589"/>
      <c r="O32" s="1582"/>
      <c r="P32" s="1588"/>
      <c r="Q32" s="1011" t="str">
        <f>(IF(Q$7="SIM",(Q33*$H$2/1000*'R&amp;C-Painel de Controle'!$D$69+Q34/1000*'R&amp;C-Painel de Controle'!$D$70*12)/$H$2,"-"))</f>
        <v>-</v>
      </c>
      <c r="R32" s="1589"/>
      <c r="S32" s="1582"/>
      <c r="T32" s="1588"/>
      <c r="U32" s="1107">
        <f>(IF(U$7="SIM",(U33*$H$2/1000*'R&amp;C-Painel de Controle'!$D$69+U34/1000*'R&amp;C-Painel de Controle'!$D$70*12)/$H$2,"-"))</f>
        <v>2.1294729142603335</v>
      </c>
      <c r="V32" s="1103"/>
      <c r="W32" s="162"/>
      <c r="X32" s="162"/>
      <c r="Y32" s="162"/>
      <c r="Z32" s="162"/>
      <c r="AA32" s="162"/>
      <c r="AB32" s="195"/>
    </row>
    <row r="33" spans="1:28" ht="18" hidden="1" customHeight="1" outlineLevel="1" x14ac:dyDescent="0.35">
      <c r="A33" s="888"/>
      <c r="B33" s="1090" t="s">
        <v>690</v>
      </c>
      <c r="C33" s="1025"/>
      <c r="D33" s="1591"/>
      <c r="E33" s="1592">
        <v>5</v>
      </c>
      <c r="F33" s="1517"/>
      <c r="G33" s="1544"/>
      <c r="H33" s="1593"/>
      <c r="I33" s="1592">
        <v>5</v>
      </c>
      <c r="J33" s="1517"/>
      <c r="K33" s="1544"/>
      <c r="L33" s="1593"/>
      <c r="M33" s="1526">
        <v>5</v>
      </c>
      <c r="N33" s="1517"/>
      <c r="O33" s="1544"/>
      <c r="P33" s="1593"/>
      <c r="Q33" s="1526">
        <v>5</v>
      </c>
      <c r="R33" s="1517"/>
      <c r="S33" s="1544"/>
      <c r="T33" s="1593"/>
      <c r="U33" s="1526">
        <v>5</v>
      </c>
      <c r="V33" s="1517"/>
      <c r="W33" s="162"/>
      <c r="X33" s="162"/>
      <c r="Y33" s="162"/>
      <c r="Z33" s="162"/>
      <c r="AA33" s="162"/>
      <c r="AB33" s="195"/>
    </row>
    <row r="34" spans="1:28" ht="18" hidden="1" customHeight="1" outlineLevel="1" x14ac:dyDescent="0.35">
      <c r="A34" s="885"/>
      <c r="B34" s="1090" t="s">
        <v>691</v>
      </c>
      <c r="C34" s="1040"/>
      <c r="D34" s="1134"/>
      <c r="E34" s="1542">
        <f>E33*F11*(0.9)*0.92/16</f>
        <v>0.77625</v>
      </c>
      <c r="F34" s="1515"/>
      <c r="G34" s="1540"/>
      <c r="H34" s="1588"/>
      <c r="I34" s="1542">
        <f>I33*J11*(0.9)*0.92/16</f>
        <v>7.7625000000000002</v>
      </c>
      <c r="J34" s="1594"/>
      <c r="K34" s="1540"/>
      <c r="L34" s="1595"/>
      <c r="M34" s="1542">
        <f>M33*N11*(0.9)*0.92/16</f>
        <v>38.8125</v>
      </c>
      <c r="N34" s="1594"/>
      <c r="O34" s="1540"/>
      <c r="P34" s="1595"/>
      <c r="Q34" s="1542">
        <f>Q33*R11*(0.9)*0.92/16</f>
        <v>90.5625</v>
      </c>
      <c r="R34" s="1594"/>
      <c r="S34" s="1540"/>
      <c r="T34" s="1595"/>
      <c r="U34" s="1542">
        <f>U33*V11*(0.9)*0.92/16</f>
        <v>194.0625</v>
      </c>
      <c r="V34" s="1103"/>
      <c r="W34" s="161"/>
      <c r="X34" s="161"/>
      <c r="Y34" s="161"/>
      <c r="Z34" s="161"/>
      <c r="AA34" s="161"/>
      <c r="AB34" s="195"/>
    </row>
    <row r="35" spans="1:28" ht="20.149999999999999" customHeight="1" collapsed="1" x14ac:dyDescent="0.35">
      <c r="A35" s="888"/>
      <c r="B35" s="1035" t="s">
        <v>434</v>
      </c>
      <c r="C35" s="997"/>
      <c r="D35" s="1134"/>
      <c r="E35" s="1011" t="str">
        <f>(IF(E$7="SIM",(E15*1000000*E36+E37*12)/$H$2,"-"))</f>
        <v>-</v>
      </c>
      <c r="F35" s="1097"/>
      <c r="G35" s="1080"/>
      <c r="H35" s="1595"/>
      <c r="I35" s="1011" t="str">
        <f>(IF(I$7="SIM",(I15*1000000*I36+I37*12)/$H$2,"-"))</f>
        <v>-</v>
      </c>
      <c r="J35" s="1097"/>
      <c r="K35" s="1080"/>
      <c r="L35" s="1595"/>
      <c r="M35" s="1011" t="str">
        <f>(IF(M$7="SIM",(M15*1000000*M36+M37*12)/$H$2,"-"))</f>
        <v>-</v>
      </c>
      <c r="N35" s="1097"/>
      <c r="O35" s="1080"/>
      <c r="P35" s="1595"/>
      <c r="Q35" s="1011" t="str">
        <f>(IF(Q$7="SIM",(Q15*1000000*Q36+Q37*12)/$H$2,"-"))</f>
        <v>-</v>
      </c>
      <c r="R35" s="1097"/>
      <c r="S35" s="1080"/>
      <c r="T35" s="1595"/>
      <c r="U35" s="1107">
        <f>(IF(U$7="SIM",(U15*1000000*U36+U37*12)/$H$2,"-"))</f>
        <v>6.7292207566027722</v>
      </c>
      <c r="V35" s="1103"/>
      <c r="W35" s="162"/>
      <c r="X35" s="162"/>
      <c r="Y35" s="162"/>
      <c r="Z35" s="162"/>
      <c r="AA35" s="162"/>
      <c r="AB35" s="195"/>
    </row>
    <row r="36" spans="1:28" ht="18" hidden="1" customHeight="1" outlineLevel="1" x14ac:dyDescent="0.35">
      <c r="A36" s="885"/>
      <c r="B36" s="1090" t="s">
        <v>707</v>
      </c>
      <c r="C36" s="1025"/>
      <c r="D36" s="1134"/>
      <c r="E36" s="1561">
        <v>0.01</v>
      </c>
      <c r="F36" s="1515"/>
      <c r="G36" s="1596"/>
      <c r="H36" s="1597"/>
      <c r="I36" s="1561">
        <v>0.01</v>
      </c>
      <c r="J36" s="1515"/>
      <c r="K36" s="1596"/>
      <c r="L36" s="1597"/>
      <c r="M36" s="1561">
        <v>2.5000000000000001E-2</v>
      </c>
      <c r="N36" s="1515"/>
      <c r="O36" s="1596"/>
      <c r="P36" s="1597"/>
      <c r="Q36" s="1561">
        <v>2.5000000000000001E-2</v>
      </c>
      <c r="R36" s="1515"/>
      <c r="S36" s="1596"/>
      <c r="T36" s="1597"/>
      <c r="U36" s="1561">
        <v>2.5000000000000001E-2</v>
      </c>
      <c r="V36" s="1103"/>
      <c r="W36" s="161"/>
      <c r="X36" s="161"/>
      <c r="Y36" s="161"/>
      <c r="Z36" s="161"/>
      <c r="AA36" s="161"/>
      <c r="AB36" s="195"/>
    </row>
    <row r="37" spans="1:28" ht="18" hidden="1" customHeight="1" outlineLevel="1" x14ac:dyDescent="0.35">
      <c r="A37" s="885"/>
      <c r="B37" s="1090" t="s">
        <v>498</v>
      </c>
      <c r="C37" s="1025"/>
      <c r="D37" s="1134"/>
      <c r="E37" s="1542">
        <v>20000</v>
      </c>
      <c r="F37" s="1594"/>
      <c r="G37" s="1540"/>
      <c r="H37" s="1595"/>
      <c r="I37" s="1542">
        <v>20000</v>
      </c>
      <c r="J37" s="1594"/>
      <c r="K37" s="1540"/>
      <c r="L37" s="1595"/>
      <c r="M37" s="1542">
        <v>10000</v>
      </c>
      <c r="N37" s="1594"/>
      <c r="O37" s="1540"/>
      <c r="P37" s="1595"/>
      <c r="Q37" s="1542">
        <v>20000</v>
      </c>
      <c r="R37" s="1594"/>
      <c r="S37" s="1540"/>
      <c r="T37" s="1595"/>
      <c r="U37" s="1542">
        <v>25000</v>
      </c>
      <c r="V37" s="1103"/>
      <c r="W37" s="161"/>
      <c r="X37" s="161"/>
      <c r="Y37" s="161"/>
      <c r="Z37" s="161"/>
      <c r="AA37" s="161"/>
      <c r="AB37" s="195"/>
    </row>
    <row r="38" spans="1:28" ht="20.149999999999999" customHeight="1" collapsed="1" x14ac:dyDescent="0.35">
      <c r="A38" s="888"/>
      <c r="B38" s="1035" t="s">
        <v>695</v>
      </c>
      <c r="C38" s="997"/>
      <c r="D38" s="1593">
        <v>0.25</v>
      </c>
      <c r="E38" s="1011" t="str">
        <f>(IF(E$7="SIM",D38*E39*E40*12/$H$2,"-"))</f>
        <v>-</v>
      </c>
      <c r="F38" s="1097"/>
      <c r="G38" s="1080"/>
      <c r="H38" s="1593">
        <v>0.25</v>
      </c>
      <c r="I38" s="1011" t="str">
        <f>(IF(I$7="SIM",H38*I39*I40*12/$H$2,"-"))</f>
        <v>-</v>
      </c>
      <c r="J38" s="1097"/>
      <c r="K38" s="1080"/>
      <c r="L38" s="1593">
        <v>0.25</v>
      </c>
      <c r="M38" s="1011" t="str">
        <f>(IF(M$7="SIM",L38*M39*M40*12/$H$2,"-"))</f>
        <v>-</v>
      </c>
      <c r="N38" s="1097"/>
      <c r="O38" s="1080"/>
      <c r="P38" s="1593">
        <v>0.25</v>
      </c>
      <c r="Q38" s="1011" t="str">
        <f>(IF(Q$7="SIM",P38*Q39*Q40*12/$H$2,"-"))</f>
        <v>-</v>
      </c>
      <c r="R38" s="1097"/>
      <c r="S38" s="1080"/>
      <c r="T38" s="1593">
        <v>0.25</v>
      </c>
      <c r="U38" s="1107">
        <f>(IF(U$7="SIM",T38*U39*U40*12/$H$2,"-"))</f>
        <v>0.32782340001331234</v>
      </c>
      <c r="V38" s="1103"/>
      <c r="W38" s="162"/>
      <c r="X38" s="162"/>
      <c r="Y38" s="162"/>
      <c r="Z38" s="162"/>
      <c r="AA38" s="162"/>
      <c r="AB38" s="195"/>
    </row>
    <row r="39" spans="1:28" ht="18" hidden="1" customHeight="1" outlineLevel="1" x14ac:dyDescent="0.35">
      <c r="A39" s="885"/>
      <c r="B39" s="1090" t="s">
        <v>693</v>
      </c>
      <c r="C39" s="1040"/>
      <c r="D39" s="1134"/>
      <c r="E39" s="1542">
        <f>'R&amp;C-Painel de Controle'!$D$71</f>
        <v>100000</v>
      </c>
      <c r="F39" s="1587"/>
      <c r="G39" s="1544"/>
      <c r="H39" s="1588"/>
      <c r="I39" s="1542">
        <f>'R&amp;C-Painel de Controle'!$D$71</f>
        <v>100000</v>
      </c>
      <c r="J39" s="1587"/>
      <c r="K39" s="1544"/>
      <c r="L39" s="1588"/>
      <c r="M39" s="1542">
        <f>'R&amp;C-Painel de Controle'!$D$71</f>
        <v>100000</v>
      </c>
      <c r="N39" s="1587"/>
      <c r="O39" s="1544"/>
      <c r="P39" s="1588"/>
      <c r="Q39" s="1542">
        <f>'R&amp;C-Painel de Controle'!$D$71</f>
        <v>100000</v>
      </c>
      <c r="R39" s="1587"/>
      <c r="S39" s="1544"/>
      <c r="T39" s="1588"/>
      <c r="U39" s="1542">
        <f>'R&amp;C-Painel de Controle'!$D$71</f>
        <v>100000</v>
      </c>
      <c r="V39" s="1103"/>
      <c r="W39" s="161"/>
      <c r="X39" s="161"/>
      <c r="Y39" s="161"/>
      <c r="Z39" s="161"/>
      <c r="AA39" s="161"/>
      <c r="AB39" s="195"/>
    </row>
    <row r="40" spans="1:28" ht="18" hidden="1" customHeight="1" outlineLevel="1" x14ac:dyDescent="0.35">
      <c r="A40" s="888"/>
      <c r="B40" s="1090" t="s">
        <v>435</v>
      </c>
      <c r="C40" s="1040"/>
      <c r="D40" s="1134"/>
      <c r="E40" s="1525">
        <v>0.2</v>
      </c>
      <c r="F40" s="1587"/>
      <c r="G40" s="1544"/>
      <c r="H40" s="1588"/>
      <c r="I40" s="1525">
        <v>0.2</v>
      </c>
      <c r="J40" s="1587"/>
      <c r="K40" s="1544"/>
      <c r="L40" s="1588"/>
      <c r="M40" s="1525">
        <v>0.2</v>
      </c>
      <c r="N40" s="1587"/>
      <c r="O40" s="1544"/>
      <c r="P40" s="1588"/>
      <c r="Q40" s="1525">
        <v>0.25</v>
      </c>
      <c r="R40" s="1587"/>
      <c r="S40" s="1544"/>
      <c r="T40" s="1588"/>
      <c r="U40" s="1525">
        <v>0.25</v>
      </c>
      <c r="V40" s="1103"/>
      <c r="W40" s="162"/>
      <c r="X40" s="162"/>
      <c r="Y40" s="162"/>
      <c r="Z40" s="162"/>
      <c r="AA40" s="162"/>
      <c r="AB40" s="195"/>
    </row>
    <row r="41" spans="1:28" ht="20.149999999999999" customHeight="1" x14ac:dyDescent="0.35">
      <c r="A41" s="888"/>
      <c r="B41" s="1035" t="s">
        <v>441</v>
      </c>
      <c r="C41" s="997"/>
      <c r="D41" s="1134"/>
      <c r="E41" s="1598" t="str">
        <f>(IF(E$7="SIM",10+0.25*'R&amp;C-Painel de Controle'!$D$75+0.025*'R&amp;C-Painel de Controle'!$D$74,"-"))</f>
        <v>-</v>
      </c>
      <c r="F41" s="1097"/>
      <c r="G41" s="1080"/>
      <c r="H41" s="1595"/>
      <c r="I41" s="1598" t="str">
        <f>(IF(I$7="SIM",7.5+0.25*'R&amp;C-Painel de Controle'!$D$75+0.025*'R&amp;C-Painel de Controle'!$D$74,"-"))</f>
        <v>-</v>
      </c>
      <c r="J41" s="1097"/>
      <c r="K41" s="1080"/>
      <c r="L41" s="1595"/>
      <c r="M41" s="1598" t="str">
        <f>(IF(M$7="SIM",10+0.25*'R&amp;C-Painel de Controle'!$D$75+0.025*'R&amp;C-Painel de Controle'!$D$74,"-"))</f>
        <v>-</v>
      </c>
      <c r="N41" s="1097"/>
      <c r="O41" s="1080"/>
      <c r="P41" s="1595"/>
      <c r="Q41" s="1598" t="str">
        <f>(IF(Q$7="SIM",10+0.25*'R&amp;C-Painel de Controle'!$D$75+0.025*'R&amp;C-Painel de Controle'!$D$74,"-"))</f>
        <v>-</v>
      </c>
      <c r="R41" s="1097"/>
      <c r="S41" s="1080"/>
      <c r="T41" s="1595"/>
      <c r="U41" s="1599">
        <f>(IF(U$7="SIM",10+0.25*'R&amp;C-Painel de Controle'!$D$75+0.025*'R&amp;C-Painel de Controle'!$D$74,"-"))</f>
        <v>11.625</v>
      </c>
      <c r="V41" s="1103"/>
      <c r="W41" s="162"/>
      <c r="X41" s="162"/>
      <c r="Y41" s="162"/>
      <c r="Z41" s="162"/>
      <c r="AA41" s="162"/>
      <c r="AB41" s="195"/>
    </row>
    <row r="42" spans="1:28" s="1006" customFormat="1" ht="25.15" customHeight="1" x14ac:dyDescent="0.45">
      <c r="A42" s="1159"/>
      <c r="B42" s="1091" t="s">
        <v>437</v>
      </c>
      <c r="C42" s="1026"/>
      <c r="D42" s="1593">
        <v>0.05</v>
      </c>
      <c r="E42" s="1011" t="str">
        <f>(IF(E$7="SIM",(E27+E32+E35+E38+E41)*(1+D42),"-"))</f>
        <v>-</v>
      </c>
      <c r="F42" s="1097"/>
      <c r="G42" s="1080"/>
      <c r="H42" s="1593">
        <v>0.05</v>
      </c>
      <c r="I42" s="1011" t="str">
        <f>(IF(I$7="SIM",(I27+I32+I35+I38+I41)*(1+H42),"-"))</f>
        <v>-</v>
      </c>
      <c r="J42" s="1097"/>
      <c r="K42" s="1080"/>
      <c r="L42" s="1593">
        <v>0.05</v>
      </c>
      <c r="M42" s="1011" t="str">
        <f>(IF(M$7="SIM",(M27+M32+M35+M38+M41)*(1+L42),"-"))</f>
        <v>-</v>
      </c>
      <c r="N42" s="1097"/>
      <c r="O42" s="1080"/>
      <c r="P42" s="1593">
        <v>0.05</v>
      </c>
      <c r="Q42" s="1011" t="str">
        <f>(IF(Q$7="SIM",(Q27+Q32+Q35+Q38+Q41)*(1+P42),"-"))</f>
        <v>-</v>
      </c>
      <c r="R42" s="1097"/>
      <c r="S42" s="1080"/>
      <c r="T42" s="1593">
        <v>0.05</v>
      </c>
      <c r="U42" s="1012">
        <f>(IF(U$7="SIM",(U27+U32+U35+U38+U41)*(1+T42),"-"))</f>
        <v>29.900410856680175</v>
      </c>
      <c r="V42" s="1103"/>
      <c r="W42" s="1005"/>
      <c r="X42" s="1005"/>
      <c r="Y42" s="1005"/>
      <c r="Z42" s="1005"/>
      <c r="AA42" s="1005"/>
    </row>
    <row r="43" spans="1:28" s="1006" customFormat="1" ht="25.15" customHeight="1" x14ac:dyDescent="0.45">
      <c r="A43" s="1159"/>
      <c r="B43" s="1091" t="s">
        <v>438</v>
      </c>
      <c r="C43" s="1026"/>
      <c r="D43" s="1098"/>
      <c r="E43" s="1010" t="str">
        <f>(IF(E$7="SIM",E42*$H$2/1000000,"-"))</f>
        <v>-</v>
      </c>
      <c r="F43" s="1099"/>
      <c r="G43" s="1026"/>
      <c r="H43" s="1098"/>
      <c r="I43" s="1010" t="str">
        <f>(IF(I$7="SIM",I42*$H$2/1000000,"-"))</f>
        <v>-</v>
      </c>
      <c r="J43" s="1099"/>
      <c r="K43" s="1026"/>
      <c r="L43" s="1098"/>
      <c r="M43" s="1010" t="str">
        <f>(IF(M$7="SIM",M42*$H$2/1000000,"-"))</f>
        <v>-</v>
      </c>
      <c r="N43" s="1099"/>
      <c r="O43" s="1026"/>
      <c r="P43" s="1134"/>
      <c r="Q43" s="1010" t="str">
        <f>(IF(Q$7="SIM",Q42*$H$2/1000000,"-"))</f>
        <v>-</v>
      </c>
      <c r="R43" s="1099"/>
      <c r="S43" s="1026"/>
      <c r="T43" s="1098"/>
      <c r="U43" s="979">
        <f>(IF(U$7="SIM",U42*$H$2/1000000,"-"))</f>
        <v>6.8406673048963196</v>
      </c>
      <c r="V43" s="1099"/>
      <c r="W43" s="1005"/>
      <c r="X43" s="1005"/>
      <c r="Y43" s="1005"/>
      <c r="Z43" s="1005"/>
      <c r="AA43" s="1005"/>
    </row>
    <row r="44" spans="1:28" s="817" customFormat="1" ht="20.149999999999999" customHeight="1" x14ac:dyDescent="0.35">
      <c r="A44" s="1160"/>
      <c r="B44" s="1092" t="s">
        <v>439</v>
      </c>
      <c r="C44" s="997"/>
      <c r="D44" s="1098"/>
      <c r="E44" s="1010" t="str">
        <f>(IF(E$7="SIM",(((E27*$H$2/12)+(E34/1000*'R&amp;C-Painel de Controle'!$D$70*12)+(E37*12)+(E39*E40*12))/1000000),"-"))</f>
        <v>-</v>
      </c>
      <c r="F44" s="1099"/>
      <c r="G44" s="1026"/>
      <c r="H44" s="1098"/>
      <c r="I44" s="1010" t="str">
        <f>(IF(I$7="SIM",(((I27*$H$2/12)+(I34/1000*'R&amp;C-Painel de Controle'!$D$70*12)+(I37*12)+(I39*I40*12))/1000000),"-"))</f>
        <v>-</v>
      </c>
      <c r="J44" s="1099"/>
      <c r="K44" s="1026"/>
      <c r="L44" s="1098"/>
      <c r="M44" s="1010" t="str">
        <f>(IF(M$7="SIM",(((M27*$H$2/12)+(M34/1000*'R&amp;C-Painel de Controle'!$D$70*12)+(M37*12)+(M39*M40*12))/1000000),"-"))</f>
        <v>-</v>
      </c>
      <c r="N44" s="1099"/>
      <c r="O44" s="1026"/>
      <c r="P44" s="1098"/>
      <c r="Q44" s="1010" t="str">
        <f>(IF(Q$7="SIM",(((Q27*$H$2/12)+(Q34/1000*'R&amp;C-Painel de Controle'!$D$70*12)+(Q37*12)+(Q39*Q40*12))/1000000),"-"))</f>
        <v>-</v>
      </c>
      <c r="R44" s="1099"/>
      <c r="S44" s="1026"/>
      <c r="T44" s="1098"/>
      <c r="U44" s="979">
        <f>(IF(U$7="SIM",(((U27*$H$2/12)+(U34/1000*'R&amp;C-Painel de Controle'!$D$70*12)+(U37*12)+(U39*U40*12))/1000000),"-"))</f>
        <v>0.80435430456000001</v>
      </c>
      <c r="V44" s="1099"/>
      <c r="W44" s="43"/>
      <c r="X44" s="43"/>
      <c r="Y44" s="43"/>
      <c r="Z44" s="43"/>
      <c r="AA44" s="43"/>
    </row>
    <row r="45" spans="1:28" s="817" customFormat="1" ht="20.149999999999999" customHeight="1" thickBot="1" x14ac:dyDescent="0.4">
      <c r="A45" s="1160"/>
      <c r="B45" s="1093" t="s">
        <v>440</v>
      </c>
      <c r="C45" s="997"/>
      <c r="D45" s="1600"/>
      <c r="E45" s="1601" t="str">
        <f>(IF(E$7="SIM",((E43-E44)*1000000)/$H$2,"-"))</f>
        <v>-</v>
      </c>
      <c r="F45" s="1602"/>
      <c r="G45" s="1026"/>
      <c r="H45" s="1600"/>
      <c r="I45" s="1601" t="str">
        <f>(IF(I$7="SIM",((I43-I44)*1000000)/$H$2,"-"))</f>
        <v>-</v>
      </c>
      <c r="J45" s="1602"/>
      <c r="K45" s="1026"/>
      <c r="L45" s="1600"/>
      <c r="M45" s="1601" t="str">
        <f>(IF(M$7="SIM",((M43-M44)*1000000)/$H$2,"-"))</f>
        <v>-</v>
      </c>
      <c r="N45" s="1602"/>
      <c r="O45" s="1026"/>
      <c r="P45" s="1600"/>
      <c r="Q45" s="1601" t="str">
        <f>(IF(Q$7="SIM",((Q43-Q44)*1000000)/$H$2,"-"))</f>
        <v>-</v>
      </c>
      <c r="R45" s="1602"/>
      <c r="S45" s="1026"/>
      <c r="T45" s="1600"/>
      <c r="U45" s="1603">
        <f>(IF(U$7="SIM",((U43-U44)*1000000)/$H$2,"-"))</f>
        <v>26.384595350864142</v>
      </c>
      <c r="V45" s="1602"/>
      <c r="W45" s="43"/>
      <c r="X45" s="43"/>
      <c r="Y45" s="43"/>
      <c r="Z45" s="43"/>
      <c r="AA45" s="43"/>
    </row>
    <row r="46" spans="1:28" ht="14.25" customHeight="1" thickTop="1" x14ac:dyDescent="0.35">
      <c r="A46" s="37"/>
      <c r="B46" s="47"/>
      <c r="C46" s="37"/>
      <c r="D46" s="37"/>
      <c r="E46" s="37"/>
      <c r="F46" s="37"/>
      <c r="G46" s="37"/>
      <c r="H46" s="37"/>
      <c r="I46" s="37"/>
      <c r="J46" s="37"/>
      <c r="K46" s="37"/>
      <c r="L46" s="37"/>
      <c r="M46" s="37"/>
      <c r="N46" s="37"/>
      <c r="O46" s="37"/>
      <c r="P46" s="37"/>
      <c r="Q46" s="37"/>
      <c r="R46" s="37"/>
      <c r="S46" s="37"/>
      <c r="T46" s="37"/>
      <c r="U46" s="37"/>
      <c r="V46" s="37"/>
      <c r="W46" s="37"/>
      <c r="X46" s="37"/>
      <c r="Y46" s="37"/>
      <c r="Z46" s="37"/>
      <c r="AA46" s="37"/>
    </row>
    <row r="47" spans="1:28" ht="14.25" customHeight="1" x14ac:dyDescent="0.35">
      <c r="A47" s="37"/>
      <c r="B47" s="47"/>
      <c r="C47" s="37"/>
      <c r="D47" s="37"/>
      <c r="E47" s="37"/>
      <c r="F47" s="37"/>
      <c r="G47" s="37"/>
      <c r="H47" s="37"/>
      <c r="I47" s="37"/>
      <c r="J47" s="37"/>
      <c r="K47" s="37"/>
      <c r="L47" s="37"/>
      <c r="M47" s="37"/>
      <c r="N47" s="37"/>
      <c r="O47" s="37"/>
      <c r="P47" s="37"/>
      <c r="Q47" s="37"/>
      <c r="R47" s="37"/>
      <c r="S47" s="37"/>
      <c r="T47" s="37"/>
      <c r="U47" s="37"/>
      <c r="V47" s="37"/>
      <c r="W47" s="37"/>
      <c r="X47" s="37"/>
      <c r="Y47" s="37"/>
      <c r="Z47" s="37"/>
      <c r="AA47" s="37"/>
    </row>
    <row r="48" spans="1:28" ht="14.25" customHeight="1" x14ac:dyDescent="0.35">
      <c r="A48" s="37"/>
      <c r="B48" s="47"/>
      <c r="C48" s="37"/>
      <c r="D48" s="37"/>
      <c r="E48" s="37"/>
      <c r="F48" s="37"/>
      <c r="G48" s="37"/>
      <c r="H48" s="37"/>
      <c r="I48" s="37"/>
      <c r="J48" s="37"/>
      <c r="K48" s="37"/>
      <c r="L48" s="37"/>
      <c r="M48" s="37"/>
      <c r="N48" s="37"/>
      <c r="O48" s="37"/>
      <c r="P48" s="37"/>
      <c r="Q48" s="37"/>
      <c r="R48" s="37"/>
      <c r="S48" s="37"/>
      <c r="T48" s="37"/>
      <c r="U48" s="37"/>
      <c r="V48" s="37"/>
      <c r="W48" s="37"/>
      <c r="X48" s="37"/>
      <c r="Y48" s="37"/>
      <c r="Z48" s="37"/>
      <c r="AA48" s="37"/>
    </row>
    <row r="49" spans="1:27" ht="14.25" customHeight="1" x14ac:dyDescent="0.35">
      <c r="A49" s="37"/>
      <c r="B49" s="47"/>
      <c r="C49" s="37"/>
      <c r="D49" s="37"/>
      <c r="E49" s="37"/>
      <c r="F49" s="37"/>
      <c r="G49" s="37"/>
      <c r="H49" s="37"/>
      <c r="I49" s="37"/>
      <c r="J49" s="37"/>
      <c r="K49" s="37"/>
      <c r="L49" s="37"/>
      <c r="M49" s="37"/>
      <c r="N49" s="37"/>
      <c r="O49" s="37"/>
      <c r="P49" s="37"/>
      <c r="Q49" s="37"/>
      <c r="R49" s="37"/>
      <c r="S49" s="37"/>
      <c r="T49" s="37"/>
      <c r="U49" s="37"/>
      <c r="V49" s="37"/>
      <c r="W49" s="37"/>
      <c r="X49" s="37"/>
      <c r="Y49" s="37"/>
      <c r="Z49" s="37"/>
      <c r="AA49" s="37"/>
    </row>
    <row r="50" spans="1:27" ht="14.25" customHeight="1" x14ac:dyDescent="0.35">
      <c r="A50" s="37"/>
      <c r="B50" s="47"/>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spans="1:27" ht="14.25" customHeight="1" x14ac:dyDescent="0.35">
      <c r="A51" s="37"/>
      <c r="B51" s="47"/>
      <c r="C51" s="37"/>
      <c r="D51" s="37"/>
      <c r="E51" s="37"/>
      <c r="F51" s="37"/>
      <c r="G51" s="37"/>
      <c r="H51" s="37"/>
      <c r="I51" s="37"/>
      <c r="J51" s="37"/>
      <c r="K51" s="37"/>
      <c r="L51" s="37"/>
      <c r="M51" s="37"/>
      <c r="N51" s="37"/>
      <c r="O51" s="37"/>
      <c r="P51" s="37"/>
      <c r="Q51" s="37"/>
      <c r="R51" s="37"/>
      <c r="S51" s="37"/>
      <c r="T51" s="37"/>
      <c r="U51" s="37"/>
      <c r="V51" s="37"/>
      <c r="W51" s="37"/>
      <c r="X51" s="37"/>
      <c r="Y51" s="37"/>
      <c r="Z51" s="37"/>
      <c r="AA51" s="37"/>
    </row>
    <row r="52" spans="1:27" ht="14.25" customHeight="1" x14ac:dyDescent="0.35">
      <c r="A52" s="37"/>
      <c r="B52" s="47"/>
      <c r="C52" s="37"/>
      <c r="D52" s="37"/>
      <c r="E52" s="37"/>
      <c r="F52" s="37"/>
      <c r="G52" s="37"/>
      <c r="H52" s="37"/>
      <c r="I52" s="37"/>
      <c r="J52" s="37"/>
      <c r="K52" s="37"/>
      <c r="L52" s="37"/>
      <c r="M52" s="37"/>
      <c r="N52" s="37"/>
      <c r="O52" s="37"/>
      <c r="P52" s="37"/>
      <c r="Q52" s="37"/>
      <c r="R52" s="37"/>
      <c r="S52" s="37"/>
      <c r="T52" s="37"/>
      <c r="U52" s="37"/>
      <c r="V52" s="37"/>
      <c r="W52" s="37"/>
      <c r="X52" s="37"/>
      <c r="Y52" s="37"/>
      <c r="Z52" s="37"/>
      <c r="AA52" s="37"/>
    </row>
    <row r="53" spans="1:27" ht="14.25" customHeight="1" x14ac:dyDescent="0.35">
      <c r="A53" s="37"/>
      <c r="B53" s="47"/>
      <c r="C53" s="37"/>
      <c r="D53" s="37"/>
      <c r="E53" s="37"/>
      <c r="F53" s="37"/>
      <c r="G53" s="37"/>
      <c r="H53" s="37"/>
      <c r="I53" s="37"/>
      <c r="J53" s="37"/>
      <c r="K53" s="37"/>
      <c r="L53" s="37"/>
      <c r="M53" s="37"/>
      <c r="N53" s="37"/>
      <c r="O53" s="37"/>
      <c r="P53" s="37"/>
      <c r="Q53" s="37"/>
      <c r="R53" s="37"/>
      <c r="S53" s="37"/>
      <c r="T53" s="37"/>
      <c r="U53" s="37"/>
      <c r="V53" s="37"/>
      <c r="W53" s="37"/>
      <c r="X53" s="37"/>
      <c r="Y53" s="37"/>
      <c r="Z53" s="37"/>
      <c r="AA53" s="37"/>
    </row>
    <row r="54" spans="1:27" ht="14.25" customHeight="1" x14ac:dyDescent="0.35">
      <c r="A54" s="37"/>
      <c r="B54" s="47"/>
      <c r="C54" s="37"/>
      <c r="D54" s="37"/>
      <c r="E54" s="37"/>
      <c r="F54" s="37"/>
      <c r="G54" s="37"/>
      <c r="H54" s="37"/>
      <c r="I54" s="37"/>
      <c r="J54" s="37"/>
      <c r="K54" s="37"/>
      <c r="L54" s="37"/>
      <c r="M54" s="37"/>
      <c r="N54" s="37"/>
      <c r="O54" s="37"/>
      <c r="P54" s="37"/>
      <c r="Q54" s="37"/>
      <c r="R54" s="37"/>
      <c r="S54" s="37"/>
      <c r="T54" s="37"/>
      <c r="U54" s="37"/>
      <c r="V54" s="37"/>
      <c r="W54" s="37"/>
      <c r="X54" s="37"/>
      <c r="Y54" s="37"/>
      <c r="Z54" s="37"/>
      <c r="AA54" s="37"/>
    </row>
    <row r="55" spans="1:27" ht="14.25" customHeight="1" x14ac:dyDescent="0.35">
      <c r="A55" s="37"/>
      <c r="B55" s="47"/>
      <c r="C55" s="37"/>
      <c r="D55" s="37"/>
      <c r="E55" s="37"/>
      <c r="F55" s="37"/>
      <c r="G55" s="37"/>
      <c r="H55" s="37"/>
      <c r="I55" s="37"/>
      <c r="J55" s="37"/>
      <c r="K55" s="37"/>
      <c r="L55" s="37"/>
      <c r="M55" s="37"/>
      <c r="N55" s="37"/>
      <c r="O55" s="37"/>
      <c r="P55" s="37"/>
      <c r="Q55" s="37"/>
      <c r="R55" s="37"/>
      <c r="S55" s="37"/>
      <c r="T55" s="37"/>
      <c r="U55" s="37"/>
      <c r="V55" s="37"/>
      <c r="W55" s="37"/>
      <c r="X55" s="37"/>
      <c r="Y55" s="37"/>
      <c r="Z55" s="37"/>
      <c r="AA55" s="37"/>
    </row>
    <row r="56" spans="1:27" ht="14.25" customHeight="1" x14ac:dyDescent="0.35">
      <c r="A56" s="37"/>
      <c r="B56" s="47"/>
      <c r="C56" s="37"/>
      <c r="D56" s="37"/>
      <c r="E56" s="37"/>
      <c r="F56" s="37"/>
      <c r="G56" s="37"/>
      <c r="H56" s="37"/>
      <c r="I56" s="37"/>
      <c r="J56" s="37"/>
      <c r="K56" s="37"/>
      <c r="L56" s="37"/>
      <c r="M56" s="37"/>
      <c r="N56" s="37"/>
      <c r="O56" s="37"/>
      <c r="P56" s="37"/>
      <c r="Q56" s="37"/>
      <c r="R56" s="37"/>
      <c r="S56" s="37"/>
      <c r="T56" s="37"/>
      <c r="U56" s="37"/>
      <c r="V56" s="37"/>
      <c r="W56" s="37"/>
      <c r="X56" s="37"/>
      <c r="Y56" s="37"/>
      <c r="Z56" s="37"/>
      <c r="AA56" s="37"/>
    </row>
    <row r="57" spans="1:27" ht="14.25" customHeight="1" x14ac:dyDescent="0.35">
      <c r="A57" s="37"/>
      <c r="B57" s="47"/>
      <c r="C57" s="37"/>
      <c r="D57" s="37"/>
      <c r="E57" s="37"/>
      <c r="F57" s="37"/>
      <c r="G57" s="37"/>
      <c r="H57" s="37"/>
      <c r="I57" s="37"/>
      <c r="J57" s="37"/>
      <c r="K57" s="37"/>
      <c r="L57" s="37"/>
      <c r="M57" s="37"/>
      <c r="N57" s="37"/>
      <c r="O57" s="37"/>
      <c r="P57" s="37"/>
      <c r="Q57" s="37"/>
      <c r="R57" s="37"/>
      <c r="S57" s="37"/>
      <c r="T57" s="37"/>
      <c r="U57" s="37"/>
      <c r="V57" s="37"/>
      <c r="W57" s="37"/>
      <c r="X57" s="37"/>
      <c r="Y57" s="37"/>
      <c r="Z57" s="37"/>
      <c r="AA57" s="37"/>
    </row>
    <row r="58" spans="1:27" ht="14.25" customHeight="1" x14ac:dyDescent="0.35">
      <c r="A58" s="37"/>
      <c r="B58" s="47"/>
      <c r="C58" s="37"/>
      <c r="D58" s="37"/>
      <c r="E58" s="37"/>
      <c r="F58" s="37"/>
      <c r="G58" s="37"/>
      <c r="H58" s="37"/>
      <c r="I58" s="37"/>
      <c r="J58" s="37"/>
      <c r="K58" s="37"/>
      <c r="L58" s="37"/>
      <c r="M58" s="37"/>
      <c r="N58" s="37"/>
      <c r="O58" s="37"/>
      <c r="P58" s="37"/>
      <c r="Q58" s="37"/>
      <c r="R58" s="37"/>
      <c r="S58" s="37"/>
      <c r="T58" s="37"/>
      <c r="U58" s="37"/>
      <c r="V58" s="37"/>
      <c r="W58" s="37"/>
      <c r="X58" s="37"/>
      <c r="Y58" s="37"/>
      <c r="Z58" s="37"/>
      <c r="AA58" s="37"/>
    </row>
    <row r="59" spans="1:27" ht="14.25" customHeight="1" x14ac:dyDescent="0.35">
      <c r="A59" s="37"/>
      <c r="B59" s="47"/>
      <c r="C59" s="37"/>
      <c r="D59" s="37"/>
      <c r="E59" s="37"/>
      <c r="F59" s="37"/>
      <c r="G59" s="37"/>
      <c r="H59" s="37"/>
      <c r="I59" s="37"/>
      <c r="J59" s="37"/>
      <c r="K59" s="37"/>
      <c r="L59" s="37"/>
      <c r="M59" s="37"/>
      <c r="N59" s="37"/>
      <c r="O59" s="37"/>
      <c r="P59" s="37"/>
      <c r="Q59" s="37"/>
      <c r="R59" s="37"/>
      <c r="S59" s="37"/>
      <c r="T59" s="37"/>
      <c r="U59" s="37"/>
      <c r="V59" s="37"/>
      <c r="W59" s="37"/>
      <c r="X59" s="37"/>
      <c r="Y59" s="37"/>
      <c r="Z59" s="37"/>
      <c r="AA59" s="37"/>
    </row>
    <row r="60" spans="1:27" ht="14.25" customHeight="1" x14ac:dyDescent="0.35">
      <c r="A60" s="37"/>
      <c r="B60" s="47"/>
      <c r="C60" s="37"/>
      <c r="D60" s="37"/>
      <c r="E60" s="37"/>
      <c r="F60" s="37"/>
      <c r="G60" s="37"/>
      <c r="H60" s="37"/>
      <c r="I60" s="37"/>
      <c r="J60" s="37"/>
      <c r="K60" s="37"/>
      <c r="L60" s="37"/>
      <c r="M60" s="37"/>
      <c r="N60" s="37"/>
      <c r="O60" s="37"/>
      <c r="P60" s="37"/>
      <c r="Q60" s="37"/>
      <c r="R60" s="37"/>
      <c r="S60" s="37"/>
      <c r="T60" s="37"/>
      <c r="U60" s="37"/>
      <c r="V60" s="37"/>
      <c r="W60" s="37"/>
      <c r="X60" s="37"/>
      <c r="Y60" s="37"/>
      <c r="Z60" s="37"/>
      <c r="AA60" s="37"/>
    </row>
    <row r="61" spans="1:27" ht="14.25" customHeight="1" x14ac:dyDescent="0.35">
      <c r="A61" s="37"/>
      <c r="B61" s="47"/>
      <c r="C61" s="37"/>
      <c r="D61" s="37"/>
      <c r="E61" s="37"/>
      <c r="F61" s="37"/>
      <c r="G61" s="37"/>
      <c r="H61" s="37"/>
      <c r="I61" s="37"/>
      <c r="J61" s="37"/>
      <c r="K61" s="37"/>
      <c r="L61" s="37"/>
      <c r="M61" s="37"/>
      <c r="N61" s="37"/>
      <c r="O61" s="37"/>
      <c r="P61" s="37"/>
      <c r="Q61" s="37"/>
      <c r="R61" s="37"/>
      <c r="S61" s="37"/>
      <c r="T61" s="37"/>
      <c r="U61" s="37"/>
      <c r="V61" s="37"/>
      <c r="W61" s="37"/>
      <c r="X61" s="37"/>
      <c r="Y61" s="37"/>
      <c r="Z61" s="37"/>
      <c r="AA61" s="37"/>
    </row>
    <row r="62" spans="1:27" ht="14.25" customHeight="1" x14ac:dyDescent="0.35">
      <c r="A62" s="37"/>
      <c r="B62" s="47"/>
      <c r="C62" s="37"/>
      <c r="D62" s="37"/>
      <c r="E62" s="37"/>
      <c r="F62" s="37"/>
      <c r="G62" s="37"/>
      <c r="H62" s="37"/>
      <c r="I62" s="37"/>
      <c r="J62" s="37"/>
      <c r="K62" s="37"/>
      <c r="L62" s="37"/>
      <c r="M62" s="37"/>
      <c r="N62" s="37"/>
      <c r="O62" s="37"/>
      <c r="P62" s="37"/>
      <c r="Q62" s="37"/>
      <c r="R62" s="37"/>
      <c r="S62" s="37"/>
      <c r="T62" s="37"/>
      <c r="U62" s="37"/>
      <c r="V62" s="37"/>
      <c r="W62" s="37"/>
      <c r="X62" s="37"/>
      <c r="Y62" s="37"/>
      <c r="Z62" s="37"/>
      <c r="AA62" s="37"/>
    </row>
    <row r="63" spans="1:27" ht="14.25" customHeight="1" x14ac:dyDescent="0.35">
      <c r="A63" s="37"/>
      <c r="B63" s="47"/>
      <c r="C63" s="37"/>
      <c r="D63" s="37"/>
      <c r="E63" s="37"/>
      <c r="F63" s="37"/>
      <c r="G63" s="37"/>
      <c r="H63" s="37"/>
      <c r="I63" s="37"/>
      <c r="J63" s="37"/>
      <c r="K63" s="37"/>
      <c r="L63" s="37"/>
      <c r="M63" s="37"/>
      <c r="N63" s="37"/>
      <c r="O63" s="37"/>
      <c r="P63" s="37"/>
      <c r="Q63" s="37"/>
      <c r="R63" s="37"/>
      <c r="S63" s="37"/>
      <c r="T63" s="37"/>
      <c r="U63" s="37"/>
      <c r="V63" s="37"/>
      <c r="W63" s="37"/>
      <c r="X63" s="37"/>
      <c r="Y63" s="37"/>
      <c r="Z63" s="37"/>
      <c r="AA63" s="37"/>
    </row>
    <row r="64" spans="1:27" ht="14.25" customHeight="1" x14ac:dyDescent="0.35">
      <c r="A64" s="37"/>
      <c r="B64" s="47"/>
      <c r="C64" s="37"/>
      <c r="D64" s="37"/>
      <c r="E64" s="37"/>
      <c r="F64" s="37"/>
      <c r="G64" s="37"/>
      <c r="H64" s="37"/>
      <c r="I64" s="37"/>
      <c r="J64" s="37"/>
      <c r="K64" s="37"/>
      <c r="L64" s="37"/>
      <c r="M64" s="37"/>
      <c r="N64" s="37"/>
      <c r="O64" s="37"/>
      <c r="P64" s="37"/>
      <c r="Q64" s="37"/>
      <c r="R64" s="37"/>
      <c r="S64" s="37"/>
      <c r="T64" s="37"/>
      <c r="U64" s="37"/>
      <c r="V64" s="37"/>
      <c r="W64" s="37"/>
      <c r="X64" s="37"/>
      <c r="Y64" s="37"/>
      <c r="Z64" s="37"/>
      <c r="AA64" s="37"/>
    </row>
    <row r="65" spans="1:27" ht="14.25" customHeight="1" x14ac:dyDescent="0.35">
      <c r="A65" s="37"/>
      <c r="B65" s="47"/>
      <c r="C65" s="37"/>
      <c r="D65" s="37"/>
      <c r="E65" s="37"/>
      <c r="F65" s="37"/>
      <c r="G65" s="37"/>
      <c r="H65" s="37"/>
      <c r="I65" s="37"/>
      <c r="J65" s="37"/>
      <c r="K65" s="37"/>
      <c r="L65" s="37"/>
      <c r="M65" s="37"/>
      <c r="N65" s="37"/>
      <c r="O65" s="37"/>
      <c r="P65" s="37"/>
      <c r="Q65" s="37"/>
      <c r="R65" s="37"/>
      <c r="S65" s="37"/>
      <c r="T65" s="37"/>
      <c r="U65" s="37"/>
      <c r="V65" s="37"/>
      <c r="W65" s="37"/>
      <c r="X65" s="37"/>
      <c r="Y65" s="37"/>
      <c r="Z65" s="37"/>
      <c r="AA65" s="37"/>
    </row>
    <row r="66" spans="1:27" ht="14.25" customHeight="1" x14ac:dyDescent="0.35">
      <c r="A66" s="37"/>
      <c r="B66" s="47"/>
      <c r="C66" s="37"/>
      <c r="D66" s="37"/>
      <c r="E66" s="37"/>
      <c r="F66" s="37"/>
      <c r="G66" s="37"/>
      <c r="H66" s="37"/>
      <c r="I66" s="37"/>
      <c r="J66" s="37"/>
      <c r="K66" s="37"/>
      <c r="L66" s="37"/>
      <c r="M66" s="37"/>
      <c r="N66" s="37"/>
      <c r="O66" s="37"/>
      <c r="P66" s="37"/>
      <c r="Q66" s="37"/>
      <c r="R66" s="37"/>
      <c r="S66" s="37"/>
      <c r="T66" s="37"/>
      <c r="U66" s="37"/>
      <c r="V66" s="37"/>
      <c r="W66" s="37"/>
      <c r="X66" s="37"/>
      <c r="Y66" s="37"/>
      <c r="Z66" s="37"/>
      <c r="AA66" s="37"/>
    </row>
    <row r="67" spans="1:27" ht="14.25" customHeight="1" x14ac:dyDescent="0.35">
      <c r="A67" s="37"/>
      <c r="B67" s="47"/>
      <c r="C67" s="37"/>
      <c r="D67" s="37"/>
      <c r="E67" s="37"/>
      <c r="F67" s="37"/>
      <c r="G67" s="37"/>
      <c r="H67" s="37"/>
      <c r="I67" s="37"/>
      <c r="J67" s="37"/>
      <c r="K67" s="37"/>
      <c r="L67" s="37"/>
      <c r="M67" s="37"/>
      <c r="N67" s="37"/>
      <c r="O67" s="37"/>
      <c r="P67" s="37"/>
      <c r="Q67" s="37"/>
      <c r="R67" s="37"/>
      <c r="S67" s="37"/>
      <c r="T67" s="37"/>
      <c r="U67" s="37"/>
      <c r="V67" s="37"/>
      <c r="W67" s="37"/>
      <c r="X67" s="37"/>
      <c r="Y67" s="37"/>
      <c r="Z67" s="37"/>
      <c r="AA67" s="37"/>
    </row>
    <row r="68" spans="1:27" ht="14.25" customHeight="1" x14ac:dyDescent="0.35">
      <c r="A68" s="37"/>
      <c r="B68" s="47"/>
      <c r="C68" s="37"/>
      <c r="D68" s="37"/>
      <c r="E68" s="37"/>
      <c r="F68" s="37"/>
      <c r="G68" s="37"/>
      <c r="H68" s="37"/>
      <c r="I68" s="37"/>
      <c r="J68" s="37"/>
      <c r="K68" s="37"/>
      <c r="L68" s="37"/>
      <c r="M68" s="37"/>
      <c r="N68" s="37"/>
      <c r="O68" s="37"/>
      <c r="P68" s="37"/>
      <c r="Q68" s="37"/>
      <c r="R68" s="37"/>
      <c r="S68" s="37"/>
      <c r="T68" s="37"/>
      <c r="U68" s="37"/>
      <c r="V68" s="37"/>
      <c r="W68" s="37"/>
      <c r="X68" s="37"/>
      <c r="Y68" s="37"/>
      <c r="Z68" s="37"/>
      <c r="AA68" s="37"/>
    </row>
    <row r="69" spans="1:27" ht="14.25" customHeight="1" x14ac:dyDescent="0.35">
      <c r="A69" s="37"/>
      <c r="B69" s="47"/>
      <c r="C69" s="37"/>
      <c r="D69" s="37"/>
      <c r="E69" s="37"/>
      <c r="F69" s="37"/>
      <c r="G69" s="37"/>
      <c r="H69" s="37"/>
      <c r="I69" s="37"/>
      <c r="J69" s="37"/>
      <c r="K69" s="37"/>
      <c r="L69" s="37"/>
      <c r="M69" s="37"/>
      <c r="N69" s="37"/>
      <c r="O69" s="37"/>
      <c r="P69" s="37"/>
      <c r="Q69" s="37"/>
      <c r="R69" s="37"/>
      <c r="S69" s="37"/>
      <c r="T69" s="37"/>
      <c r="U69" s="37"/>
      <c r="V69" s="37"/>
      <c r="W69" s="37"/>
      <c r="X69" s="37"/>
      <c r="Y69" s="37"/>
      <c r="Z69" s="37"/>
      <c r="AA69" s="37"/>
    </row>
    <row r="70" spans="1:27" ht="14.25" customHeight="1" x14ac:dyDescent="0.35">
      <c r="A70" s="37"/>
      <c r="B70" s="47"/>
      <c r="C70" s="37"/>
      <c r="D70" s="37"/>
      <c r="E70" s="37"/>
      <c r="F70" s="37"/>
      <c r="G70" s="37"/>
      <c r="H70" s="37"/>
      <c r="I70" s="37"/>
      <c r="J70" s="37"/>
      <c r="K70" s="37"/>
      <c r="L70" s="37"/>
      <c r="M70" s="37"/>
      <c r="N70" s="37"/>
      <c r="O70" s="37"/>
      <c r="P70" s="37"/>
      <c r="Q70" s="37"/>
      <c r="R70" s="37"/>
      <c r="S70" s="37"/>
      <c r="T70" s="37"/>
      <c r="U70" s="37"/>
      <c r="V70" s="37"/>
      <c r="W70" s="37"/>
      <c r="X70" s="37"/>
      <c r="Y70" s="37"/>
      <c r="Z70" s="37"/>
      <c r="AA70" s="37"/>
    </row>
    <row r="71" spans="1:27" ht="14.25" customHeight="1" x14ac:dyDescent="0.35">
      <c r="A71" s="37"/>
      <c r="B71" s="47"/>
      <c r="C71" s="37"/>
      <c r="D71" s="37"/>
      <c r="E71" s="37"/>
      <c r="F71" s="37"/>
      <c r="G71" s="37"/>
      <c r="H71" s="37"/>
      <c r="I71" s="37"/>
      <c r="J71" s="37"/>
      <c r="K71" s="37"/>
      <c r="L71" s="37"/>
      <c r="M71" s="37"/>
      <c r="N71" s="37"/>
      <c r="O71" s="37"/>
      <c r="P71" s="37"/>
      <c r="Q71" s="37"/>
      <c r="R71" s="37"/>
      <c r="S71" s="37"/>
      <c r="T71" s="37"/>
      <c r="U71" s="37"/>
      <c r="V71" s="37"/>
      <c r="W71" s="37"/>
      <c r="X71" s="37"/>
      <c r="Y71" s="37"/>
      <c r="Z71" s="37"/>
      <c r="AA71" s="37"/>
    </row>
    <row r="72" spans="1:27" ht="14.25" customHeight="1" x14ac:dyDescent="0.35">
      <c r="A72" s="37"/>
      <c r="B72" s="47"/>
      <c r="C72" s="37"/>
      <c r="D72" s="37"/>
      <c r="E72" s="37"/>
      <c r="F72" s="37"/>
      <c r="G72" s="37"/>
      <c r="H72" s="37"/>
      <c r="I72" s="37"/>
      <c r="J72" s="37"/>
      <c r="K72" s="37"/>
      <c r="L72" s="37"/>
      <c r="M72" s="37"/>
      <c r="N72" s="37"/>
      <c r="O72" s="37"/>
      <c r="P72" s="37"/>
      <c r="Q72" s="37"/>
      <c r="R72" s="37"/>
      <c r="S72" s="37"/>
      <c r="T72" s="37"/>
      <c r="U72" s="37"/>
      <c r="V72" s="37"/>
      <c r="W72" s="37"/>
      <c r="X72" s="37"/>
      <c r="Y72" s="37"/>
      <c r="Z72" s="37"/>
      <c r="AA72" s="37"/>
    </row>
    <row r="73" spans="1:27" ht="14.25" customHeight="1" x14ac:dyDescent="0.35">
      <c r="A73" s="37"/>
      <c r="B73" s="47"/>
      <c r="C73" s="37"/>
      <c r="D73" s="37"/>
      <c r="E73" s="37"/>
      <c r="F73" s="37"/>
      <c r="G73" s="37"/>
      <c r="H73" s="37"/>
      <c r="I73" s="37"/>
      <c r="J73" s="37"/>
      <c r="K73" s="37"/>
      <c r="L73" s="37"/>
      <c r="M73" s="37"/>
      <c r="N73" s="37"/>
      <c r="O73" s="37"/>
      <c r="P73" s="37"/>
      <c r="Q73" s="37"/>
      <c r="R73" s="37"/>
      <c r="S73" s="37"/>
      <c r="T73" s="37"/>
      <c r="U73" s="37"/>
      <c r="V73" s="37"/>
      <c r="W73" s="37"/>
      <c r="X73" s="37"/>
      <c r="Y73" s="37"/>
      <c r="Z73" s="37"/>
      <c r="AA73" s="37"/>
    </row>
    <row r="74" spans="1:27" ht="14.25" customHeight="1" x14ac:dyDescent="0.35">
      <c r="A74" s="37"/>
      <c r="B74" s="47"/>
      <c r="C74" s="37"/>
      <c r="D74" s="37"/>
      <c r="E74" s="37"/>
      <c r="F74" s="37"/>
      <c r="G74" s="37"/>
      <c r="H74" s="37"/>
      <c r="I74" s="37"/>
      <c r="J74" s="37"/>
      <c r="K74" s="37"/>
      <c r="L74" s="37"/>
      <c r="M74" s="37"/>
      <c r="N74" s="37"/>
      <c r="O74" s="37"/>
      <c r="P74" s="37"/>
      <c r="Q74" s="37"/>
      <c r="R74" s="37"/>
      <c r="S74" s="37"/>
      <c r="T74" s="37"/>
      <c r="U74" s="37"/>
      <c r="V74" s="37"/>
      <c r="W74" s="37"/>
      <c r="X74" s="37"/>
      <c r="Y74" s="37"/>
      <c r="Z74" s="37"/>
      <c r="AA74" s="37"/>
    </row>
    <row r="75" spans="1:27" ht="14.25" customHeight="1" x14ac:dyDescent="0.35">
      <c r="A75" s="37"/>
      <c r="B75" s="47"/>
      <c r="C75" s="37"/>
      <c r="D75" s="37"/>
      <c r="E75" s="37"/>
      <c r="F75" s="37"/>
      <c r="G75" s="37"/>
      <c r="H75" s="37"/>
      <c r="I75" s="37"/>
      <c r="J75" s="37"/>
      <c r="K75" s="37"/>
      <c r="L75" s="37"/>
      <c r="M75" s="37"/>
      <c r="N75" s="37"/>
      <c r="O75" s="37"/>
      <c r="P75" s="37"/>
      <c r="Q75" s="37"/>
      <c r="R75" s="37"/>
      <c r="S75" s="37"/>
      <c r="T75" s="37"/>
      <c r="U75" s="37"/>
      <c r="V75" s="37"/>
      <c r="W75" s="37"/>
      <c r="X75" s="37"/>
      <c r="Y75" s="37"/>
      <c r="Z75" s="37"/>
      <c r="AA75" s="37"/>
    </row>
    <row r="76" spans="1:27" ht="14.25" customHeight="1" x14ac:dyDescent="0.35">
      <c r="A76" s="37"/>
      <c r="B76" s="47"/>
      <c r="C76" s="37"/>
      <c r="D76" s="37"/>
      <c r="E76" s="37"/>
      <c r="F76" s="37"/>
      <c r="G76" s="37"/>
      <c r="H76" s="37"/>
      <c r="I76" s="37"/>
      <c r="J76" s="37"/>
      <c r="K76" s="37"/>
      <c r="L76" s="37"/>
      <c r="M76" s="37"/>
      <c r="N76" s="37"/>
      <c r="O76" s="37"/>
      <c r="P76" s="37"/>
      <c r="Q76" s="37"/>
      <c r="R76" s="37"/>
      <c r="S76" s="37"/>
      <c r="T76" s="37"/>
      <c r="U76" s="37"/>
      <c r="V76" s="37"/>
      <c r="W76" s="37"/>
      <c r="X76" s="37"/>
      <c r="Y76" s="37"/>
      <c r="Z76" s="37"/>
      <c r="AA76" s="37"/>
    </row>
    <row r="77" spans="1:27" ht="14.25" customHeight="1" x14ac:dyDescent="0.35">
      <c r="A77" s="37"/>
      <c r="B77" s="47"/>
      <c r="C77" s="37"/>
      <c r="D77" s="37"/>
      <c r="E77" s="37"/>
      <c r="F77" s="37"/>
      <c r="G77" s="37"/>
      <c r="H77" s="37"/>
      <c r="I77" s="37"/>
      <c r="J77" s="37"/>
      <c r="K77" s="37"/>
      <c r="L77" s="37"/>
      <c r="M77" s="37"/>
      <c r="N77" s="37"/>
      <c r="O77" s="37"/>
      <c r="P77" s="37"/>
      <c r="Q77" s="37"/>
      <c r="R77" s="37"/>
      <c r="S77" s="37"/>
      <c r="T77" s="37"/>
      <c r="U77" s="37"/>
      <c r="V77" s="37"/>
      <c r="W77" s="37"/>
      <c r="X77" s="37"/>
      <c r="Y77" s="37"/>
      <c r="Z77" s="37"/>
      <c r="AA77" s="37"/>
    </row>
    <row r="78" spans="1:27" ht="14.25" customHeight="1" x14ac:dyDescent="0.35">
      <c r="A78" s="37"/>
      <c r="B78" s="47"/>
      <c r="C78" s="37"/>
      <c r="D78" s="37"/>
      <c r="E78" s="37"/>
      <c r="F78" s="37"/>
      <c r="G78" s="37"/>
      <c r="H78" s="37"/>
      <c r="I78" s="37"/>
      <c r="J78" s="37"/>
      <c r="K78" s="37"/>
      <c r="L78" s="37"/>
      <c r="M78" s="37"/>
      <c r="N78" s="37"/>
      <c r="O78" s="37"/>
      <c r="P78" s="37"/>
      <c r="Q78" s="37"/>
      <c r="R78" s="37"/>
      <c r="S78" s="37"/>
      <c r="T78" s="37"/>
      <c r="U78" s="37"/>
      <c r="V78" s="37"/>
      <c r="W78" s="37"/>
      <c r="X78" s="37"/>
      <c r="Y78" s="37"/>
      <c r="Z78" s="37"/>
      <c r="AA78" s="37"/>
    </row>
    <row r="79" spans="1:27" ht="14.25" customHeight="1" x14ac:dyDescent="0.35">
      <c r="A79" s="37"/>
      <c r="B79" s="47"/>
      <c r="C79" s="37"/>
      <c r="D79" s="37"/>
      <c r="E79" s="37"/>
      <c r="F79" s="37"/>
      <c r="G79" s="37"/>
      <c r="H79" s="37"/>
      <c r="I79" s="37"/>
      <c r="J79" s="37"/>
      <c r="K79" s="37"/>
      <c r="L79" s="37"/>
      <c r="M79" s="37"/>
      <c r="N79" s="37"/>
      <c r="O79" s="37"/>
      <c r="P79" s="37"/>
      <c r="Q79" s="37"/>
      <c r="R79" s="37"/>
      <c r="S79" s="37"/>
      <c r="T79" s="37"/>
      <c r="U79" s="37"/>
      <c r="V79" s="37"/>
      <c r="W79" s="37"/>
      <c r="X79" s="37"/>
      <c r="Y79" s="37"/>
      <c r="Z79" s="37"/>
      <c r="AA79" s="37"/>
    </row>
    <row r="80" spans="1:27" ht="14.25" customHeight="1" x14ac:dyDescent="0.35">
      <c r="A80" s="37"/>
      <c r="B80" s="47"/>
      <c r="C80" s="37"/>
      <c r="D80" s="37"/>
      <c r="E80" s="37"/>
      <c r="F80" s="37"/>
      <c r="G80" s="37"/>
      <c r="H80" s="37"/>
      <c r="I80" s="37"/>
      <c r="J80" s="37"/>
      <c r="K80" s="37"/>
      <c r="L80" s="37"/>
      <c r="M80" s="37"/>
      <c r="N80" s="37"/>
      <c r="O80" s="37"/>
      <c r="P80" s="37"/>
      <c r="Q80" s="37"/>
      <c r="R80" s="37"/>
      <c r="S80" s="37"/>
      <c r="T80" s="37"/>
      <c r="U80" s="37"/>
      <c r="V80" s="37"/>
      <c r="W80" s="37"/>
      <c r="X80" s="37"/>
      <c r="Y80" s="37"/>
      <c r="Z80" s="37"/>
      <c r="AA80" s="37"/>
    </row>
    <row r="81" spans="1:27" ht="14.25" customHeight="1" x14ac:dyDescent="0.35">
      <c r="A81" s="37"/>
      <c r="B81" s="47"/>
      <c r="C81" s="37"/>
      <c r="D81" s="37"/>
      <c r="E81" s="37"/>
      <c r="F81" s="37"/>
      <c r="G81" s="37"/>
      <c r="H81" s="37"/>
      <c r="I81" s="37"/>
      <c r="J81" s="37"/>
      <c r="K81" s="37"/>
      <c r="L81" s="37"/>
      <c r="M81" s="37"/>
      <c r="N81" s="37"/>
      <c r="O81" s="37"/>
      <c r="P81" s="37"/>
      <c r="Q81" s="37"/>
      <c r="R81" s="37"/>
      <c r="S81" s="37"/>
      <c r="T81" s="37"/>
      <c r="U81" s="37"/>
      <c r="V81" s="37"/>
      <c r="W81" s="37"/>
      <c r="X81" s="37"/>
      <c r="Y81" s="37"/>
      <c r="Z81" s="37"/>
      <c r="AA81" s="37"/>
    </row>
    <row r="82" spans="1:27" ht="14.25" customHeight="1" x14ac:dyDescent="0.35">
      <c r="A82" s="37"/>
      <c r="B82" s="47"/>
      <c r="C82" s="37"/>
      <c r="D82" s="37"/>
      <c r="E82" s="37"/>
      <c r="F82" s="37"/>
      <c r="G82" s="37"/>
      <c r="H82" s="37"/>
      <c r="I82" s="37"/>
      <c r="J82" s="37"/>
      <c r="K82" s="37"/>
      <c r="L82" s="37"/>
      <c r="M82" s="37"/>
      <c r="N82" s="37"/>
      <c r="O82" s="37"/>
      <c r="P82" s="37"/>
      <c r="Q82" s="37"/>
      <c r="R82" s="37"/>
      <c r="S82" s="37"/>
      <c r="T82" s="37"/>
      <c r="U82" s="37"/>
      <c r="V82" s="37"/>
      <c r="W82" s="37"/>
      <c r="X82" s="37"/>
      <c r="Y82" s="37"/>
      <c r="Z82" s="37"/>
      <c r="AA82" s="37"/>
    </row>
    <row r="83" spans="1:27" ht="14.25" customHeight="1" x14ac:dyDescent="0.35">
      <c r="A83" s="37"/>
      <c r="B83" s="47"/>
      <c r="C83" s="37"/>
      <c r="D83" s="37"/>
      <c r="E83" s="37"/>
      <c r="F83" s="37"/>
      <c r="G83" s="37"/>
      <c r="H83" s="37"/>
      <c r="I83" s="37"/>
      <c r="J83" s="37"/>
      <c r="K83" s="37"/>
      <c r="L83" s="37"/>
      <c r="M83" s="37"/>
      <c r="N83" s="37"/>
      <c r="O83" s="37"/>
      <c r="P83" s="37"/>
      <c r="Q83" s="37"/>
      <c r="R83" s="37"/>
      <c r="S83" s="37"/>
      <c r="T83" s="37"/>
      <c r="U83" s="37"/>
      <c r="V83" s="37"/>
      <c r="W83" s="37"/>
      <c r="X83" s="37"/>
      <c r="Y83" s="37"/>
      <c r="Z83" s="37"/>
      <c r="AA83" s="37"/>
    </row>
    <row r="84" spans="1:27" ht="14.25" customHeight="1" x14ac:dyDescent="0.35">
      <c r="A84" s="37"/>
      <c r="B84" s="47"/>
      <c r="C84" s="37"/>
      <c r="D84" s="37"/>
      <c r="E84" s="37"/>
      <c r="F84" s="37"/>
      <c r="G84" s="37"/>
      <c r="H84" s="37"/>
      <c r="I84" s="37"/>
      <c r="J84" s="37"/>
      <c r="K84" s="37"/>
      <c r="L84" s="37"/>
      <c r="M84" s="37"/>
      <c r="N84" s="37"/>
      <c r="O84" s="37"/>
      <c r="P84" s="37"/>
      <c r="Q84" s="37"/>
      <c r="R84" s="37"/>
      <c r="S84" s="37"/>
      <c r="T84" s="37"/>
      <c r="U84" s="37"/>
      <c r="V84" s="37"/>
      <c r="W84" s="37"/>
      <c r="X84" s="37"/>
      <c r="Y84" s="37"/>
      <c r="Z84" s="37"/>
      <c r="AA84" s="37"/>
    </row>
    <row r="85" spans="1:27" ht="14.25" customHeight="1" x14ac:dyDescent="0.35">
      <c r="A85" s="37"/>
      <c r="B85" s="47"/>
      <c r="C85" s="37"/>
      <c r="D85" s="37"/>
      <c r="E85" s="37"/>
      <c r="F85" s="37"/>
      <c r="G85" s="37"/>
      <c r="H85" s="37"/>
      <c r="I85" s="37"/>
      <c r="J85" s="37"/>
      <c r="K85" s="37"/>
      <c r="L85" s="37"/>
      <c r="M85" s="37"/>
      <c r="N85" s="37"/>
      <c r="O85" s="37"/>
      <c r="P85" s="37"/>
      <c r="Q85" s="37"/>
      <c r="R85" s="37"/>
      <c r="S85" s="37"/>
      <c r="T85" s="37"/>
      <c r="U85" s="37"/>
      <c r="V85" s="37"/>
      <c r="W85" s="37"/>
      <c r="X85" s="37"/>
      <c r="Y85" s="37"/>
      <c r="Z85" s="37"/>
      <c r="AA85" s="37"/>
    </row>
    <row r="86" spans="1:27" ht="14.25" customHeight="1" x14ac:dyDescent="0.35">
      <c r="A86" s="37"/>
      <c r="B86" s="47"/>
      <c r="C86" s="37"/>
      <c r="D86" s="37"/>
      <c r="E86" s="37"/>
      <c r="F86" s="37"/>
      <c r="G86" s="37"/>
      <c r="H86" s="37"/>
      <c r="I86" s="37"/>
      <c r="J86" s="37"/>
      <c r="K86" s="37"/>
      <c r="L86" s="37"/>
      <c r="M86" s="37"/>
      <c r="N86" s="37"/>
      <c r="O86" s="37"/>
      <c r="P86" s="37"/>
      <c r="Q86" s="37"/>
      <c r="R86" s="37"/>
      <c r="S86" s="37"/>
      <c r="T86" s="37"/>
      <c r="U86" s="37"/>
      <c r="V86" s="37"/>
      <c r="W86" s="37"/>
      <c r="X86" s="37"/>
      <c r="Y86" s="37"/>
      <c r="Z86" s="37"/>
      <c r="AA86" s="37"/>
    </row>
    <row r="87" spans="1:27" ht="14.25" customHeight="1" x14ac:dyDescent="0.35">
      <c r="A87" s="37"/>
      <c r="B87" s="47"/>
      <c r="C87" s="37"/>
      <c r="D87" s="37"/>
      <c r="E87" s="37"/>
      <c r="F87" s="37"/>
      <c r="G87" s="37"/>
      <c r="H87" s="37"/>
      <c r="I87" s="37"/>
      <c r="J87" s="37"/>
      <c r="K87" s="37"/>
      <c r="L87" s="37"/>
      <c r="M87" s="37"/>
      <c r="N87" s="37"/>
      <c r="O87" s="37"/>
      <c r="P87" s="37"/>
      <c r="Q87" s="37"/>
      <c r="R87" s="37"/>
      <c r="S87" s="37"/>
      <c r="T87" s="37"/>
      <c r="U87" s="37"/>
      <c r="V87" s="37"/>
      <c r="W87" s="37"/>
      <c r="X87" s="37"/>
      <c r="Y87" s="37"/>
      <c r="Z87" s="37"/>
      <c r="AA87" s="37"/>
    </row>
    <row r="88" spans="1:27" ht="14.25" customHeight="1" x14ac:dyDescent="0.35">
      <c r="A88" s="37"/>
      <c r="B88" s="47"/>
      <c r="C88" s="37"/>
      <c r="D88" s="37"/>
      <c r="E88" s="37"/>
      <c r="F88" s="37"/>
      <c r="G88" s="37"/>
      <c r="H88" s="37"/>
      <c r="I88" s="37"/>
      <c r="J88" s="37"/>
      <c r="K88" s="37"/>
      <c r="L88" s="37"/>
      <c r="M88" s="37"/>
      <c r="N88" s="37"/>
      <c r="O88" s="37"/>
      <c r="P88" s="37"/>
      <c r="Q88" s="37"/>
      <c r="R88" s="37"/>
      <c r="S88" s="37"/>
      <c r="T88" s="37"/>
      <c r="U88" s="37"/>
      <c r="V88" s="37"/>
      <c r="W88" s="37"/>
      <c r="X88" s="37"/>
      <c r="Y88" s="37"/>
      <c r="Z88" s="37"/>
      <c r="AA88" s="37"/>
    </row>
    <row r="89" spans="1:27" ht="14.25" customHeight="1" x14ac:dyDescent="0.35">
      <c r="A89" s="37"/>
      <c r="B89" s="47"/>
      <c r="C89" s="37"/>
      <c r="D89" s="37"/>
      <c r="E89" s="37"/>
      <c r="F89" s="37"/>
      <c r="G89" s="37"/>
      <c r="H89" s="37"/>
      <c r="I89" s="37"/>
      <c r="J89" s="37"/>
      <c r="K89" s="37"/>
      <c r="L89" s="37"/>
      <c r="M89" s="37"/>
      <c r="N89" s="37"/>
      <c r="O89" s="37"/>
      <c r="P89" s="37"/>
      <c r="Q89" s="37"/>
      <c r="R89" s="37"/>
      <c r="S89" s="37"/>
      <c r="T89" s="37"/>
      <c r="U89" s="37"/>
      <c r="V89" s="37"/>
      <c r="W89" s="37"/>
      <c r="X89" s="37"/>
      <c r="Y89" s="37"/>
      <c r="Z89" s="37"/>
      <c r="AA89" s="37"/>
    </row>
    <row r="90" spans="1:27" ht="14.25" customHeight="1" x14ac:dyDescent="0.35">
      <c r="A90" s="37"/>
      <c r="B90" s="47"/>
      <c r="C90" s="37"/>
      <c r="D90" s="37"/>
      <c r="E90" s="37"/>
      <c r="F90" s="37"/>
      <c r="G90" s="37"/>
      <c r="H90" s="37"/>
      <c r="I90" s="37"/>
      <c r="J90" s="37"/>
      <c r="K90" s="37"/>
      <c r="L90" s="37"/>
      <c r="M90" s="37"/>
      <c r="N90" s="37"/>
      <c r="O90" s="37"/>
      <c r="P90" s="37"/>
      <c r="Q90" s="37"/>
      <c r="R90" s="37"/>
      <c r="S90" s="37"/>
      <c r="T90" s="37"/>
      <c r="U90" s="37"/>
      <c r="V90" s="37"/>
      <c r="W90" s="37"/>
      <c r="X90" s="37"/>
      <c r="Y90" s="37"/>
      <c r="Z90" s="37"/>
      <c r="AA90" s="37"/>
    </row>
    <row r="91" spans="1:27" ht="14.25" customHeight="1" x14ac:dyDescent="0.35">
      <c r="A91" s="37"/>
      <c r="B91" s="47"/>
      <c r="C91" s="37"/>
      <c r="D91" s="37"/>
      <c r="E91" s="37"/>
      <c r="F91" s="37"/>
      <c r="G91" s="37"/>
      <c r="H91" s="37"/>
      <c r="I91" s="37"/>
      <c r="J91" s="37"/>
      <c r="K91" s="37"/>
      <c r="L91" s="37"/>
      <c r="M91" s="37"/>
      <c r="N91" s="37"/>
      <c r="O91" s="37"/>
      <c r="P91" s="37"/>
      <c r="Q91" s="37"/>
      <c r="R91" s="37"/>
      <c r="S91" s="37"/>
      <c r="T91" s="37"/>
      <c r="U91" s="37"/>
      <c r="V91" s="37"/>
      <c r="W91" s="37"/>
      <c r="X91" s="37"/>
      <c r="Y91" s="37"/>
      <c r="Z91" s="37"/>
      <c r="AA91" s="37"/>
    </row>
    <row r="92" spans="1:27" ht="14.25" customHeight="1" x14ac:dyDescent="0.35">
      <c r="A92" s="37"/>
      <c r="B92" s="47"/>
      <c r="C92" s="37"/>
      <c r="D92" s="37"/>
      <c r="E92" s="37"/>
      <c r="F92" s="37"/>
      <c r="G92" s="37"/>
      <c r="H92" s="37"/>
      <c r="I92" s="37"/>
      <c r="J92" s="37"/>
      <c r="K92" s="37"/>
      <c r="L92" s="37"/>
      <c r="M92" s="37"/>
      <c r="N92" s="37"/>
      <c r="O92" s="37"/>
      <c r="P92" s="37"/>
      <c r="Q92" s="37"/>
      <c r="R92" s="37"/>
      <c r="S92" s="37"/>
      <c r="T92" s="37"/>
      <c r="U92" s="37"/>
      <c r="V92" s="37"/>
      <c r="W92" s="37"/>
      <c r="X92" s="37"/>
      <c r="Y92" s="37"/>
      <c r="Z92" s="37"/>
      <c r="AA92" s="37"/>
    </row>
    <row r="93" spans="1:27" ht="14.25" customHeight="1" x14ac:dyDescent="0.35">
      <c r="A93" s="37"/>
      <c r="B93" s="47"/>
      <c r="C93" s="37"/>
      <c r="D93" s="37"/>
      <c r="E93" s="37"/>
      <c r="F93" s="37"/>
      <c r="G93" s="37"/>
      <c r="H93" s="37"/>
      <c r="I93" s="37"/>
      <c r="J93" s="37"/>
      <c r="K93" s="37"/>
      <c r="L93" s="37"/>
      <c r="M93" s="37"/>
      <c r="N93" s="37"/>
      <c r="O93" s="37"/>
      <c r="P93" s="37"/>
      <c r="Q93" s="37"/>
      <c r="R93" s="37"/>
      <c r="S93" s="37"/>
      <c r="T93" s="37"/>
      <c r="U93" s="37"/>
      <c r="V93" s="37"/>
      <c r="W93" s="37"/>
      <c r="X93" s="37"/>
      <c r="Y93" s="37"/>
      <c r="Z93" s="37"/>
      <c r="AA93" s="37"/>
    </row>
    <row r="94" spans="1:27" ht="14.25" customHeight="1" x14ac:dyDescent="0.35">
      <c r="A94" s="37"/>
      <c r="B94" s="47"/>
      <c r="C94" s="37"/>
      <c r="D94" s="37"/>
      <c r="E94" s="37"/>
      <c r="F94" s="37"/>
      <c r="G94" s="37"/>
      <c r="H94" s="37"/>
      <c r="I94" s="37"/>
      <c r="J94" s="37"/>
      <c r="K94" s="37"/>
      <c r="L94" s="37"/>
      <c r="M94" s="37"/>
      <c r="N94" s="37"/>
      <c r="O94" s="37"/>
      <c r="P94" s="37"/>
      <c r="Q94" s="37"/>
      <c r="R94" s="37"/>
      <c r="S94" s="37"/>
      <c r="T94" s="37"/>
      <c r="U94" s="37"/>
      <c r="V94" s="37"/>
      <c r="W94" s="37"/>
      <c r="X94" s="37"/>
      <c r="Y94" s="37"/>
      <c r="Z94" s="37"/>
      <c r="AA94" s="37"/>
    </row>
    <row r="95" spans="1:27" ht="14.25" customHeight="1" x14ac:dyDescent="0.35">
      <c r="A95" s="37"/>
      <c r="B95" s="47"/>
      <c r="C95" s="37"/>
      <c r="D95" s="37"/>
      <c r="E95" s="37"/>
      <c r="F95" s="37"/>
      <c r="G95" s="37"/>
      <c r="H95" s="37"/>
      <c r="I95" s="37"/>
      <c r="J95" s="37"/>
      <c r="K95" s="37"/>
      <c r="L95" s="37"/>
      <c r="M95" s="37"/>
      <c r="N95" s="37"/>
      <c r="O95" s="37"/>
      <c r="P95" s="37"/>
      <c r="Q95" s="37"/>
      <c r="R95" s="37"/>
      <c r="S95" s="37"/>
      <c r="T95" s="37"/>
      <c r="U95" s="37"/>
      <c r="V95" s="37"/>
      <c r="W95" s="37"/>
      <c r="X95" s="37"/>
      <c r="Y95" s="37"/>
      <c r="Z95" s="37"/>
      <c r="AA95" s="37"/>
    </row>
    <row r="96" spans="1:27" ht="14.25" customHeight="1" x14ac:dyDescent="0.35">
      <c r="A96" s="37"/>
      <c r="B96" s="47"/>
      <c r="C96" s="37"/>
      <c r="D96" s="37"/>
      <c r="E96" s="37"/>
      <c r="F96" s="37"/>
      <c r="G96" s="37"/>
      <c r="H96" s="37"/>
      <c r="I96" s="37"/>
      <c r="J96" s="37"/>
      <c r="K96" s="37"/>
      <c r="L96" s="37"/>
      <c r="M96" s="37"/>
      <c r="N96" s="37"/>
      <c r="O96" s="37"/>
      <c r="P96" s="37"/>
      <c r="Q96" s="37"/>
      <c r="R96" s="37"/>
      <c r="S96" s="37"/>
      <c r="T96" s="37"/>
      <c r="U96" s="37"/>
      <c r="V96" s="37"/>
      <c r="W96" s="37"/>
      <c r="X96" s="37"/>
      <c r="Y96" s="37"/>
      <c r="Z96" s="37"/>
      <c r="AA96" s="37"/>
    </row>
    <row r="97" spans="1:27" ht="14.25" customHeight="1" x14ac:dyDescent="0.35">
      <c r="A97" s="37"/>
      <c r="B97" s="47"/>
      <c r="C97" s="37"/>
      <c r="D97" s="37"/>
      <c r="E97" s="37"/>
      <c r="F97" s="37"/>
      <c r="G97" s="37"/>
      <c r="H97" s="37"/>
      <c r="I97" s="37"/>
      <c r="J97" s="37"/>
      <c r="K97" s="37"/>
      <c r="L97" s="37"/>
      <c r="M97" s="37"/>
      <c r="N97" s="37"/>
      <c r="O97" s="37"/>
      <c r="P97" s="37"/>
      <c r="Q97" s="37"/>
      <c r="R97" s="37"/>
      <c r="S97" s="37"/>
      <c r="T97" s="37"/>
      <c r="U97" s="37"/>
      <c r="V97" s="37"/>
      <c r="W97" s="37"/>
      <c r="X97" s="37"/>
      <c r="Y97" s="37"/>
      <c r="Z97" s="37"/>
      <c r="AA97" s="37"/>
    </row>
    <row r="98" spans="1:27" ht="14.25" customHeight="1" x14ac:dyDescent="0.35">
      <c r="A98" s="37"/>
      <c r="B98" s="47"/>
      <c r="C98" s="37"/>
      <c r="D98" s="37"/>
      <c r="E98" s="37"/>
      <c r="F98" s="37"/>
      <c r="G98" s="37"/>
      <c r="H98" s="37"/>
      <c r="I98" s="37"/>
      <c r="J98" s="37"/>
      <c r="K98" s="37"/>
      <c r="L98" s="37"/>
      <c r="M98" s="37"/>
      <c r="N98" s="37"/>
      <c r="O98" s="37"/>
      <c r="P98" s="37"/>
      <c r="Q98" s="37"/>
      <c r="R98" s="37"/>
      <c r="S98" s="37"/>
      <c r="T98" s="37"/>
      <c r="U98" s="37"/>
      <c r="V98" s="37"/>
      <c r="W98" s="37"/>
      <c r="X98" s="37"/>
      <c r="Y98" s="37"/>
      <c r="Z98" s="37"/>
      <c r="AA98" s="37"/>
    </row>
    <row r="99" spans="1:27" ht="14.25" customHeight="1" x14ac:dyDescent="0.35">
      <c r="A99" s="37"/>
      <c r="B99" s="47"/>
      <c r="C99" s="37"/>
      <c r="D99" s="37"/>
      <c r="E99" s="37"/>
      <c r="F99" s="37"/>
      <c r="G99" s="37"/>
      <c r="H99" s="37"/>
      <c r="I99" s="37"/>
      <c r="J99" s="37"/>
      <c r="K99" s="37"/>
      <c r="L99" s="37"/>
      <c r="M99" s="37"/>
      <c r="N99" s="37"/>
      <c r="O99" s="37"/>
      <c r="P99" s="37"/>
      <c r="Q99" s="37"/>
      <c r="R99" s="37"/>
      <c r="S99" s="37"/>
      <c r="T99" s="37"/>
      <c r="U99" s="37"/>
      <c r="V99" s="37"/>
      <c r="W99" s="37"/>
      <c r="X99" s="37"/>
      <c r="Y99" s="37"/>
      <c r="Z99" s="37"/>
      <c r="AA99" s="37"/>
    </row>
    <row r="100" spans="1:27" ht="14.25" customHeight="1" x14ac:dyDescent="0.35">
      <c r="A100" s="37"/>
      <c r="B100" s="4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row>
    <row r="101" spans="1:27" ht="14.25" customHeight="1" x14ac:dyDescent="0.35">
      <c r="A101" s="37"/>
      <c r="B101" s="4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row>
    <row r="102" spans="1:27" ht="14.25" customHeight="1" x14ac:dyDescent="0.35">
      <c r="A102" s="37"/>
      <c r="B102" s="4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row>
    <row r="103" spans="1:27" ht="14.25" customHeight="1" x14ac:dyDescent="0.35">
      <c r="A103" s="37"/>
      <c r="B103" s="4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row>
    <row r="104" spans="1:27" ht="14.25" customHeight="1" x14ac:dyDescent="0.35">
      <c r="A104" s="37"/>
      <c r="B104" s="4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row>
  </sheetData>
  <sheetProtection algorithmName="SHA-512" hashValue="n6O3POO/Ysa+JmolYAbCgpyx6wLoyIDQPzcuXv/cFE69JuSO3QfkZp7aFuNgbBoAOcWcu0iR0wxK00qZigtQxQ==" saltValue="tyAdmUjS7O3G0RZUkIbBqg==" spinCount="100000" sheet="1" objects="1" scenarios="1"/>
  <mergeCells count="5">
    <mergeCell ref="B9:B11"/>
    <mergeCell ref="D9:V9"/>
    <mergeCell ref="Q2:R2"/>
    <mergeCell ref="U2:V2"/>
    <mergeCell ref="B1:B3"/>
  </mergeCells>
  <conditionalFormatting sqref="U18">
    <cfRule type="expression" dxfId="204" priority="49">
      <formula>U$7="NÃO"</formula>
    </cfRule>
  </conditionalFormatting>
  <conditionalFormatting sqref="U18">
    <cfRule type="expression" dxfId="203" priority="50">
      <formula>U$7= "SIM"</formula>
    </cfRule>
  </conditionalFormatting>
  <conditionalFormatting sqref="U19">
    <cfRule type="expression" dxfId="202" priority="47">
      <formula>U$7="NÃO"</formula>
    </cfRule>
  </conditionalFormatting>
  <conditionalFormatting sqref="U19">
    <cfRule type="expression" dxfId="201" priority="48">
      <formula>U$7= "SIM"</formula>
    </cfRule>
  </conditionalFormatting>
  <conditionalFormatting sqref="Q15">
    <cfRule type="expression" dxfId="200" priority="45">
      <formula>Q$7="NÃO"</formula>
    </cfRule>
  </conditionalFormatting>
  <conditionalFormatting sqref="Q15">
    <cfRule type="expression" dxfId="199" priority="46">
      <formula>Q$7= "SIM"</formula>
    </cfRule>
  </conditionalFormatting>
  <conditionalFormatting sqref="Q16">
    <cfRule type="expression" dxfId="198" priority="43">
      <formula>Q$7="NÃO"</formula>
    </cfRule>
  </conditionalFormatting>
  <conditionalFormatting sqref="Q16">
    <cfRule type="expression" dxfId="197" priority="44">
      <formula>Q$7= "SIM"</formula>
    </cfRule>
  </conditionalFormatting>
  <conditionalFormatting sqref="Q17">
    <cfRule type="expression" dxfId="196" priority="41">
      <formula>Q$7="NÃO"</formula>
    </cfRule>
  </conditionalFormatting>
  <conditionalFormatting sqref="Q17">
    <cfRule type="expression" dxfId="195" priority="42">
      <formula>Q$7= "SIM"</formula>
    </cfRule>
  </conditionalFormatting>
  <conditionalFormatting sqref="Q18">
    <cfRule type="expression" dxfId="194" priority="39">
      <formula>Q$7="NÃO"</formula>
    </cfRule>
  </conditionalFormatting>
  <conditionalFormatting sqref="Q18">
    <cfRule type="expression" dxfId="193" priority="40">
      <formula>Q$7= "SIM"</formula>
    </cfRule>
  </conditionalFormatting>
  <conditionalFormatting sqref="Q19">
    <cfRule type="expression" dxfId="192" priority="37">
      <formula>Q$7="NÃO"</formula>
    </cfRule>
  </conditionalFormatting>
  <conditionalFormatting sqref="Q19">
    <cfRule type="expression" dxfId="191" priority="38">
      <formula>Q$7= "SIM"</formula>
    </cfRule>
  </conditionalFormatting>
  <conditionalFormatting sqref="M15">
    <cfRule type="expression" dxfId="190" priority="35">
      <formula>M$7="NÃO"</formula>
    </cfRule>
  </conditionalFormatting>
  <conditionalFormatting sqref="M15">
    <cfRule type="expression" dxfId="189" priority="36">
      <formula>M$7= "SIM"</formula>
    </cfRule>
  </conditionalFormatting>
  <conditionalFormatting sqref="M16">
    <cfRule type="expression" dxfId="188" priority="33">
      <formula>M$7="NÃO"</formula>
    </cfRule>
  </conditionalFormatting>
  <conditionalFormatting sqref="M16">
    <cfRule type="expression" dxfId="187" priority="34">
      <formula>M$7= "SIM"</formula>
    </cfRule>
  </conditionalFormatting>
  <conditionalFormatting sqref="M17">
    <cfRule type="expression" dxfId="186" priority="31">
      <formula>M$7="NÃO"</formula>
    </cfRule>
  </conditionalFormatting>
  <conditionalFormatting sqref="M17">
    <cfRule type="expression" dxfId="185" priority="32">
      <formula>M$7= "SIM"</formula>
    </cfRule>
  </conditionalFormatting>
  <conditionalFormatting sqref="M18">
    <cfRule type="expression" dxfId="184" priority="29">
      <formula>M$7="NÃO"</formula>
    </cfRule>
  </conditionalFormatting>
  <conditionalFormatting sqref="M18">
    <cfRule type="expression" dxfId="183" priority="30">
      <formula>M$7= "SIM"</formula>
    </cfRule>
  </conditionalFormatting>
  <conditionalFormatting sqref="M19">
    <cfRule type="expression" dxfId="182" priority="27">
      <formula>M$7="NÃO"</formula>
    </cfRule>
  </conditionalFormatting>
  <conditionalFormatting sqref="M19">
    <cfRule type="expression" dxfId="181" priority="28">
      <formula>M$7= "SIM"</formula>
    </cfRule>
  </conditionalFormatting>
  <conditionalFormatting sqref="I15">
    <cfRule type="expression" dxfId="180" priority="25">
      <formula>I$7="NÃO"</formula>
    </cfRule>
  </conditionalFormatting>
  <conditionalFormatting sqref="I15">
    <cfRule type="expression" dxfId="179" priority="26">
      <formula>I$7= "SIM"</formula>
    </cfRule>
  </conditionalFormatting>
  <conditionalFormatting sqref="I16">
    <cfRule type="expression" dxfId="178" priority="23">
      <formula>I$7="NÃO"</formula>
    </cfRule>
  </conditionalFormatting>
  <conditionalFormatting sqref="I16">
    <cfRule type="expression" dxfId="177" priority="24">
      <formula>I$7= "SIM"</formula>
    </cfRule>
  </conditionalFormatting>
  <conditionalFormatting sqref="I17">
    <cfRule type="expression" dxfId="176" priority="21">
      <formula>I$7="NÃO"</formula>
    </cfRule>
  </conditionalFormatting>
  <conditionalFormatting sqref="I17">
    <cfRule type="expression" dxfId="175" priority="22">
      <formula>I$7= "SIM"</formula>
    </cfRule>
  </conditionalFormatting>
  <conditionalFormatting sqref="I18">
    <cfRule type="expression" dxfId="174" priority="19">
      <formula>I$7="NÃO"</formula>
    </cfRule>
  </conditionalFormatting>
  <conditionalFormatting sqref="I18">
    <cfRule type="expression" dxfId="173" priority="20">
      <formula>I$7= "SIM"</formula>
    </cfRule>
  </conditionalFormatting>
  <conditionalFormatting sqref="I19">
    <cfRule type="expression" dxfId="172" priority="17">
      <formula>I$7="NÃO"</formula>
    </cfRule>
  </conditionalFormatting>
  <conditionalFormatting sqref="I19">
    <cfRule type="expression" dxfId="171" priority="18">
      <formula>I$7= "SIM"</formula>
    </cfRule>
  </conditionalFormatting>
  <conditionalFormatting sqref="E15">
    <cfRule type="expression" dxfId="170" priority="15">
      <formula>E$7="NÃO"</formula>
    </cfRule>
  </conditionalFormatting>
  <conditionalFormatting sqref="E15">
    <cfRule type="expression" dxfId="169" priority="16">
      <formula>E$7= "SIM"</formula>
    </cfRule>
  </conditionalFormatting>
  <conditionalFormatting sqref="E16">
    <cfRule type="expression" dxfId="168" priority="13">
      <formula>E$7="NÃO"</formula>
    </cfRule>
  </conditionalFormatting>
  <conditionalFormatting sqref="E16">
    <cfRule type="expression" dxfId="167" priority="14">
      <formula>E$7= "SIM"</formula>
    </cfRule>
  </conditionalFormatting>
  <conditionalFormatting sqref="E17">
    <cfRule type="expression" dxfId="166" priority="11">
      <formula>E$7="NÃO"</formula>
    </cfRule>
  </conditionalFormatting>
  <conditionalFormatting sqref="E17">
    <cfRule type="expression" dxfId="165" priority="12">
      <formula>E$7= "SIM"</formula>
    </cfRule>
  </conditionalFormatting>
  <conditionalFormatting sqref="E18">
    <cfRule type="expression" dxfId="164" priority="9">
      <formula>E$7="NÃO"</formula>
    </cfRule>
  </conditionalFormatting>
  <conditionalFormatting sqref="E18">
    <cfRule type="expression" dxfId="163" priority="10">
      <formula>E$7= "SIM"</formula>
    </cfRule>
  </conditionalFormatting>
  <conditionalFormatting sqref="E19">
    <cfRule type="expression" dxfId="162" priority="7">
      <formula>E$7="NÃO"</formula>
    </cfRule>
  </conditionalFormatting>
  <conditionalFormatting sqref="E19">
    <cfRule type="expression" dxfId="161" priority="8">
      <formula>E$7= "SIM"</formula>
    </cfRule>
  </conditionalFormatting>
  <conditionalFormatting sqref="E35 E27:E28 M27:M28 I27:I28 Q27:Q28 U27:U28 E38 E32 I32 M32 Q32 U32 I38 M38 Q38 U38 U41:U45 Q41:Q45 M41:M45 I41:I45 E41:E45 Q35 I35 U35 M35">
    <cfRule type="expression" dxfId="160" priority="57">
      <formula>E$7="NÃO"</formula>
    </cfRule>
  </conditionalFormatting>
  <conditionalFormatting sqref="E35 E27:E28 M27:M28 I27:I28 Q27:Q28 U27:U28 E38 E32 I32 M32 Q32 U32 I38 M38 Q38 U38 U41:U45 Q41:Q45 M41:M45 I41:I45 E41:E45 Q35 I35 U35 M35">
    <cfRule type="expression" dxfId="159" priority="58">
      <formula>E$7= "SIM"</formula>
    </cfRule>
  </conditionalFormatting>
  <conditionalFormatting sqref="U15">
    <cfRule type="expression" dxfId="158" priority="55">
      <formula>U$7="NÃO"</formula>
    </cfRule>
  </conditionalFormatting>
  <conditionalFormatting sqref="U15">
    <cfRule type="expression" dxfId="157" priority="56">
      <formula>U$7= "SIM"</formula>
    </cfRule>
  </conditionalFormatting>
  <conditionalFormatting sqref="U16">
    <cfRule type="expression" dxfId="156" priority="53">
      <formula>U$7="NÃO"</formula>
    </cfRule>
  </conditionalFormatting>
  <conditionalFormatting sqref="U16">
    <cfRule type="expression" dxfId="155" priority="54">
      <formula>U$7= "SIM"</formula>
    </cfRule>
  </conditionalFormatting>
  <conditionalFormatting sqref="U17">
    <cfRule type="expression" dxfId="154" priority="51">
      <formula>U$7="NÃO"</formula>
    </cfRule>
  </conditionalFormatting>
  <conditionalFormatting sqref="U17">
    <cfRule type="expression" dxfId="153" priority="52">
      <formula>U$7= "SIM"</formula>
    </cfRule>
  </conditionalFormatting>
  <conditionalFormatting sqref="I7 E7 M7 Q7 U7">
    <cfRule type="expression" dxfId="152" priority="3">
      <formula>E$7="NÃO"</formula>
    </cfRule>
  </conditionalFormatting>
  <conditionalFormatting sqref="I7 E7 M7 Q7 U7">
    <cfRule type="expression" dxfId="151" priority="4">
      <formula>E$7= "SIM"</formula>
    </cfRule>
  </conditionalFormatting>
  <conditionalFormatting sqref="L2">
    <cfRule type="expression" dxfId="150" priority="1">
      <formula>L$2="NÃO"</formula>
    </cfRule>
  </conditionalFormatting>
  <conditionalFormatting sqref="L2">
    <cfRule type="expression" dxfId="149" priority="2">
      <formula>L$2= "SIM"</formula>
    </cfRule>
  </conditionalFormatting>
  <conditionalFormatting sqref="D2">
    <cfRule type="expression" dxfId="148" priority="5">
      <formula>AND($L$2="Sim",$D$2&lt;$D$11)</formula>
    </cfRule>
  </conditionalFormatting>
  <conditionalFormatting sqref="D2">
    <cfRule type="expression" dxfId="147" priority="6">
      <formula>AND($L$2="Sim",$D$2&gt;$V$11)</formula>
    </cfRule>
  </conditionalFormatting>
  <pageMargins left="0.511811024" right="0.511811024" top="0.78740157499999996" bottom="0.78740157499999996"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outlinePr summaryBelow="0"/>
  </sheetPr>
  <dimension ref="A1:AB105"/>
  <sheetViews>
    <sheetView zoomScale="75" zoomScaleNormal="75" workbookViewId="0">
      <selection activeCell="B1" sqref="B1:B3"/>
    </sheetView>
  </sheetViews>
  <sheetFormatPr defaultColWidth="14.453125" defaultRowHeight="15" customHeight="1" outlineLevelRow="1" x14ac:dyDescent="0.35"/>
  <cols>
    <col min="1" max="1" width="1.7265625" customWidth="1"/>
    <col min="2" max="2" width="60.7265625" customWidth="1"/>
    <col min="3" max="3" width="1.7265625" customWidth="1"/>
    <col min="4" max="4" width="11.7265625" customWidth="1"/>
    <col min="5" max="5" width="15.7265625" customWidth="1"/>
    <col min="6" max="6" width="11.7265625" customWidth="1"/>
    <col min="7" max="7" width="1.7265625" customWidth="1"/>
    <col min="8" max="8" width="11.7265625" customWidth="1"/>
    <col min="9" max="9" width="15.7265625" customWidth="1"/>
    <col min="10" max="10" width="11.7265625" customWidth="1"/>
    <col min="11" max="11" width="1.7265625" customWidth="1"/>
    <col min="12" max="12" width="11.7265625" customWidth="1"/>
    <col min="13" max="13" width="15.7265625" customWidth="1"/>
    <col min="14" max="14" width="11.7265625" customWidth="1"/>
    <col min="15" max="15" width="1.7265625" customWidth="1"/>
    <col min="16" max="16" width="11.7265625" customWidth="1"/>
    <col min="17" max="17" width="15.7265625" customWidth="1"/>
    <col min="18" max="18" width="11.7265625" customWidth="1"/>
    <col min="19" max="19" width="1.7265625" customWidth="1"/>
    <col min="20" max="20" width="11.7265625" customWidth="1"/>
    <col min="21" max="21" width="15.7265625" customWidth="1"/>
    <col min="22" max="22" width="11.7265625" customWidth="1"/>
    <col min="23" max="24" width="6.453125" hidden="1" customWidth="1"/>
    <col min="25" max="27" width="7.453125" hidden="1" customWidth="1"/>
    <col min="28" max="28" width="8.7265625" customWidth="1"/>
  </cols>
  <sheetData>
    <row r="1" spans="1:28" ht="20.149999999999999" customHeight="1" x14ac:dyDescent="0.35">
      <c r="A1" s="402"/>
      <c r="B1" s="2303" t="s">
        <v>874</v>
      </c>
      <c r="C1" s="441"/>
      <c r="D1" s="441"/>
      <c r="E1" s="441"/>
      <c r="F1" s="441"/>
      <c r="G1" s="441"/>
      <c r="H1" s="441"/>
      <c r="I1" s="441"/>
      <c r="J1" s="441"/>
      <c r="K1" s="441"/>
      <c r="L1" s="441"/>
      <c r="M1" s="441"/>
      <c r="N1" s="441"/>
      <c r="O1" s="441"/>
      <c r="P1" s="441"/>
      <c r="Q1" s="441"/>
      <c r="R1" s="441"/>
      <c r="S1" s="441"/>
      <c r="T1" s="441"/>
      <c r="U1" s="441"/>
      <c r="V1" s="441"/>
      <c r="W1" s="161"/>
      <c r="X1" s="161"/>
      <c r="Y1" s="161"/>
      <c r="Z1" s="161"/>
      <c r="AA1" s="161"/>
      <c r="AB1" s="161"/>
    </row>
    <row r="2" spans="1:28" ht="20.149999999999999" customHeight="1" x14ac:dyDescent="0.45">
      <c r="A2" s="442"/>
      <c r="B2" s="2303"/>
      <c r="C2" s="444"/>
      <c r="D2" s="1021">
        <f>'R-Resumo Bal. Massa'!B34*(1+'R&amp;C-Painel de Controle'!H66)</f>
        <v>1031.904</v>
      </c>
      <c r="E2" s="1022" t="s">
        <v>19</v>
      </c>
      <c r="F2" s="1017"/>
      <c r="G2" s="1017"/>
      <c r="H2" s="1156">
        <f>D2*313</f>
        <v>322985.95199999999</v>
      </c>
      <c r="I2" s="1155" t="s">
        <v>291</v>
      </c>
      <c r="J2" s="1017"/>
      <c r="K2" s="1017"/>
      <c r="L2" s="1137" t="str">
        <f>IF(D2&gt;0,"Sim","Não'")</f>
        <v>Sim</v>
      </c>
      <c r="M2" s="439"/>
      <c r="N2" s="439"/>
      <c r="O2" s="439"/>
      <c r="P2" s="1157" t="s">
        <v>493</v>
      </c>
      <c r="Q2" s="2294" t="str">
        <f>'R-Definição'!D2</f>
        <v>São Judas Tadeu</v>
      </c>
      <c r="R2" s="2295"/>
      <c r="S2" s="437"/>
      <c r="T2" s="1157" t="s">
        <v>494</v>
      </c>
      <c r="U2" s="2294" t="str">
        <f>'R-Definição'!D3</f>
        <v>Rota Futura 1</v>
      </c>
      <c r="V2" s="2295"/>
      <c r="W2" s="317"/>
      <c r="X2" s="317"/>
      <c r="Y2" s="317"/>
      <c r="Z2" s="317"/>
      <c r="AA2" s="317"/>
      <c r="AB2" s="317"/>
    </row>
    <row r="3" spans="1:28" ht="20.149999999999999" customHeight="1" x14ac:dyDescent="0.35">
      <c r="A3" s="402"/>
      <c r="B3" s="2303"/>
      <c r="C3" s="435"/>
      <c r="D3" s="434"/>
      <c r="E3" s="434"/>
      <c r="F3" s="434"/>
      <c r="G3" s="434"/>
      <c r="H3" s="434"/>
      <c r="I3" s="434"/>
      <c r="J3" s="434"/>
      <c r="K3" s="434"/>
      <c r="L3" s="434"/>
      <c r="M3" s="434"/>
      <c r="N3" s="434"/>
      <c r="O3" s="439"/>
      <c r="P3" s="434"/>
      <c r="Q3" s="434"/>
      <c r="R3" s="434"/>
      <c r="S3" s="434"/>
      <c r="T3" s="434"/>
      <c r="V3" s="434"/>
      <c r="W3" s="161"/>
      <c r="X3" s="161"/>
      <c r="Y3" s="161"/>
      <c r="Z3" s="161"/>
      <c r="AA3" s="161"/>
      <c r="AB3" s="161"/>
    </row>
    <row r="4" spans="1:28" s="1017" customFormat="1" ht="7.5" customHeight="1" x14ac:dyDescent="0.35">
      <c r="A4" s="402"/>
      <c r="B4" s="733"/>
      <c r="C4" s="393"/>
      <c r="D4" s="1121"/>
      <c r="E4" s="1121"/>
      <c r="F4" s="1121"/>
      <c r="G4" s="393"/>
      <c r="H4" s="1121"/>
      <c r="I4" s="1121"/>
      <c r="J4" s="1121"/>
      <c r="K4" s="393"/>
      <c r="L4" s="1121"/>
      <c r="M4" s="1121"/>
      <c r="N4" s="1121"/>
      <c r="O4" s="393"/>
      <c r="P4" s="1121"/>
      <c r="Q4" s="1121"/>
      <c r="R4" s="1121"/>
      <c r="S4" s="1027"/>
      <c r="T4" s="1121"/>
      <c r="U4" s="1121"/>
      <c r="V4" s="434"/>
      <c r="W4" s="179"/>
      <c r="X4" s="179"/>
      <c r="Y4" s="179"/>
      <c r="Z4" s="179"/>
      <c r="AA4" s="179"/>
      <c r="AB4" s="161"/>
    </row>
    <row r="5" spans="1:28" ht="17.899999999999999" customHeight="1" x14ac:dyDescent="0.35">
      <c r="A5" s="402"/>
      <c r="B5" s="993" t="s">
        <v>859</v>
      </c>
      <c r="C5" s="445"/>
      <c r="D5" s="1162">
        <v>4.5</v>
      </c>
      <c r="E5" s="998" t="s">
        <v>870</v>
      </c>
      <c r="F5" s="996"/>
      <c r="G5" s="996"/>
      <c r="H5" s="996"/>
      <c r="I5" s="996"/>
      <c r="J5" s="996"/>
      <c r="K5" s="996"/>
      <c r="L5" s="996"/>
      <c r="M5" s="996"/>
      <c r="N5" s="996"/>
      <c r="O5" s="996"/>
      <c r="P5" s="996"/>
      <c r="Q5" s="996"/>
      <c r="R5" s="996"/>
      <c r="S5" s="996"/>
      <c r="T5" s="996"/>
      <c r="U5" s="996"/>
      <c r="V5" s="327"/>
      <c r="W5" s="161"/>
      <c r="X5" s="161"/>
      <c r="Y5" s="161"/>
      <c r="Z5" s="161"/>
      <c r="AA5" s="161"/>
      <c r="AB5" s="161"/>
    </row>
    <row r="6" spans="1:28" s="1017" customFormat="1" ht="7.5" customHeight="1" x14ac:dyDescent="0.35">
      <c r="A6" s="402"/>
      <c r="B6" s="733"/>
      <c r="C6" s="393"/>
      <c r="D6" s="1121"/>
      <c r="E6" s="1121"/>
      <c r="F6" s="1121"/>
      <c r="G6" s="393"/>
      <c r="H6" s="1121"/>
      <c r="I6" s="1121"/>
      <c r="J6" s="1121"/>
      <c r="K6" s="393"/>
      <c r="L6" s="1121"/>
      <c r="M6" s="1121"/>
      <c r="N6" s="1121"/>
      <c r="O6" s="393"/>
      <c r="P6" s="1121"/>
      <c r="Q6" s="1121"/>
      <c r="R6" s="1121"/>
      <c r="S6" s="1027"/>
      <c r="T6" s="1121"/>
      <c r="U6" s="1121"/>
      <c r="V6" s="1028"/>
      <c r="W6" s="179"/>
      <c r="X6" s="179"/>
      <c r="Y6" s="179"/>
      <c r="Z6" s="179"/>
      <c r="AA6" s="179"/>
      <c r="AB6" s="161"/>
    </row>
    <row r="7" spans="1:28" ht="20.149999999999999" customHeight="1" x14ac:dyDescent="0.35">
      <c r="A7" s="402"/>
      <c r="B7" s="977"/>
      <c r="C7" s="977"/>
      <c r="D7" s="977"/>
      <c r="E7" s="1114" t="str">
        <f>IF(AND(L2="Sim",$D$2&gt;D11,$D$2&lt;=F11),"SIM","NÃO")</f>
        <v>NÃO</v>
      </c>
      <c r="F7" s="981"/>
      <c r="G7" s="977"/>
      <c r="H7" s="981"/>
      <c r="I7" s="1141" t="str">
        <f>IF(AND(L2="Sim",$D$2&gt;H11,$D$2&lt;=J11),"SIM","NÃO")</f>
        <v>NÃO</v>
      </c>
      <c r="J7" s="981"/>
      <c r="K7" s="977"/>
      <c r="L7" s="981"/>
      <c r="M7" s="1114" t="str">
        <f>IF(AND(L2="Sim",$D$2&gt;L11,$D$2&lt;=N11),"SIM","NÃO")</f>
        <v>NÃO</v>
      </c>
      <c r="N7" s="981"/>
      <c r="O7" s="1139"/>
      <c r="P7" s="981"/>
      <c r="Q7" s="1114" t="str">
        <f>IF(AND(L2="Sim",$D$2&gt;P11,$D$2&lt;=R11),"SIM","NÃO")</f>
        <v>NÃO</v>
      </c>
      <c r="R7" s="981"/>
      <c r="S7" s="977"/>
      <c r="T7" s="981"/>
      <c r="U7" s="1142" t="str">
        <f>IF(AND(L2="Sim",$D$2&gt;T11,$D$2&lt;=V11*1.5),"SIM","NÃO")</f>
        <v>SIM</v>
      </c>
      <c r="V7" s="977"/>
      <c r="W7" s="161"/>
      <c r="X7" s="161"/>
      <c r="Y7" s="161"/>
      <c r="Z7" s="161"/>
      <c r="AA7" s="161"/>
      <c r="AB7" s="161"/>
    </row>
    <row r="8" spans="1:28" s="1017" customFormat="1" ht="7.5" customHeight="1" thickBot="1" x14ac:dyDescent="0.4">
      <c r="A8" s="402"/>
      <c r="B8" s="733"/>
      <c r="C8" s="393"/>
      <c r="D8" s="1121"/>
      <c r="E8" s="1121"/>
      <c r="F8" s="1121"/>
      <c r="G8" s="393"/>
      <c r="H8" s="1121"/>
      <c r="I8" s="1121"/>
      <c r="J8" s="1121"/>
      <c r="K8" s="393"/>
      <c r="L8" s="1121"/>
      <c r="M8" s="1121"/>
      <c r="N8" s="1121"/>
      <c r="O8" s="393"/>
      <c r="P8" s="1121"/>
      <c r="Q8" s="1121"/>
      <c r="R8" s="1121"/>
      <c r="S8" s="1027"/>
      <c r="T8" s="1121"/>
      <c r="U8" s="1121"/>
      <c r="V8" s="1028"/>
      <c r="W8" s="179"/>
      <c r="X8" s="179"/>
      <c r="Y8" s="179"/>
      <c r="Z8" s="179"/>
      <c r="AA8" s="179"/>
      <c r="AB8" s="161"/>
    </row>
    <row r="9" spans="1:28" s="1006" customFormat="1" ht="17.899999999999999" customHeight="1" thickTop="1" thickBot="1" x14ac:dyDescent="0.5">
      <c r="A9" s="1007"/>
      <c r="B9" s="2297" t="s">
        <v>697</v>
      </c>
      <c r="C9" s="1023"/>
      <c r="D9" s="2300" t="s">
        <v>708</v>
      </c>
      <c r="E9" s="2301"/>
      <c r="F9" s="2301"/>
      <c r="G9" s="2301"/>
      <c r="H9" s="2301"/>
      <c r="I9" s="2301"/>
      <c r="J9" s="2301"/>
      <c r="K9" s="2301"/>
      <c r="L9" s="2301"/>
      <c r="M9" s="2301"/>
      <c r="N9" s="2301"/>
      <c r="O9" s="2301"/>
      <c r="P9" s="2301"/>
      <c r="Q9" s="2301"/>
      <c r="R9" s="2301"/>
      <c r="S9" s="2301"/>
      <c r="T9" s="2301"/>
      <c r="U9" s="2301"/>
      <c r="V9" s="2302"/>
      <c r="W9" s="1150"/>
      <c r="X9" s="1150"/>
      <c r="Y9" s="1150"/>
      <c r="Z9" s="1150"/>
      <c r="AA9" s="1164"/>
      <c r="AB9" s="1009"/>
    </row>
    <row r="10" spans="1:28" ht="7.5" customHeight="1" x14ac:dyDescent="0.35">
      <c r="A10" s="402"/>
      <c r="B10" s="2298"/>
      <c r="C10" s="1023"/>
      <c r="D10" s="1132"/>
      <c r="E10" s="1020"/>
      <c r="F10" s="1020"/>
      <c r="G10" s="978"/>
      <c r="H10" s="1020"/>
      <c r="I10" s="1020"/>
      <c r="J10" s="1020"/>
      <c r="K10" s="978"/>
      <c r="L10" s="1020"/>
      <c r="M10" s="1020"/>
      <c r="N10" s="1020"/>
      <c r="O10" s="978"/>
      <c r="P10" s="1020"/>
      <c r="Q10" s="1020"/>
      <c r="R10" s="1020"/>
      <c r="S10" s="978"/>
      <c r="T10" s="1020"/>
      <c r="U10" s="1020"/>
      <c r="V10" s="1133"/>
      <c r="W10" s="179"/>
      <c r="X10" s="179"/>
      <c r="Y10" s="179"/>
      <c r="Z10" s="179"/>
      <c r="AA10" s="179"/>
      <c r="AB10" s="161"/>
    </row>
    <row r="11" spans="1:28" s="1006" customFormat="1" ht="17.899999999999999" customHeight="1" thickBot="1" x14ac:dyDescent="0.5">
      <c r="A11" s="1007"/>
      <c r="B11" s="2299"/>
      <c r="C11" s="1023"/>
      <c r="D11" s="1124">
        <v>50</v>
      </c>
      <c r="E11" s="1126" t="s">
        <v>19</v>
      </c>
      <c r="F11" s="1126">
        <v>150</v>
      </c>
      <c r="G11" s="1127"/>
      <c r="H11" s="1126">
        <f>F11</f>
        <v>150</v>
      </c>
      <c r="I11" s="1126" t="s">
        <v>19</v>
      </c>
      <c r="J11" s="1126">
        <v>300</v>
      </c>
      <c r="K11" s="1127"/>
      <c r="L11" s="1126">
        <f>J11</f>
        <v>300</v>
      </c>
      <c r="M11" s="1126" t="s">
        <v>19</v>
      </c>
      <c r="N11" s="1126">
        <v>500</v>
      </c>
      <c r="O11" s="1127"/>
      <c r="P11" s="1126">
        <f>N11</f>
        <v>500</v>
      </c>
      <c r="Q11" s="1126" t="s">
        <v>19</v>
      </c>
      <c r="R11" s="1126">
        <v>1000</v>
      </c>
      <c r="S11" s="1127"/>
      <c r="T11" s="1126">
        <f>R11</f>
        <v>1000</v>
      </c>
      <c r="U11" s="1126" t="s">
        <v>19</v>
      </c>
      <c r="V11" s="1128">
        <v>1500</v>
      </c>
      <c r="W11" s="1164"/>
      <c r="X11" s="1165"/>
      <c r="Y11" s="1165"/>
      <c r="Z11" s="1165"/>
      <c r="AA11" s="1165"/>
      <c r="AB11" s="1009"/>
    </row>
    <row r="12" spans="1:28" ht="15" customHeight="1" thickTop="1" thickBot="1" x14ac:dyDescent="0.4">
      <c r="A12" s="402"/>
      <c r="B12" s="1130"/>
      <c r="C12" s="875"/>
      <c r="D12" s="1131"/>
      <c r="E12" s="1131"/>
      <c r="F12" s="1131"/>
      <c r="G12" s="875"/>
      <c r="H12" s="1131"/>
      <c r="I12" s="1131"/>
      <c r="J12" s="1131"/>
      <c r="K12" s="875"/>
      <c r="L12" s="1131"/>
      <c r="M12" s="1131"/>
      <c r="N12" s="1131"/>
      <c r="O12" s="875"/>
      <c r="P12" s="1131"/>
      <c r="Q12" s="1131"/>
      <c r="R12" s="1131"/>
      <c r="S12" s="875"/>
      <c r="T12" s="1131"/>
      <c r="U12" s="1131"/>
      <c r="V12" s="1131"/>
      <c r="W12" s="179"/>
      <c r="X12" s="179"/>
      <c r="Y12" s="179"/>
      <c r="Z12" s="179"/>
      <c r="AA12" s="179"/>
      <c r="AB12" s="161"/>
    </row>
    <row r="13" spans="1:28" s="1006" customFormat="1" ht="25.15" customHeight="1" thickTop="1" thickBot="1" x14ac:dyDescent="0.5">
      <c r="A13" s="1007"/>
      <c r="B13" s="1060" t="s">
        <v>497</v>
      </c>
      <c r="C13" s="1025"/>
      <c r="D13" s="1062" t="s">
        <v>858</v>
      </c>
      <c r="E13" s="1063" t="s">
        <v>499</v>
      </c>
      <c r="F13" s="1064" t="s">
        <v>332</v>
      </c>
      <c r="G13" s="997"/>
      <c r="H13" s="1062" t="s">
        <v>858</v>
      </c>
      <c r="I13" s="1063" t="s">
        <v>499</v>
      </c>
      <c r="J13" s="1064" t="s">
        <v>332</v>
      </c>
      <c r="K13" s="997"/>
      <c r="L13" s="1062" t="s">
        <v>858</v>
      </c>
      <c r="M13" s="1063" t="s">
        <v>499</v>
      </c>
      <c r="N13" s="1064" t="s">
        <v>332</v>
      </c>
      <c r="O13" s="997"/>
      <c r="P13" s="1062" t="s">
        <v>858</v>
      </c>
      <c r="Q13" s="1063" t="s">
        <v>499</v>
      </c>
      <c r="R13" s="1064" t="s">
        <v>332</v>
      </c>
      <c r="S13" s="997"/>
      <c r="T13" s="1062" t="s">
        <v>858</v>
      </c>
      <c r="U13" s="1063" t="s">
        <v>499</v>
      </c>
      <c r="V13" s="1064" t="s">
        <v>332</v>
      </c>
      <c r="W13" s="1164">
        <v>100</v>
      </c>
      <c r="X13" s="1164">
        <v>225</v>
      </c>
      <c r="Y13" s="1164">
        <v>400</v>
      </c>
      <c r="Z13" s="1164">
        <v>750</v>
      </c>
      <c r="AA13" s="1164">
        <v>1250</v>
      </c>
      <c r="AB13" s="1009"/>
    </row>
    <row r="14" spans="1:28" ht="7.5" customHeight="1" x14ac:dyDescent="0.35">
      <c r="A14" s="402"/>
      <c r="B14" s="1088"/>
      <c r="C14" s="1025"/>
      <c r="D14" s="1094"/>
      <c r="E14" s="337"/>
      <c r="F14" s="1039"/>
      <c r="G14" s="1025"/>
      <c r="H14" s="1094"/>
      <c r="I14" s="337"/>
      <c r="J14" s="1039"/>
      <c r="K14" s="1025"/>
      <c r="L14" s="1094"/>
      <c r="M14" s="337"/>
      <c r="N14" s="1039"/>
      <c r="O14" s="1025"/>
      <c r="P14" s="1094"/>
      <c r="Q14" s="337"/>
      <c r="R14" s="1039"/>
      <c r="S14" s="1025"/>
      <c r="T14" s="1094"/>
      <c r="U14" s="337"/>
      <c r="V14" s="1039"/>
      <c r="W14" s="179"/>
      <c r="X14" s="179"/>
      <c r="Y14" s="179"/>
      <c r="Z14" s="179"/>
      <c r="AA14" s="179"/>
      <c r="AB14" s="161"/>
    </row>
    <row r="15" spans="1:28" ht="20.149999999999999" customHeight="1" x14ac:dyDescent="0.35">
      <c r="A15" s="407"/>
      <c r="B15" s="1035" t="s">
        <v>427</v>
      </c>
      <c r="C15" s="997"/>
      <c r="D15" s="1581">
        <v>204.23509527105</v>
      </c>
      <c r="E15" s="1514" t="str">
        <f>IF(E7="SIM",((((H15*(($D$2-D11)/(F11-D11))*$H$2/1000)*E21*$D$5*(1+'R&amp;C-Painel de Controle'!$D$62)+(H15*(($D$2-D11)/(F11-D11))*$H$2/1000)*(1-E21)*'R&amp;C-Painel de Controle'!$D$53*(1+'R&amp;C-Painel de Controle'!$D$55)))+(((D15*((F11-$D$2)/(F11-D11))*$H$2/1000)*E21*$D$5*(1+'R&amp;C-Painel de Controle'!$D$62)+(D15*((F11-$D$2)/(F11-D11))*$H$2/1000)*(1-E21)*'R&amp;C-Painel de Controle'!$D$53*(1+'R&amp;C-Painel de Controle'!$D$55))))/1000, "-")</f>
        <v>-</v>
      </c>
      <c r="F15" s="1515">
        <v>0.1</v>
      </c>
      <c r="G15" s="1026"/>
      <c r="H15" s="1581">
        <v>107.51340650951556</v>
      </c>
      <c r="I15" s="1514" t="str">
        <f>IF(I7="SIM",((((L15*(($D$2-H11)/(J11-H11))*$H$2/1000)*I21*$D$5*(1+'R&amp;C-Painel de Controle'!$D$62)+(L15*(($D$2-H11)/(J11-H11))*$H$2/1000)*(1-I21)*'R&amp;C-Painel de Controle'!$D$53*(1+'R&amp;C-Painel de Controle'!$D$55)))+(((H15*((J11-$D$2)/(J11-H11))*$H$2/1000)*I21*$D$5*(1+'R&amp;C-Painel de Controle'!$D$62)+(H15*((J11-$D$2)/(J11-H11))*$H$2/1000)*(1-I21)*'R&amp;C-Painel de Controle'!$D$53*(1+'R&amp;C-Painel de Controle'!$D$55))))/1000, "-")</f>
        <v>-</v>
      </c>
      <c r="J15" s="1515">
        <v>0.1</v>
      </c>
      <c r="K15" s="1026"/>
      <c r="L15" s="1581">
        <v>86.864179483193269</v>
      </c>
      <c r="M15" s="1514" t="str">
        <f>IF(M7="SIM",((((P15*(($D$2-L11)/(N11-L11))*$H$2/1000)*M21*$D$5*(1+'R&amp;C-Painel de Controle'!$D$62)+(P15*(($D$2-L11)/(N11-L11))*$H$2/1000)*(1-M21)*'R&amp;C-Painel de Controle'!$D$53*(1+'R&amp;C-Painel de Controle'!$D$55)))+(((L15*((N11-$D$2)/(N11-L11))*$H$2/1000)*M21*$D$5*(1+'R&amp;C-Painel de Controle'!$D$62)+(L15*((N11-$D$2)/(N11-L11))*$H$2/1000)*(1-M21)*'R&amp;C-Painel de Controle'!$D$53*(1+'R&amp;C-Painel de Controle'!$D$55))))/1000, "-")</f>
        <v>-</v>
      </c>
      <c r="N15" s="1515">
        <v>0.1</v>
      </c>
      <c r="O15" s="1026"/>
      <c r="P15" s="1581">
        <f>115.146141149983</f>
        <v>115.14614114998299</v>
      </c>
      <c r="Q15" s="1514" t="str">
        <f>IF(Q7="SIM",((((T15*(($D$2-P11)/(R11-P11))*$H$2/1000)*Q21*$D$5*(1+'R&amp;C-Painel de Controle'!$D$62)+(T15*(($D$2-P11)/(R11-P11))*$H$2/1000)*(1-Q21)*'R&amp;C-Painel de Controle'!$D$53*(1+'R&amp;C-Painel de Controle'!$D$55)))+(((P15*((R11-$D$2)/(R11-P11))*$H$2/1000)*Q21*$D$5*(1+'R&amp;C-Painel de Controle'!$D$62)+(P15*((R11-$D$2)/(R11-P11))*$H$2/1000)*(1-Q21)*'R&amp;C-Painel de Controle'!$D$53*(1+'R&amp;C-Painel de Controle'!$D$55))))/1000, "-")</f>
        <v>-</v>
      </c>
      <c r="R15" s="1515">
        <v>0.1</v>
      </c>
      <c r="S15" s="1582"/>
      <c r="T15" s="1581">
        <v>82.608010159567556</v>
      </c>
      <c r="U15" s="1514">
        <f>IF(U7="SIM",((((61.11233923305*(($D$2-T11)/(V11-T11))*$H$2/1000)*U21*$D$5*(1+'R&amp;C-Painel de Controle'!$D$62)+(61.11233923305*(($D$2-T11)/(V11-T11))*$H$2/1000)*(1-U21)*'R&amp;C-Painel de Controle'!$D$53*(1+'R&amp;C-Painel de Controle'!$D$55)))+(((T15*((V11-$D$2)/(V11-T11))*$H$2/1000)*U21*$D$5*(1+'R&amp;C-Painel de Controle'!$D$62)+(T15*((V11-$D$2)/(V11-T11))*$H$2/1000)*(1-U21)*'R&amp;C-Painel de Controle'!$D$53*(1+'R&amp;C-Painel de Controle'!$D$55))))/1000, "-")</f>
        <v>157.42932383115715</v>
      </c>
      <c r="V15" s="1515">
        <v>0.1</v>
      </c>
      <c r="W15" s="323">
        <v>30.188026315489164</v>
      </c>
      <c r="X15" s="323">
        <v>42.350533674649149</v>
      </c>
      <c r="Y15" s="323">
        <v>78.246319046111907</v>
      </c>
      <c r="Z15" s="335">
        <v>143.62054388829955</v>
      </c>
      <c r="AA15" s="323">
        <v>173.96339444813808</v>
      </c>
      <c r="AB15" s="162"/>
    </row>
    <row r="16" spans="1:28" ht="20.149999999999999" customHeight="1" x14ac:dyDescent="0.35">
      <c r="A16" s="407"/>
      <c r="B16" s="1035" t="s">
        <v>698</v>
      </c>
      <c r="C16" s="997"/>
      <c r="D16" s="1516">
        <f>70.5882352941177*(1-E25)</f>
        <v>56.470588235294159</v>
      </c>
      <c r="E16" s="1514" t="str">
        <f>IF(E7="SIM",(((((H16*(($D$2-D11)/(F11-D11))*$H$2/1000)*E21*$D$5*(1+'R&amp;C-Painel de Controle'!$D$55)*(1+'R&amp;C-Painel de Controle'!$D$62)+(H16*(($D$2-D11)/(F11-D11))*$H$2/1000)*(1-E21)*'R&amp;C-Painel de Controle'!$D$53*(1+'R&amp;C-Painel de Controle'!$D$55)))+(((D16*((F11-$D$2)/(F11-D11))*$H$2/1000)*E21*$D$5*(1+'R&amp;C-Painel de Controle'!$D$55)*(1+'R&amp;C-Painel de Controle'!$D$62)+(D16*((F11-$D$2)/(F11-D11))*$H$2/1000)*(1-E21)*'R&amp;C-Painel de Controle'!$D$53*(1+'R&amp;C-Painel de Controle'!$D$55))))/1000*(1+('R&amp;C-Painel de Controle'!$D$60-5000)/5000)+(D17-F17)*'R&amp;C-Painel de Controle'!$D$58/1000000)*(0.65*(1+'R&amp;C-Painel de Controle'!$D$62)+0.35*(1+('R&amp;C-Painel de Controle'!$D$60-5000)/5000)), "-")</f>
        <v>-</v>
      </c>
      <c r="F16" s="1517">
        <v>0.05</v>
      </c>
      <c r="G16" s="1026"/>
      <c r="H16" s="1516">
        <f>67.573159666955*(1-I25)</f>
        <v>54.058527733563999</v>
      </c>
      <c r="I16" s="1514" t="str">
        <f>IF(I7="SIM",(((((L16*(($D$2-H11)/(J11-H11))*$H$2/1000)*I21*$D$5*(1+'R&amp;C-Painel de Controle'!$D$55)*(1+'R&amp;C-Painel de Controle'!$D$62)+(L16*(($D$2-H11)/(J11-H11))*$H$2/1000)*(1-I21)*'R&amp;C-Painel de Controle'!$D$53*(1+'R&amp;C-Painel de Controle'!$D$55)))+(((H16*((J11-$D$2)/(J11-H11))*$H$2/1000)*I21*$D$5*(1+'R&amp;C-Painel de Controle'!$D$55)*(1+'R&amp;C-Painel de Controle'!$D$62)+(H16*((J11-$D$2)/(J11-H11))*$H$2/1000)*(1-I21)*'R&amp;C-Painel de Controle'!$D$53*(1+'R&amp;C-Painel de Controle'!$D$55))))/1000*(1+('R&amp;C-Painel de Controle'!$D$60-5000)/5000)+(H17-J17)*'R&amp;C-Painel de Controle'!$D$58/1000000)*(0.65*(1+'R&amp;C-Painel de Controle'!$D$62)+0.35*(1+('R&amp;C-Painel de Controle'!$D$60-5000)/5000)), "-")</f>
        <v>-</v>
      </c>
      <c r="J16" s="1517">
        <v>0.05</v>
      </c>
      <c r="K16" s="1026"/>
      <c r="L16" s="1516">
        <f>63.0570176722689*(1-M25)</f>
        <v>50.44561413781512</v>
      </c>
      <c r="M16" s="1514" t="str">
        <f>IF(M7="SIM",(((((P16*(($D$2-L11)/(N11-L11))*$H$2/1000)*M21*$D$5*(1+'R&amp;C-Painel de Controle'!$D$55)*(1+'R&amp;C-Painel de Controle'!$D$62)+(P16*(($D$2-L11)/(N11-L11))*$H$2/1000)*(1-M21)*'R&amp;C-Painel de Controle'!$D$53*(1+'R&amp;C-Painel de Controle'!$D$55)))+(((L16*((N11-$D$2)/(N11-L11))*$H$2/1000)*M21*$D$5*(1+'R&amp;C-Painel de Controle'!$D$55)*(1+'R&amp;C-Painel de Controle'!$D$62)+(L16*((N11-$D$2)/(N11-L11))*$H$2/1000)*(1-M21)*'R&amp;C-Painel de Controle'!$D$53*(1+'R&amp;C-Painel de Controle'!$D$55))))/1000*(1+('R&amp;C-Painel de Controle'!$D$60-5000)/5000)+(L17-N17)*'R&amp;C-Painel de Controle'!$D$58/1000000)*(0.65*(1+'R&amp;C-Painel de Controle'!$D$62)+0.35*(1+('R&amp;C-Painel de Controle'!$D$60-5000)/5000)), "-")</f>
        <v>-</v>
      </c>
      <c r="N16" s="1517">
        <v>0.05</v>
      </c>
      <c r="O16" s="1026"/>
      <c r="P16" s="1516">
        <f>61.6827698459384*(1-Q25)</f>
        <v>49.346215876750726</v>
      </c>
      <c r="Q16" s="1514" t="str">
        <f>IF(Q7="SIM",(((((T16*(($D$2-P11)/(R11-P11))*$H$2/1000)*Q21*$D$5*(1+'R&amp;C-Painel de Controle'!$D$55)*(1+'R&amp;C-Painel de Controle'!$D$62)+(T16*(($D$2-P11)/(R11-P11))*$H$2/1000)*(1-Q21)*'R&amp;C-Painel de Controle'!$D$53*(1+'R&amp;C-Painel de Controle'!$D$55)))+(((P16*((R11-$D$2)/(R11-P11))*$H$2/1000)*Q21*$D$5*(1+'R&amp;C-Painel de Controle'!$D$55)*(1+'R&amp;C-Painel de Controle'!$D$62)+(P16*((R11-$D$2)/(R11-P11))*$H$2/1000)*(1-Q21)*'R&amp;C-Painel de Controle'!$D$53*(1+'R&amp;C-Painel de Controle'!$D$55))))/1000*(1+('R&amp;C-Painel de Controle'!$D$60-5000)/5000)+(P17-R17)*'R&amp;C-Painel de Controle'!$D$58/1000000)*(0.65*(1+'R&amp;C-Painel de Controle'!$D$62)+0.35*(1+('R&amp;C-Painel de Controle'!$D$60-5000)/5000)), "-")</f>
        <v>-</v>
      </c>
      <c r="R16" s="1517">
        <v>0.05</v>
      </c>
      <c r="S16" s="1582"/>
      <c r="T16" s="1516">
        <f>62.8*(1-U25)</f>
        <v>50.24</v>
      </c>
      <c r="U16" s="1514">
        <f>IF(U7="SIM",(((((62.8*(($D$2-T11)/(V11-T11))*$H$2/1000)*U21*$D$5*(1+'R&amp;C-Painel de Controle'!$D$55)*(1+'R&amp;C-Painel de Controle'!$D$62)+(62.8*(($D$2-T11)/(V11-T11))*$H$2/1000)*(1-U21)*'R&amp;C-Painel de Controle'!$D$53*(1+'R&amp;C-Painel de Controle'!$D$55)))+(((T16*((V11-$D$2)/(V11-T11))*$H$2/1000)*U21*$D$5*(1+'R&amp;C-Painel de Controle'!$D$55)*(1+'R&amp;C-Painel de Controle'!$D$62)+(T16*((V11-$D$2)/(V11-T11))*$H$2/1000)*(1-U21)*'R&amp;C-Painel de Controle'!$D$53*(1+'R&amp;C-Painel de Controle'!$D$55))))/1000*(1+('R&amp;C-Painel de Controle'!$D$60-5000)/5000)+(T17-V17)*'R&amp;C-Painel de Controle'!$D$58/1000000)*(0.65*(1+'R&amp;C-Painel de Controle'!$D$62)+0.35*(1+('R&amp;C-Painel de Controle'!$D$60-5000)/5000)), "-")</f>
        <v>132.79772494898256</v>
      </c>
      <c r="V16" s="1517">
        <v>0.05</v>
      </c>
      <c r="W16" s="323">
        <v>15.867406442759496</v>
      </c>
      <c r="X16" s="323">
        <v>31.323852009522192</v>
      </c>
      <c r="Y16" s="323">
        <v>51.205676013371999</v>
      </c>
      <c r="Z16" s="335">
        <v>92.407443447205281</v>
      </c>
      <c r="AA16" s="323">
        <v>164.33217074614245</v>
      </c>
      <c r="AB16" s="162"/>
    </row>
    <row r="17" spans="1:28" ht="20.149999999999999" customHeight="1" x14ac:dyDescent="0.35">
      <c r="A17" s="407"/>
      <c r="B17" s="1035" t="s">
        <v>857</v>
      </c>
      <c r="C17" s="997"/>
      <c r="D17" s="1518" t="str">
        <f>(IF(E$7="SIM",2*(20*(20+(SQRT(F17))+20))+2*(20*(F17/(SQRT(F17))))+F17,"-"))</f>
        <v>-</v>
      </c>
      <c r="E17" s="1514" t="str">
        <f>(IF(E$7="SIM",('R&amp;C-Painel de Controle'!$D$56+0.25)*D17/1000000,"-"))</f>
        <v>-</v>
      </c>
      <c r="F17" s="1519" t="str">
        <f>IF(E7="SIM",(E22*E24)/0.0825,"-")</f>
        <v>-</v>
      </c>
      <c r="G17" s="1026"/>
      <c r="H17" s="1518" t="str">
        <f>(IF(I$7="SIM",2*(20*(20+(SQRT(J17))+20))+2*(20*(J17/(SQRT(J17))))+J17,"-"))</f>
        <v>-</v>
      </c>
      <c r="I17" s="1514" t="str">
        <f>(IF(I$7="SIM",('R&amp;C-Painel de Controle'!$D$56+0.25)*H17/1000000,"-"))</f>
        <v>-</v>
      </c>
      <c r="J17" s="1519" t="str">
        <f>IF(I7="SIM",(I22*I24)/0.0825,"-")</f>
        <v>-</v>
      </c>
      <c r="K17" s="1026"/>
      <c r="L17" s="1518" t="str">
        <f>(IF(M$7="SIM",2*(20*(20+(SQRT(N17))+20))+2*(20*(N17/(SQRT(N17))))+N17,"-"))</f>
        <v>-</v>
      </c>
      <c r="M17" s="1514" t="str">
        <f>(IF(M$7="SIM",('R&amp;C-Painel de Controle'!$D$56+0.25)*L17/1000000,"-"))</f>
        <v>-</v>
      </c>
      <c r="N17" s="1519" t="str">
        <f>IF(M7="SIM",(M22*M24)/0.0825,"-")</f>
        <v>-</v>
      </c>
      <c r="O17" s="1026"/>
      <c r="P17" s="1518" t="str">
        <f>(IF(Q$7="SIM",2*(20*(20+(SQRT(R17))+20))+2*(20*(R17/(SQRT(R17))))+R17,"-"))</f>
        <v>-</v>
      </c>
      <c r="Q17" s="1514" t="str">
        <f>(IF(Q$7="SIM",('R&amp;C-Painel de Controle'!$D$56+0.25)*P17/1000000,"-"))</f>
        <v>-</v>
      </c>
      <c r="R17" s="1519" t="str">
        <f>IF(Q7="SIM",(Q22*Q24)/0.0825,"-")</f>
        <v>-</v>
      </c>
      <c r="S17" s="1026"/>
      <c r="T17" s="1518">
        <f>(IF(U$7="SIM",2*(20*(20+(SQRT(V17))+20))+2*(20*(V17/(SQRT(V17))))+V17,"-"))</f>
        <v>162759.1198307196</v>
      </c>
      <c r="U17" s="1514">
        <f>(IF(U$7="SIM",('R&amp;C-Painel de Controle'!$D$56+0.25)*T17/1000000,"-"))</f>
        <v>14.689010564722444</v>
      </c>
      <c r="V17" s="1519">
        <f>IF(U7="SIM",(U22*U24)/0.0825,"-")</f>
        <v>132084.38719175564</v>
      </c>
      <c r="W17" s="323">
        <v>2.1106024674341599</v>
      </c>
      <c r="X17" s="323">
        <v>3.9579037237977364</v>
      </c>
      <c r="Y17" s="323">
        <v>6.3812082504196974</v>
      </c>
      <c r="Z17" s="335">
        <v>11.014894519118963</v>
      </c>
      <c r="AA17" s="323">
        <v>17.42408705424014</v>
      </c>
      <c r="AB17" s="162"/>
    </row>
    <row r="18" spans="1:28" ht="20.149999999999999" customHeight="1" x14ac:dyDescent="0.35">
      <c r="A18" s="407"/>
      <c r="B18" s="1035" t="s">
        <v>495</v>
      </c>
      <c r="C18" s="997"/>
      <c r="D18" s="1583" t="str">
        <f>IF(E7="SIM",(E15+E16)*F18*1000/$H$2,"-")</f>
        <v>-</v>
      </c>
      <c r="E18" s="1514" t="str">
        <f>(IF(E$7="SIM",$H$2*D18/1000,""))</f>
        <v/>
      </c>
      <c r="F18" s="1515">
        <v>0.05</v>
      </c>
      <c r="G18" s="1026"/>
      <c r="H18" s="1583" t="str">
        <f>IF(I7="SIM",(I15+I16)*J18*1000/$H$2,"-")</f>
        <v>-</v>
      </c>
      <c r="I18" s="1514" t="str">
        <f>(IF(I$7="SIM",$H$2*H18/1000,""))</f>
        <v/>
      </c>
      <c r="J18" s="1515">
        <v>0.05</v>
      </c>
      <c r="K18" s="1026"/>
      <c r="L18" s="1583" t="str">
        <f>IF(M7="SIM",(M15+M16)*N18*1000/$H$2,"-")</f>
        <v>-</v>
      </c>
      <c r="M18" s="1514" t="str">
        <f>(IF(M$7="SIM",$H$2*L18/1000,""))</f>
        <v/>
      </c>
      <c r="N18" s="1515">
        <v>7.4999999999999997E-2</v>
      </c>
      <c r="O18" s="1026"/>
      <c r="P18" s="1583" t="str">
        <f>IF(Q7="SIM",(Q15+Q16)*R18*1000/$H$2,"-")</f>
        <v>-</v>
      </c>
      <c r="Q18" s="1514" t="str">
        <f>(IF(Q$7="SIM",$H$2*P18/1000,""))</f>
        <v/>
      </c>
      <c r="R18" s="1515">
        <v>7.4999999999999997E-2</v>
      </c>
      <c r="S18" s="1026"/>
      <c r="T18" s="1583">
        <f>IF(U7="SIM",(U15+U16)*V18*1000/$H$2,"-")</f>
        <v>6.739311268407884E-2</v>
      </c>
      <c r="U18" s="1514">
        <f>(IF(U$7="SIM",$H$2*T18/1000,""))</f>
        <v>21.76702865851048</v>
      </c>
      <c r="V18" s="1515">
        <v>7.4999999999999997E-2</v>
      </c>
      <c r="W18" s="323">
        <v>2.302771637912433</v>
      </c>
      <c r="X18" s="323">
        <v>3.6837192842085673</v>
      </c>
      <c r="Y18" s="323">
        <v>12.945199505948393</v>
      </c>
      <c r="Z18" s="335">
        <v>23.602798733550486</v>
      </c>
      <c r="AA18" s="323">
        <v>33.829556519428053</v>
      </c>
      <c r="AB18" s="162"/>
    </row>
    <row r="19" spans="1:28" s="1006" customFormat="1" ht="25.15" customHeight="1" collapsed="1" thickBot="1" x14ac:dyDescent="0.5">
      <c r="A19" s="1003"/>
      <c r="B19" s="1036" t="s">
        <v>428</v>
      </c>
      <c r="C19" s="1026"/>
      <c r="D19" s="1521">
        <v>0.1</v>
      </c>
      <c r="E19" s="1037" t="str">
        <f>IF(E7="SIM",SUM(E15:E18)*(1+D19),"-")</f>
        <v>-</v>
      </c>
      <c r="F19" s="1154" t="str">
        <f>IF(E7="SIM",(E16)/E19,"-")</f>
        <v>-</v>
      </c>
      <c r="G19" s="1026"/>
      <c r="H19" s="1521">
        <v>0.1</v>
      </c>
      <c r="I19" s="1037" t="str">
        <f>IF(I7="SIM",SUM(I15:I18)*(1+H19),"-")</f>
        <v>-</v>
      </c>
      <c r="J19" s="1154" t="str">
        <f>IF(I7="SIM",(I16)/I19,"-")</f>
        <v>-</v>
      </c>
      <c r="K19" s="1026"/>
      <c r="L19" s="1521">
        <v>7.4999999999999997E-2</v>
      </c>
      <c r="M19" s="1037" t="str">
        <f>IF(M7="SIM",SUM(M15:M18)*(1+L19),"-")</f>
        <v>-</v>
      </c>
      <c r="N19" s="1154" t="str">
        <f>IF(M7="SIM",(M16)/M19,"-")</f>
        <v>-</v>
      </c>
      <c r="O19" s="1026"/>
      <c r="P19" s="1520">
        <v>0.05</v>
      </c>
      <c r="Q19" s="1037" t="str">
        <f>IF(Q7="SIM",SUM(Q15:Q18)*(1+P19),"-")</f>
        <v>-</v>
      </c>
      <c r="R19" s="1154" t="str">
        <f>IF(Q7="SIM",(Q16)/Q19,"-")</f>
        <v>-</v>
      </c>
      <c r="S19" s="1026"/>
      <c r="T19" s="1520">
        <v>0.05</v>
      </c>
      <c r="U19" s="1037">
        <f>IF(U7="SIM",SUM(U15:U18)*(1+T19),"-")</f>
        <v>343.01724240354127</v>
      </c>
      <c r="V19" s="1154">
        <f>IF(U7="SIM",(U16)/U19,"-")</f>
        <v>0.38714591726777747</v>
      </c>
      <c r="W19" s="1004">
        <v>52.992247206775019</v>
      </c>
      <c r="X19" s="1004">
        <v>85.381809126786536</v>
      </c>
      <c r="Y19" s="1004">
        <v>156.21732295664461</v>
      </c>
      <c r="Z19" s="1163">
        <v>284.17796461758303</v>
      </c>
      <c r="AA19" s="1004">
        <v>409.02666920634613</v>
      </c>
      <c r="AB19" s="1005"/>
    </row>
    <row r="20" spans="1:28" ht="18" hidden="1" customHeight="1" outlineLevel="1" thickTop="1" x14ac:dyDescent="0.35">
      <c r="A20" s="402"/>
      <c r="B20" s="891" t="s">
        <v>429</v>
      </c>
      <c r="C20" s="880"/>
      <c r="D20" s="1014" t="s">
        <v>332</v>
      </c>
      <c r="E20" s="313" t="str">
        <f>IF(E7="SIM",E19*1000000/$H$2,"-")</f>
        <v>-</v>
      </c>
      <c r="F20" s="1014" t="s">
        <v>332</v>
      </c>
      <c r="G20" s="880"/>
      <c r="H20" s="1014" t="s">
        <v>332</v>
      </c>
      <c r="I20" s="313" t="str">
        <f>IF(I7="SIM",I19*1000000/$H$2,"-")</f>
        <v>-</v>
      </c>
      <c r="J20" s="1014" t="s">
        <v>332</v>
      </c>
      <c r="K20" s="880"/>
      <c r="L20" s="1014" t="s">
        <v>332</v>
      </c>
      <c r="M20" s="313" t="str">
        <f>IF(M7="SIM",M19*1000000/$H$2,"-")</f>
        <v>-</v>
      </c>
      <c r="N20" s="1014" t="s">
        <v>332</v>
      </c>
      <c r="O20" s="880"/>
      <c r="P20" s="1014" t="s">
        <v>332</v>
      </c>
      <c r="Q20" s="313" t="str">
        <f>IF(Q7="SIM",Q19*1000000/$H$2,"-")</f>
        <v>-</v>
      </c>
      <c r="R20" s="1014" t="s">
        <v>332</v>
      </c>
      <c r="S20" s="880"/>
      <c r="T20" s="1014" t="s">
        <v>332</v>
      </c>
      <c r="U20" s="313">
        <f>IF(U7="SIM",U19*1000000/$H$2,"-")</f>
        <v>1062.0190763081278</v>
      </c>
      <c r="V20" s="1014" t="s">
        <v>332</v>
      </c>
      <c r="W20" s="321">
        <v>1693.0349151824053</v>
      </c>
      <c r="X20" s="321">
        <v>1212.376669922834</v>
      </c>
      <c r="Y20" s="321">
        <v>1247.7406988504947</v>
      </c>
      <c r="Z20" s="321">
        <v>1210.5549850641194</v>
      </c>
      <c r="AA20" s="321">
        <v>1045.435174799145</v>
      </c>
      <c r="AB20" s="161"/>
    </row>
    <row r="21" spans="1:28" ht="18" hidden="1" customHeight="1" outlineLevel="1" x14ac:dyDescent="0.35">
      <c r="A21" s="402"/>
      <c r="B21" s="891" t="s">
        <v>696</v>
      </c>
      <c r="C21" s="880"/>
      <c r="D21" s="345"/>
      <c r="E21" s="346">
        <f>'R&amp;C-Painel de Controle'!$G$66</f>
        <v>0.5</v>
      </c>
      <c r="F21" s="1014"/>
      <c r="G21" s="881"/>
      <c r="H21" s="1014"/>
      <c r="I21" s="346">
        <f>'R&amp;C-Painel de Controle'!$G$66</f>
        <v>0.5</v>
      </c>
      <c r="J21" s="1014"/>
      <c r="K21" s="881"/>
      <c r="L21" s="1014"/>
      <c r="M21" s="346">
        <f>'R&amp;C-Painel de Controle'!$G$66</f>
        <v>0.5</v>
      </c>
      <c r="N21" s="1014"/>
      <c r="O21" s="881"/>
      <c r="P21" s="1014"/>
      <c r="Q21" s="346">
        <f>'R&amp;C-Painel de Controle'!$G$66</f>
        <v>0.5</v>
      </c>
      <c r="R21" s="1014"/>
      <c r="S21" s="881"/>
      <c r="T21" s="1014"/>
      <c r="U21" s="346">
        <f>'R&amp;C-Painel de Controle'!$G$66</f>
        <v>0.5</v>
      </c>
      <c r="V21" s="345"/>
      <c r="W21" s="179"/>
      <c r="X21" s="324">
        <f t="shared" ref="X21:Y21" si="0">(X20-W20)/W20</f>
        <v>-0.2839033270662264</v>
      </c>
      <c r="Y21" s="324">
        <f t="shared" si="0"/>
        <v>2.9169176383039071E-2</v>
      </c>
      <c r="Z21" s="324">
        <f t="shared" ref="Z21:AA21" si="1">(Z20-Y20)/Z20</f>
        <v>-3.0717905626075903E-2</v>
      </c>
      <c r="AA21" s="324">
        <f t="shared" si="1"/>
        <v>-0.15794361453037789</v>
      </c>
      <c r="AB21" s="161"/>
    </row>
    <row r="22" spans="1:28" ht="18" hidden="1" customHeight="1" outlineLevel="1" x14ac:dyDescent="0.35">
      <c r="A22" s="402"/>
      <c r="B22" s="891" t="s">
        <v>709</v>
      </c>
      <c r="C22" s="880"/>
      <c r="D22" s="353">
        <f>$H$2/4250</f>
        <v>75.996694588235286</v>
      </c>
      <c r="E22" s="313">
        <f>((($H$2/0.57)/52)*(E23))/(3.5*E24)</f>
        <v>82.552741994847281</v>
      </c>
      <c r="F22" s="345"/>
      <c r="G22" s="880"/>
      <c r="H22" s="353">
        <f>$H$2/4250</f>
        <v>75.996694588235286</v>
      </c>
      <c r="I22" s="313">
        <f>((($H$2/0.57)/52)*(I23))/(3.5*I24)</f>
        <v>76.202531072166721</v>
      </c>
      <c r="J22" s="345"/>
      <c r="K22" s="880"/>
      <c r="L22" s="353">
        <f>$H$2/4250</f>
        <v>75.996694588235286</v>
      </c>
      <c r="M22" s="313">
        <f>((($H$2/0.57)/52)*(M23))/(3.5*M24)</f>
        <v>60.038357814434384</v>
      </c>
      <c r="N22" s="345"/>
      <c r="O22" s="880"/>
      <c r="P22" s="353">
        <f>$H$2/4250</f>
        <v>75.996694588235286</v>
      </c>
      <c r="Q22" s="313">
        <f>((($H$2/0.57)/52)*(Q23))/(3.5*Q24)</f>
        <v>49.531645196908364</v>
      </c>
      <c r="R22" s="345"/>
      <c r="S22" s="880"/>
      <c r="T22" s="353">
        <f>$H$2/4250</f>
        <v>75.996694588235286</v>
      </c>
      <c r="U22" s="313">
        <f>((($H$2/0.57)/52)*(U23))/(3.5*U24)</f>
        <v>36.323206477732803</v>
      </c>
      <c r="V22" s="345"/>
      <c r="W22" s="161"/>
      <c r="X22" s="161"/>
      <c r="Y22" s="161"/>
      <c r="Z22" s="179"/>
      <c r="AA22" s="179"/>
      <c r="AB22" s="161"/>
    </row>
    <row r="23" spans="1:28" ht="18" hidden="1" customHeight="1" outlineLevel="1" x14ac:dyDescent="0.35">
      <c r="A23" s="402"/>
      <c r="B23" s="891" t="s">
        <v>444</v>
      </c>
      <c r="C23" s="880"/>
      <c r="D23" s="1014"/>
      <c r="E23" s="1014">
        <v>3.5</v>
      </c>
      <c r="F23" s="1014"/>
      <c r="G23" s="881"/>
      <c r="H23" s="1014"/>
      <c r="I23" s="1014">
        <v>3.5</v>
      </c>
      <c r="J23" s="1014"/>
      <c r="K23" s="881"/>
      <c r="L23" s="1014"/>
      <c r="M23" s="1014">
        <v>3.5</v>
      </c>
      <c r="N23" s="1014"/>
      <c r="O23" s="881"/>
      <c r="P23" s="1014"/>
      <c r="Q23" s="1014">
        <v>3.5</v>
      </c>
      <c r="R23" s="1014"/>
      <c r="S23" s="881"/>
      <c r="T23" s="1014"/>
      <c r="U23" s="1014">
        <v>3.5</v>
      </c>
      <c r="V23" s="1014"/>
      <c r="W23" s="179"/>
      <c r="X23" s="179"/>
      <c r="Y23" s="179"/>
      <c r="Z23" s="319"/>
      <c r="AA23" s="319"/>
      <c r="AB23" s="161"/>
    </row>
    <row r="24" spans="1:28" ht="18" hidden="1" customHeight="1" outlineLevel="1" x14ac:dyDescent="0.35">
      <c r="A24" s="402"/>
      <c r="B24" s="891" t="s">
        <v>445</v>
      </c>
      <c r="C24" s="880"/>
      <c r="D24" s="354">
        <v>5.5</v>
      </c>
      <c r="E24" s="314">
        <f>(D24)*(F24)</f>
        <v>132</v>
      </c>
      <c r="F24" s="314">
        <v>24</v>
      </c>
      <c r="G24" s="890"/>
      <c r="H24" s="354">
        <v>5.5</v>
      </c>
      <c r="I24" s="314">
        <f>(H24)*(J24)</f>
        <v>143</v>
      </c>
      <c r="J24" s="314">
        <v>26</v>
      </c>
      <c r="K24" s="890"/>
      <c r="L24" s="354">
        <v>5.5</v>
      </c>
      <c r="M24" s="314">
        <f>(L24)*(N24)</f>
        <v>181.5</v>
      </c>
      <c r="N24" s="354">
        <v>33</v>
      </c>
      <c r="O24" s="890"/>
      <c r="P24" s="354">
        <v>5.5</v>
      </c>
      <c r="Q24" s="314">
        <f>(P24)*(R24)</f>
        <v>220</v>
      </c>
      <c r="R24" s="354">
        <v>40</v>
      </c>
      <c r="S24" s="890"/>
      <c r="T24" s="354">
        <v>7.5</v>
      </c>
      <c r="U24" s="314">
        <f>(T24)*(V24)</f>
        <v>300</v>
      </c>
      <c r="V24" s="314">
        <v>40</v>
      </c>
      <c r="W24" s="161"/>
      <c r="X24" s="161"/>
      <c r="Y24" s="161"/>
      <c r="Z24" s="161"/>
      <c r="AA24" s="161"/>
      <c r="AB24" s="161"/>
    </row>
    <row r="25" spans="1:28" ht="18" hidden="1" customHeight="1" outlineLevel="1" x14ac:dyDescent="0.35">
      <c r="A25" s="402"/>
      <c r="B25" s="891" t="s">
        <v>710</v>
      </c>
      <c r="C25" s="880"/>
      <c r="D25" s="345"/>
      <c r="E25" s="346">
        <f>15%/75%</f>
        <v>0.19999999999999998</v>
      </c>
      <c r="F25" s="347"/>
      <c r="G25" s="882"/>
      <c r="H25" s="355"/>
      <c r="I25" s="346">
        <f>E25</f>
        <v>0.19999999999999998</v>
      </c>
      <c r="J25" s="347"/>
      <c r="K25" s="882"/>
      <c r="L25" s="313"/>
      <c r="M25" s="346">
        <f>I25</f>
        <v>0.19999999999999998</v>
      </c>
      <c r="N25" s="346"/>
      <c r="O25" s="882"/>
      <c r="P25" s="313"/>
      <c r="Q25" s="346">
        <f>M25</f>
        <v>0.19999999999999998</v>
      </c>
      <c r="R25" s="346"/>
      <c r="S25" s="882"/>
      <c r="T25" s="313"/>
      <c r="U25" s="346">
        <f>Q25</f>
        <v>0.19999999999999998</v>
      </c>
      <c r="V25" s="346"/>
      <c r="W25" s="161"/>
      <c r="X25" s="161"/>
      <c r="Y25" s="161"/>
      <c r="Z25" s="161"/>
      <c r="AA25" s="161"/>
      <c r="AB25" s="161"/>
    </row>
    <row r="26" spans="1:28" ht="18" hidden="1" customHeight="1" outlineLevel="1" x14ac:dyDescent="0.35">
      <c r="A26" s="402"/>
      <c r="B26" s="891" t="s">
        <v>492</v>
      </c>
      <c r="C26" s="881"/>
      <c r="D26" s="346"/>
      <c r="E26" s="348" t="str">
        <f>IF(E7="SIM",(E15*F15+E16*F16)/4,"-")</f>
        <v>-</v>
      </c>
      <c r="F26" s="1014"/>
      <c r="G26" s="881"/>
      <c r="H26" s="1014"/>
      <c r="I26" s="348" t="str">
        <f>IF(I7="SIM",(I15*J15+I16*J16)/4,"-")</f>
        <v>-</v>
      </c>
      <c r="J26" s="1014"/>
      <c r="K26" s="881"/>
      <c r="L26" s="1014"/>
      <c r="M26" s="348" t="str">
        <f>IF(M7="SIM",(M15*N15+M16*N16)/4,"-")</f>
        <v>-</v>
      </c>
      <c r="N26" s="1014"/>
      <c r="O26" s="881"/>
      <c r="P26" s="1014"/>
      <c r="Q26" s="348" t="str">
        <f>IF(Q7="SIM",(Q15*R15+Q16*R16)/4,"-")</f>
        <v>-</v>
      </c>
      <c r="R26" s="1014"/>
      <c r="S26" s="881"/>
      <c r="T26" s="1014"/>
      <c r="U26" s="348">
        <f>IF(U7="SIM",(U15*V15+U16*V16)/4,"-")</f>
        <v>5.5957046576412104</v>
      </c>
      <c r="V26" s="345"/>
      <c r="W26" s="161"/>
      <c r="X26" s="161"/>
      <c r="Y26" s="161"/>
      <c r="Z26" s="161"/>
      <c r="AA26" s="161"/>
      <c r="AB26" s="161"/>
    </row>
    <row r="27" spans="1:28" s="1017" customFormat="1" ht="15" customHeight="1" collapsed="1" thickTop="1" thickBot="1" x14ac:dyDescent="0.4">
      <c r="A27" s="402"/>
      <c r="B27" s="884"/>
      <c r="C27" s="880"/>
      <c r="D27" s="345"/>
      <c r="E27" s="345"/>
      <c r="F27" s="345"/>
      <c r="G27" s="880"/>
      <c r="H27" s="345"/>
      <c r="I27" s="345"/>
      <c r="J27" s="345"/>
      <c r="K27" s="880"/>
      <c r="L27" s="345"/>
      <c r="M27" s="345"/>
      <c r="N27" s="345"/>
      <c r="O27" s="880"/>
      <c r="P27" s="345"/>
      <c r="Q27" s="345"/>
      <c r="R27" s="345"/>
      <c r="S27" s="880"/>
      <c r="T27" s="345"/>
      <c r="U27" s="345"/>
      <c r="V27" s="345"/>
      <c r="W27" s="161"/>
      <c r="X27" s="161"/>
      <c r="Y27" s="161"/>
      <c r="Z27" s="161"/>
      <c r="AA27" s="161"/>
      <c r="AB27" s="161"/>
    </row>
    <row r="28" spans="1:28" s="1143" customFormat="1" ht="25.15" customHeight="1" thickTop="1" thickBot="1" x14ac:dyDescent="0.5">
      <c r="A28" s="1003"/>
      <c r="B28" s="1136" t="s">
        <v>496</v>
      </c>
      <c r="C28" s="1023"/>
      <c r="D28" s="1065" t="s">
        <v>858</v>
      </c>
      <c r="E28" s="1066" t="s">
        <v>867</v>
      </c>
      <c r="F28" s="1067" t="s">
        <v>332</v>
      </c>
      <c r="G28" s="393"/>
      <c r="H28" s="1068" t="s">
        <v>858</v>
      </c>
      <c r="I28" s="1069" t="s">
        <v>867</v>
      </c>
      <c r="J28" s="1070" t="s">
        <v>332</v>
      </c>
      <c r="K28" s="393"/>
      <c r="L28" s="1068" t="s">
        <v>858</v>
      </c>
      <c r="M28" s="1069" t="s">
        <v>867</v>
      </c>
      <c r="N28" s="1070" t="s">
        <v>332</v>
      </c>
      <c r="O28" s="393"/>
      <c r="P28" s="1068" t="s">
        <v>858</v>
      </c>
      <c r="Q28" s="1069" t="s">
        <v>867</v>
      </c>
      <c r="R28" s="1070" t="s">
        <v>332</v>
      </c>
      <c r="S28" s="393"/>
      <c r="T28" s="1068" t="s">
        <v>858</v>
      </c>
      <c r="U28" s="1069" t="s">
        <v>867</v>
      </c>
      <c r="V28" s="1070" t="s">
        <v>332</v>
      </c>
      <c r="W28" s="1005"/>
      <c r="X28" s="1005"/>
      <c r="Y28" s="1005"/>
      <c r="Z28" s="1005"/>
      <c r="AA28" s="1005"/>
      <c r="AB28" s="1005"/>
    </row>
    <row r="29" spans="1:28" s="1017" customFormat="1" ht="7.5" customHeight="1" x14ac:dyDescent="0.35">
      <c r="A29" s="402"/>
      <c r="B29" s="1135"/>
      <c r="C29" s="1025"/>
      <c r="D29" s="1094"/>
      <c r="E29" s="343"/>
      <c r="F29" s="1095"/>
      <c r="G29" s="1079"/>
      <c r="H29" s="1100"/>
      <c r="I29" s="343"/>
      <c r="J29" s="1096"/>
      <c r="K29" s="1079"/>
      <c r="L29" s="1101"/>
      <c r="M29" s="343"/>
      <c r="N29" s="1096"/>
      <c r="O29" s="1079"/>
      <c r="P29" s="1101"/>
      <c r="Q29" s="343"/>
      <c r="R29" s="1096"/>
      <c r="S29" s="1079"/>
      <c r="T29" s="1101"/>
      <c r="U29" s="343"/>
      <c r="V29" s="1102"/>
      <c r="W29" s="161"/>
      <c r="X29" s="161"/>
      <c r="Y29" s="161"/>
      <c r="Z29" s="161"/>
      <c r="AA29" s="161"/>
      <c r="AB29" s="161"/>
    </row>
    <row r="30" spans="1:28" ht="20.149999999999999" customHeight="1" collapsed="1" x14ac:dyDescent="0.35">
      <c r="A30" s="407"/>
      <c r="B30" s="1035" t="s">
        <v>432</v>
      </c>
      <c r="C30" s="997"/>
      <c r="D30" s="1134"/>
      <c r="E30" s="1011" t="str">
        <f>(IF(E$7="SIM",(E34)*2.4*12/$H$2,"-"))</f>
        <v>-</v>
      </c>
      <c r="F30" s="1515"/>
      <c r="G30" s="1582"/>
      <c r="H30" s="1586"/>
      <c r="I30" s="1011" t="str">
        <f>(IF(I$7="SIM",(I34)*2.4*12/$H$2,"-"))</f>
        <v>-</v>
      </c>
      <c r="J30" s="1589"/>
      <c r="K30" s="1582"/>
      <c r="L30" s="1586"/>
      <c r="M30" s="1011" t="str">
        <f>(IF(M$7="SIM",(M34)*2.4*12/$H$2,"-"))</f>
        <v>-</v>
      </c>
      <c r="N30" s="1589"/>
      <c r="O30" s="1582"/>
      <c r="P30" s="1586"/>
      <c r="Q30" s="1011" t="str">
        <f>(IF(Q$7="SIM",(Q34)*2.4*12/$H$2,"-"))</f>
        <v>-</v>
      </c>
      <c r="R30" s="1589"/>
      <c r="S30" s="1582"/>
      <c r="T30" s="1586"/>
      <c r="U30" s="1107">
        <f>(IF(U$7="SIM",(U34)*2.4*12/$H$2,"-"))</f>
        <v>12.840186931721414</v>
      </c>
      <c r="V30" s="1103"/>
      <c r="W30" s="334"/>
      <c r="X30" s="334"/>
      <c r="Y30" s="334"/>
      <c r="Z30" s="334"/>
      <c r="AA30" s="334"/>
      <c r="AB30" s="162"/>
    </row>
    <row r="31" spans="1:28" ht="15" hidden="1" customHeight="1" outlineLevel="1" x14ac:dyDescent="0.35">
      <c r="A31" s="402"/>
      <c r="B31" s="1089"/>
      <c r="C31" s="1040"/>
      <c r="D31" s="1134"/>
      <c r="E31" s="1011"/>
      <c r="F31" s="1515"/>
      <c r="G31" s="1582"/>
      <c r="H31" s="1586"/>
      <c r="I31" s="1011"/>
      <c r="J31" s="1589"/>
      <c r="K31" s="1582"/>
      <c r="L31" s="1586"/>
      <c r="M31" s="1011"/>
      <c r="N31" s="1589"/>
      <c r="O31" s="1582"/>
      <c r="P31" s="1586"/>
      <c r="Q31" s="1011"/>
      <c r="R31" s="1589"/>
      <c r="S31" s="1582"/>
      <c r="T31" s="1586"/>
      <c r="U31" s="1107"/>
      <c r="V31" s="1103"/>
      <c r="W31" s="161"/>
      <c r="X31" s="161"/>
      <c r="Y31" s="161"/>
      <c r="Z31" s="161"/>
      <c r="AA31" s="161"/>
      <c r="AB31" s="161"/>
    </row>
    <row r="32" spans="1:28" ht="18" hidden="1" customHeight="1" outlineLevel="1" x14ac:dyDescent="0.35">
      <c r="A32" s="402"/>
      <c r="B32" s="1090" t="s">
        <v>687</v>
      </c>
      <c r="C32" s="1025"/>
      <c r="D32" s="1134"/>
      <c r="E32" s="1554">
        <v>2</v>
      </c>
      <c r="F32" s="1515"/>
      <c r="G32" s="1552"/>
      <c r="H32" s="1586"/>
      <c r="I32" s="1554">
        <v>2</v>
      </c>
      <c r="J32" s="1590"/>
      <c r="K32" s="1552"/>
      <c r="L32" s="1513"/>
      <c r="M32" s="1554">
        <v>2</v>
      </c>
      <c r="N32" s="1590"/>
      <c r="O32" s="1552"/>
      <c r="P32" s="1513"/>
      <c r="Q32" s="1554">
        <v>2</v>
      </c>
      <c r="R32" s="1590"/>
      <c r="S32" s="1552"/>
      <c r="T32" s="1513"/>
      <c r="U32" s="1554">
        <v>2</v>
      </c>
      <c r="V32" s="1103"/>
      <c r="W32" s="321"/>
      <c r="X32" s="321"/>
      <c r="Y32" s="321"/>
      <c r="Z32" s="321"/>
      <c r="AA32" s="321"/>
      <c r="AB32" s="161"/>
    </row>
    <row r="33" spans="1:28" ht="18" hidden="1" customHeight="1" outlineLevel="1" x14ac:dyDescent="0.35">
      <c r="A33" s="402"/>
      <c r="B33" s="1090" t="s">
        <v>699</v>
      </c>
      <c r="C33" s="1025"/>
      <c r="D33" s="1134"/>
      <c r="E33" s="1554">
        <v>4</v>
      </c>
      <c r="F33" s="1515"/>
      <c r="G33" s="1552"/>
      <c r="H33" s="1586"/>
      <c r="I33" s="1554">
        <v>5</v>
      </c>
      <c r="J33" s="1590"/>
      <c r="K33" s="1552"/>
      <c r="L33" s="1513"/>
      <c r="M33" s="1554">
        <v>8</v>
      </c>
      <c r="N33" s="1590"/>
      <c r="O33" s="1552"/>
      <c r="P33" s="1513"/>
      <c r="Q33" s="1554">
        <v>8</v>
      </c>
      <c r="R33" s="1590"/>
      <c r="S33" s="1552"/>
      <c r="T33" s="1513"/>
      <c r="U33" s="1554">
        <v>8</v>
      </c>
      <c r="V33" s="1103"/>
      <c r="W33" s="321"/>
      <c r="X33" s="321"/>
      <c r="Y33" s="321"/>
      <c r="Z33" s="321"/>
      <c r="AA33" s="321"/>
      <c r="AB33" s="161"/>
    </row>
    <row r="34" spans="1:28" ht="18" hidden="1" customHeight="1" outlineLevel="1" x14ac:dyDescent="0.35">
      <c r="A34" s="402"/>
      <c r="B34" s="1090" t="s">
        <v>689</v>
      </c>
      <c r="C34" s="1025"/>
      <c r="D34" s="1134"/>
      <c r="E34" s="1542">
        <f>0.6*'R&amp;C-Painel de Controle'!$D$64+0.6*E32*3*'R&amp;C-Painel de Controle'!$D65+E33*E32*'R&amp;C-Painel de Controle'!$D$66</f>
        <v>60000</v>
      </c>
      <c r="F34" s="1515"/>
      <c r="G34" s="1544"/>
      <c r="H34" s="1586"/>
      <c r="I34" s="1542">
        <f>0.7*'R&amp;C-Painel de Controle'!$D$64+0.7*I32*3*'R&amp;C-Painel de Controle'!$D65+I33*I32*'R&amp;C-Painel de Controle'!$D$66</f>
        <v>71000</v>
      </c>
      <c r="J34" s="1587"/>
      <c r="K34" s="1544"/>
      <c r="L34" s="1588"/>
      <c r="M34" s="1542">
        <f>0.8*'R&amp;C-Painel de Controle'!$D$64+0.8*M32*4*'R&amp;C-Painel de Controle'!$D65+M33*M32*'R&amp;C-Painel de Controle'!$D$66</f>
        <v>104000</v>
      </c>
      <c r="N34" s="1587"/>
      <c r="O34" s="1544"/>
      <c r="P34" s="1588"/>
      <c r="Q34" s="1542">
        <f>0.9*'R&amp;C-Painel de Controle'!$D$64+0.9*Q32*5*'R&amp;C-Painel de Controle'!$D65+Q33*Q32*'R&amp;C-Painel de Controle'!$D$66</f>
        <v>132000</v>
      </c>
      <c r="R34" s="1587"/>
      <c r="S34" s="1544"/>
      <c r="T34" s="1588"/>
      <c r="U34" s="1542">
        <f>1*'R&amp;C-Painel de Controle'!$D$64+1*U32*5*'R&amp;C-Painel de Controle'!$D65+U33*U32*'R&amp;C-Painel de Controle'!$D$66</f>
        <v>144000</v>
      </c>
      <c r="V34" s="1103"/>
      <c r="W34" s="322"/>
      <c r="X34" s="322"/>
      <c r="Y34" s="322"/>
      <c r="Z34" s="322"/>
      <c r="AA34" s="322"/>
      <c r="AB34" s="161"/>
    </row>
    <row r="35" spans="1:28" ht="20.149999999999999" customHeight="1" collapsed="1" x14ac:dyDescent="0.35">
      <c r="A35" s="407"/>
      <c r="B35" s="1035" t="s">
        <v>433</v>
      </c>
      <c r="C35" s="997"/>
      <c r="D35" s="1134"/>
      <c r="E35" s="1011" t="str">
        <f>(IF(E$7="SIM",(E36*$H$2/1000*'R&amp;C-Painel de Controle'!$D$69+E37/1000*'R&amp;C-Painel de Controle'!$D$70*12)/$H$2,"-"))</f>
        <v>-</v>
      </c>
      <c r="F35" s="1515"/>
      <c r="G35" s="1582"/>
      <c r="H35" s="1588"/>
      <c r="I35" s="1011" t="str">
        <f>(IF(I$7="SIM",(I36*$H$2/1000*'R&amp;C-Painel de Controle'!$D$69+I37/1000*'R&amp;C-Painel de Controle'!$D$70*12)/$H$2,"-"))</f>
        <v>-</v>
      </c>
      <c r="J35" s="1589"/>
      <c r="K35" s="1582"/>
      <c r="L35" s="1588"/>
      <c r="M35" s="1011" t="str">
        <f>(IF(M$7="SIM",(M36*$H$2/1000*'R&amp;C-Painel de Controle'!$D$69+M37/1000*'R&amp;C-Painel de Controle'!$D$70*12)/$H$2,"-"))</f>
        <v>-</v>
      </c>
      <c r="N35" s="1589"/>
      <c r="O35" s="1582"/>
      <c r="P35" s="1588"/>
      <c r="Q35" s="1011" t="str">
        <f>(IF(Q$7="SIM",(Q36*$H$2/1000*'R&amp;C-Painel de Controle'!$D$69+Q37/1000*'R&amp;C-Painel de Controle'!$D$70*12)/$H$2,"-"))</f>
        <v>-</v>
      </c>
      <c r="R35" s="1589"/>
      <c r="S35" s="1582"/>
      <c r="T35" s="1588"/>
      <c r="U35" s="1107">
        <f>(IF(U$7="SIM",(U36*$H$2/1000*'R&amp;C-Painel de Controle'!$D$69+U37/1000*'R&amp;C-Painel de Controle'!$D$70*12)/$H$2,"-"))</f>
        <v>42.30671060269519</v>
      </c>
      <c r="V35" s="1103"/>
      <c r="W35" s="336"/>
      <c r="X35" s="336"/>
      <c r="Y35" s="336"/>
      <c r="Z35" s="336"/>
      <c r="AA35" s="336"/>
      <c r="AB35" s="351" t="s">
        <v>447</v>
      </c>
    </row>
    <row r="36" spans="1:28" ht="18" hidden="1" customHeight="1" outlineLevel="1" x14ac:dyDescent="0.35">
      <c r="A36" s="402"/>
      <c r="B36" s="1090" t="s">
        <v>690</v>
      </c>
      <c r="C36" s="1025"/>
      <c r="D36" s="1591"/>
      <c r="E36" s="1592">
        <f>'R-Definição'!$F$66/0.6*0.4</f>
        <v>100</v>
      </c>
      <c r="F36" s="1517"/>
      <c r="G36" s="1544"/>
      <c r="H36" s="1593"/>
      <c r="I36" s="1592">
        <f>'R-Definição'!$F$66/0.6*0.4</f>
        <v>100</v>
      </c>
      <c r="J36" s="1517"/>
      <c r="K36" s="1544"/>
      <c r="L36" s="1593"/>
      <c r="M36" s="1526">
        <f>'R-Definição'!$F$66/0.6*0.4</f>
        <v>100</v>
      </c>
      <c r="N36" s="1517"/>
      <c r="O36" s="1544"/>
      <c r="P36" s="1593"/>
      <c r="Q36" s="1526">
        <f>'R-Definição'!$F$66/0.6*0.4</f>
        <v>100</v>
      </c>
      <c r="R36" s="1517"/>
      <c r="S36" s="1544"/>
      <c r="T36" s="1593"/>
      <c r="U36" s="1526">
        <f>'R-Definição'!$F$66/0.6*0.4</f>
        <v>100</v>
      </c>
      <c r="V36" s="1517"/>
      <c r="W36" s="179"/>
      <c r="X36" s="179"/>
      <c r="Y36" s="179"/>
      <c r="Z36" s="179"/>
      <c r="AA36" s="179"/>
      <c r="AB36" s="161"/>
    </row>
    <row r="37" spans="1:28" ht="18" hidden="1" customHeight="1" outlineLevel="1" x14ac:dyDescent="0.35">
      <c r="A37" s="402"/>
      <c r="B37" s="1090" t="s">
        <v>691</v>
      </c>
      <c r="C37" s="1040"/>
      <c r="D37" s="1134"/>
      <c r="E37" s="1542">
        <f>E36*F11*(0.9)*0.92/24</f>
        <v>517.5</v>
      </c>
      <c r="F37" s="1515"/>
      <c r="G37" s="1540"/>
      <c r="H37" s="1588"/>
      <c r="I37" s="1542">
        <f>I36*J11*(0.9)*0.92/24</f>
        <v>1035</v>
      </c>
      <c r="J37" s="1594"/>
      <c r="K37" s="1540"/>
      <c r="L37" s="1595"/>
      <c r="M37" s="1542">
        <f>M36*N11*(0.9)*0.92/24</f>
        <v>1725</v>
      </c>
      <c r="N37" s="1594"/>
      <c r="O37" s="1540"/>
      <c r="P37" s="1595"/>
      <c r="Q37" s="1542">
        <f>Q36*R11*(0.9)*0.92/24</f>
        <v>3450</v>
      </c>
      <c r="R37" s="1594"/>
      <c r="S37" s="1540"/>
      <c r="T37" s="1595"/>
      <c r="U37" s="1542">
        <f>U36*V11*(0.9)*0.92/24</f>
        <v>5175</v>
      </c>
      <c r="V37" s="1103"/>
      <c r="W37" s="319"/>
      <c r="X37" s="319"/>
      <c r="Y37" s="319"/>
      <c r="Z37" s="319"/>
      <c r="AA37" s="319"/>
      <c r="AB37" s="161"/>
    </row>
    <row r="38" spans="1:28" ht="20.149999999999999" customHeight="1" collapsed="1" x14ac:dyDescent="0.35">
      <c r="A38" s="407"/>
      <c r="B38" s="1035" t="s">
        <v>434</v>
      </c>
      <c r="C38" s="997"/>
      <c r="D38" s="1134"/>
      <c r="E38" s="1011" t="str">
        <f>(IF(E$7="SIM",(E15*1000000*E39+E40*12)/$H$2,"-"))</f>
        <v>-</v>
      </c>
      <c r="F38" s="1097"/>
      <c r="G38" s="1080"/>
      <c r="H38" s="1595"/>
      <c r="I38" s="1011" t="str">
        <f>(IF(I$7="SIM",(I15*1000000*I39+I40*12)/$H$2,"-"))</f>
        <v>-</v>
      </c>
      <c r="J38" s="1097"/>
      <c r="K38" s="1080"/>
      <c r="L38" s="1595"/>
      <c r="M38" s="1011" t="str">
        <f>(IF(M$7="SIM",(M15*1000000*M39+M40*12)/$H$2,"-"))</f>
        <v>-</v>
      </c>
      <c r="N38" s="1097"/>
      <c r="O38" s="1080"/>
      <c r="P38" s="1595"/>
      <c r="Q38" s="1011" t="str">
        <f>(IF(Q$7="SIM",(Q15*1000000*Q39+Q40*12)/$H$2,"-"))</f>
        <v>-</v>
      </c>
      <c r="R38" s="1097"/>
      <c r="S38" s="1080"/>
      <c r="T38" s="1595"/>
      <c r="U38" s="1107">
        <f>(IF(U$7="SIM",(U15*1000000*U39+U40*12)/$H$2,"-"))</f>
        <v>29.943922116952809</v>
      </c>
      <c r="V38" s="1103"/>
      <c r="W38" s="318"/>
      <c r="X38" s="318"/>
      <c r="Y38" s="318"/>
      <c r="Z38" s="318"/>
      <c r="AA38" s="318"/>
      <c r="AB38" s="162"/>
    </row>
    <row r="39" spans="1:28" ht="18" hidden="1" customHeight="1" outlineLevel="1" x14ac:dyDescent="0.35">
      <c r="A39" s="402"/>
      <c r="B39" s="1090" t="s">
        <v>707</v>
      </c>
      <c r="C39" s="1025"/>
      <c r="D39" s="1134"/>
      <c r="E39" s="1561">
        <v>2.5000000000000001E-2</v>
      </c>
      <c r="F39" s="1515"/>
      <c r="G39" s="1596"/>
      <c r="H39" s="1597"/>
      <c r="I39" s="1561">
        <v>2.5000000000000001E-2</v>
      </c>
      <c r="J39" s="1515"/>
      <c r="K39" s="1596"/>
      <c r="L39" s="1597"/>
      <c r="M39" s="1561">
        <v>3.5000000000000003E-2</v>
      </c>
      <c r="N39" s="1515"/>
      <c r="O39" s="1596"/>
      <c r="P39" s="1597"/>
      <c r="Q39" s="1561">
        <v>3.5000000000000003E-2</v>
      </c>
      <c r="R39" s="1515"/>
      <c r="S39" s="1596"/>
      <c r="T39" s="1597"/>
      <c r="U39" s="1561">
        <v>0.05</v>
      </c>
      <c r="V39" s="1103"/>
      <c r="W39" s="336"/>
      <c r="X39" s="318"/>
      <c r="Y39" s="319"/>
      <c r="Z39" s="319"/>
      <c r="AA39" s="319"/>
      <c r="AB39" s="352" t="s">
        <v>448</v>
      </c>
    </row>
    <row r="40" spans="1:28" ht="18" hidden="1" customHeight="1" outlineLevel="1" x14ac:dyDescent="0.35">
      <c r="A40" s="407"/>
      <c r="B40" s="1090" t="s">
        <v>498</v>
      </c>
      <c r="C40" s="1025"/>
      <c r="D40" s="1134"/>
      <c r="E40" s="1542">
        <v>75000</v>
      </c>
      <c r="F40" s="1594"/>
      <c r="G40" s="1540"/>
      <c r="H40" s="1595"/>
      <c r="I40" s="1542">
        <v>100000</v>
      </c>
      <c r="J40" s="1594"/>
      <c r="K40" s="1540"/>
      <c r="L40" s="1595"/>
      <c r="M40" s="1542">
        <v>125000</v>
      </c>
      <c r="N40" s="1594"/>
      <c r="O40" s="1540"/>
      <c r="P40" s="1595"/>
      <c r="Q40" s="1542">
        <v>150000</v>
      </c>
      <c r="R40" s="1594"/>
      <c r="S40" s="1540"/>
      <c r="T40" s="1595"/>
      <c r="U40" s="1542">
        <v>150000</v>
      </c>
      <c r="V40" s="1103"/>
      <c r="W40" s="336"/>
      <c r="X40" s="318"/>
      <c r="Y40" s="318"/>
      <c r="Z40" s="318"/>
      <c r="AA40" s="318"/>
      <c r="AB40" s="162"/>
    </row>
    <row r="41" spans="1:28" ht="20.149999999999999" customHeight="1" collapsed="1" x14ac:dyDescent="0.35">
      <c r="A41" s="443"/>
      <c r="B41" s="1035" t="s">
        <v>695</v>
      </c>
      <c r="C41" s="997"/>
      <c r="D41" s="1593">
        <v>0.25</v>
      </c>
      <c r="E41" s="1011" t="str">
        <f>(IF(E$7="SIM",D41*E42*E43*12/$H$2,"-"))</f>
        <v>-</v>
      </c>
      <c r="F41" s="1097"/>
      <c r="G41" s="1080"/>
      <c r="H41" s="1593">
        <v>0.25</v>
      </c>
      <c r="I41" s="1011" t="str">
        <f>(IF(I$7="SIM",H41*I42*I43*12/$H$2,"-"))</f>
        <v>-</v>
      </c>
      <c r="J41" s="1097"/>
      <c r="K41" s="1080"/>
      <c r="L41" s="1593">
        <v>0.25</v>
      </c>
      <c r="M41" s="1011" t="str">
        <f>(IF(M$7="SIM",L41*M42*M43*12/$H$2,"-"))</f>
        <v>-</v>
      </c>
      <c r="N41" s="1097"/>
      <c r="O41" s="1080"/>
      <c r="P41" s="1593">
        <v>0.5</v>
      </c>
      <c r="Q41" s="1011" t="str">
        <f>(IF(Q$7="SIM",P41*Q42*Q43*12/$H$2,"-"))</f>
        <v>-</v>
      </c>
      <c r="R41" s="1097"/>
      <c r="S41" s="1080"/>
      <c r="T41" s="1593">
        <v>0.5</v>
      </c>
      <c r="U41" s="1107">
        <f>(IF(U$7="SIM",T41*U42*U43*12/$H$2,"-"))</f>
        <v>4.6441648335219234</v>
      </c>
      <c r="V41" s="1103"/>
      <c r="W41" s="162"/>
      <c r="X41" s="162"/>
      <c r="Y41" s="162"/>
      <c r="Z41" s="162"/>
      <c r="AA41" s="162"/>
      <c r="AB41" s="162"/>
    </row>
    <row r="42" spans="1:28" ht="18" hidden="1" customHeight="1" outlineLevel="1" x14ac:dyDescent="0.35">
      <c r="A42" s="407"/>
      <c r="B42" s="1090" t="s">
        <v>693</v>
      </c>
      <c r="C42" s="1040"/>
      <c r="D42" s="1134"/>
      <c r="E42" s="1542">
        <f>'R&amp;C-Painel de Controle'!$D$71</f>
        <v>100000</v>
      </c>
      <c r="F42" s="1587"/>
      <c r="G42" s="1544"/>
      <c r="H42" s="1588"/>
      <c r="I42" s="1542">
        <f>'R&amp;C-Painel de Controle'!$D$71</f>
        <v>100000</v>
      </c>
      <c r="J42" s="1587"/>
      <c r="K42" s="1544"/>
      <c r="L42" s="1588"/>
      <c r="M42" s="1542">
        <f>'R&amp;C-Painel de Controle'!$D$71</f>
        <v>100000</v>
      </c>
      <c r="N42" s="1587"/>
      <c r="O42" s="1544"/>
      <c r="P42" s="1588"/>
      <c r="Q42" s="1542">
        <f>'R&amp;C-Painel de Controle'!$D$71</f>
        <v>100000</v>
      </c>
      <c r="R42" s="1587"/>
      <c r="S42" s="1544"/>
      <c r="T42" s="1588"/>
      <c r="U42" s="1542">
        <f>'R&amp;C-Painel de Controle'!$D$71</f>
        <v>100000</v>
      </c>
      <c r="V42" s="1103"/>
      <c r="W42" s="162"/>
      <c r="X42" s="162"/>
      <c r="Y42" s="162"/>
      <c r="Z42" s="162"/>
      <c r="AA42" s="162"/>
      <c r="AB42" s="162"/>
    </row>
    <row r="43" spans="1:28" ht="18" hidden="1" customHeight="1" outlineLevel="1" x14ac:dyDescent="0.35">
      <c r="A43" s="402"/>
      <c r="B43" s="1090" t="s">
        <v>694</v>
      </c>
      <c r="C43" s="1040"/>
      <c r="D43" s="1134"/>
      <c r="E43" s="1525">
        <v>0.5</v>
      </c>
      <c r="F43" s="1587"/>
      <c r="G43" s="1544"/>
      <c r="H43" s="1588"/>
      <c r="I43" s="1525">
        <v>1</v>
      </c>
      <c r="J43" s="1587"/>
      <c r="K43" s="1544"/>
      <c r="L43" s="1588"/>
      <c r="M43" s="1525">
        <v>1.5</v>
      </c>
      <c r="N43" s="1587"/>
      <c r="O43" s="1544"/>
      <c r="P43" s="1588"/>
      <c r="Q43" s="1525">
        <v>2</v>
      </c>
      <c r="R43" s="1587"/>
      <c r="S43" s="1544"/>
      <c r="T43" s="1588"/>
      <c r="U43" s="1525">
        <v>2.5</v>
      </c>
      <c r="V43" s="1103"/>
      <c r="W43" s="161"/>
      <c r="X43" s="161"/>
      <c r="Y43" s="161"/>
      <c r="Z43" s="161"/>
      <c r="AA43" s="161"/>
      <c r="AB43" s="161"/>
    </row>
    <row r="44" spans="1:28" ht="20.149999999999999" customHeight="1" x14ac:dyDescent="0.35">
      <c r="A44" s="407"/>
      <c r="B44" s="1035" t="s">
        <v>441</v>
      </c>
      <c r="C44" s="997"/>
      <c r="D44" s="1134"/>
      <c r="E44" s="1598" t="str">
        <f>(IF(E$7="SIM",2.5+2.5*'R&amp;C-Painel de Controle'!$D$75,"-"))</f>
        <v>-</v>
      </c>
      <c r="F44" s="1097"/>
      <c r="G44" s="1080"/>
      <c r="H44" s="1595"/>
      <c r="I44" s="1598" t="str">
        <f>(IF(I$7="SIM",2.5+2.5*'R&amp;C-Painel de Controle'!$D$75,"-"))</f>
        <v>-</v>
      </c>
      <c r="J44" s="1097"/>
      <c r="K44" s="1080"/>
      <c r="L44" s="1595"/>
      <c r="M44" s="1598" t="str">
        <f>(IF(M$7="SIM",2.5+2.5*'R&amp;C-Painel de Controle'!$D$75,"-"))</f>
        <v>-</v>
      </c>
      <c r="N44" s="1097"/>
      <c r="O44" s="1080"/>
      <c r="P44" s="1595"/>
      <c r="Q44" s="1598" t="str">
        <f>(IF(Q$7="SIM",2.5+2.5*'R&amp;C-Painel de Controle'!$D$75,"-"))</f>
        <v>-</v>
      </c>
      <c r="R44" s="1097"/>
      <c r="S44" s="1080"/>
      <c r="T44" s="1595"/>
      <c r="U44" s="1599">
        <f>(IF(U$7="SIM",2.5+2.5*'R&amp;C-Painel de Controle'!$D$75,"-"))</f>
        <v>10</v>
      </c>
      <c r="V44" s="1103"/>
      <c r="W44" s="162"/>
      <c r="X44" s="162"/>
      <c r="Y44" s="162"/>
      <c r="Z44" s="162"/>
      <c r="AA44" s="162"/>
      <c r="AB44" s="162"/>
    </row>
    <row r="45" spans="1:28" s="1006" customFormat="1" ht="25.15" customHeight="1" x14ac:dyDescent="0.45">
      <c r="A45" s="1003"/>
      <c r="B45" s="1091" t="s">
        <v>437</v>
      </c>
      <c r="C45" s="1026"/>
      <c r="D45" s="1593">
        <v>0.05</v>
      </c>
      <c r="E45" s="1011" t="str">
        <f>(IF(E$7="SIM",(E30+E35+E38+E41+E44)*(1+D45),"-"))</f>
        <v>-</v>
      </c>
      <c r="F45" s="1097"/>
      <c r="G45" s="1080"/>
      <c r="H45" s="1593">
        <v>0.05</v>
      </c>
      <c r="I45" s="1011" t="str">
        <f>(IF(I$7="SIM",(I30+I35+I38+I41+I44)*(1+H45),"-"))</f>
        <v>-</v>
      </c>
      <c r="J45" s="1097"/>
      <c r="K45" s="1080"/>
      <c r="L45" s="1593">
        <v>0.05</v>
      </c>
      <c r="M45" s="1011" t="str">
        <f>(IF(M$7="SIM",(M30+M35+M38+M41+M44)*(1+L45),"-"))</f>
        <v>-</v>
      </c>
      <c r="N45" s="1097"/>
      <c r="O45" s="1080"/>
      <c r="P45" s="1593">
        <v>7.4999999999999997E-2</v>
      </c>
      <c r="Q45" s="1011" t="str">
        <f>(IF(Q$7="SIM",(Q30+Q35+Q38+Q41+Q44)*(1+P45),"-"))</f>
        <v>-</v>
      </c>
      <c r="R45" s="1097"/>
      <c r="S45" s="1080"/>
      <c r="T45" s="1593">
        <v>0.1</v>
      </c>
      <c r="U45" s="1012">
        <f>(IF(U$7="SIM",(U30+U35+U38+U41+U44)*(1+T45),"-"))</f>
        <v>109.70848293338048</v>
      </c>
      <c r="V45" s="1103"/>
      <c r="W45" s="1005"/>
      <c r="X45" s="1005"/>
      <c r="Y45" s="1005"/>
      <c r="Z45" s="1005"/>
      <c r="AA45" s="1005"/>
      <c r="AB45" s="1005"/>
    </row>
    <row r="46" spans="1:28" s="1006" customFormat="1" ht="25.15" customHeight="1" x14ac:dyDescent="0.45">
      <c r="A46" s="1003"/>
      <c r="B46" s="1091" t="s">
        <v>438</v>
      </c>
      <c r="C46" s="1026"/>
      <c r="D46" s="1098"/>
      <c r="E46" s="1010" t="str">
        <f>(IF(E$7="SIM",E45*$H$2/1000000,"-"))</f>
        <v>-</v>
      </c>
      <c r="F46" s="1099"/>
      <c r="G46" s="1026"/>
      <c r="H46" s="1098"/>
      <c r="I46" s="1010" t="str">
        <f>(IF(I$7="SIM",I45*$H$2/1000000,"-"))</f>
        <v>-</v>
      </c>
      <c r="J46" s="1099"/>
      <c r="K46" s="1026"/>
      <c r="L46" s="1098"/>
      <c r="M46" s="1010" t="str">
        <f>(IF(M$7="SIM",M45*$H$2/1000000,"-"))</f>
        <v>-</v>
      </c>
      <c r="N46" s="1099"/>
      <c r="O46" s="1026"/>
      <c r="P46" s="1134"/>
      <c r="Q46" s="1010" t="str">
        <f>(IF(Q$7="SIM",Q45*$H$2/1000000,"-"))</f>
        <v>-</v>
      </c>
      <c r="R46" s="1099"/>
      <c r="S46" s="1026"/>
      <c r="T46" s="1098"/>
      <c r="U46" s="979">
        <f>(IF(U$7="SIM",U45*$H$2/1000000,"-"))</f>
        <v>35.434298802713649</v>
      </c>
      <c r="V46" s="1099"/>
      <c r="W46" s="1005"/>
      <c r="X46" s="1005"/>
      <c r="Y46" s="1005"/>
      <c r="Z46" s="1005"/>
      <c r="AA46" s="1005"/>
      <c r="AB46" s="1005"/>
    </row>
    <row r="47" spans="1:28" s="817" customFormat="1" ht="20.149999999999999" customHeight="1" x14ac:dyDescent="0.35">
      <c r="A47" s="685"/>
      <c r="B47" s="1092" t="s">
        <v>439</v>
      </c>
      <c r="C47" s="997"/>
      <c r="D47" s="1098"/>
      <c r="E47" s="1010" t="str">
        <f>(IF(E$7="SIM",(((E30*$H$2/12)+(E37/1000*'R&amp;C-Painel de Controle'!$D$70*12)+(E40*12)+(E42*E43*12))/1000000),"-"))</f>
        <v>-</v>
      </c>
      <c r="F47" s="1099"/>
      <c r="G47" s="1026"/>
      <c r="H47" s="1098"/>
      <c r="I47" s="1010" t="str">
        <f>(IF(I$7="SIM",(((I30*$H$2/12)+(I37/1000*'R&amp;C-Painel de Controle'!$D$70*12)+(I40*12)+(I42*I43*12))/1000000),"-"))</f>
        <v>-</v>
      </c>
      <c r="J47" s="1099"/>
      <c r="K47" s="1026"/>
      <c r="L47" s="1098"/>
      <c r="M47" s="1010" t="str">
        <f>(IF(M$7="SIM",(((M30*$H$2/12)+(M37/1000*'R&amp;C-Painel de Controle'!$D$70*12)+(M40*12)+(M42*M43*12))/1000000),"-"))</f>
        <v>-</v>
      </c>
      <c r="N47" s="1099"/>
      <c r="O47" s="1026"/>
      <c r="P47" s="1098"/>
      <c r="Q47" s="1010" t="str">
        <f>(IF(Q$7="SIM",(((Q30*$H$2/12)+(Q37/1000*'R&amp;C-Painel de Controle'!$D$70*12)+(Q40*12)+(Q42*Q43*12))/1000000),"-"))</f>
        <v>-</v>
      </c>
      <c r="R47" s="1099"/>
      <c r="S47" s="1026"/>
      <c r="T47" s="1098"/>
      <c r="U47" s="979">
        <f>(IF(U$7="SIM",(((U30*$H$2/12)+(U37/1000*'R&amp;C-Painel de Controle'!$D$70*12)+(U40*12)+(U42*U43*12))/1000000),"-"))</f>
        <v>6.6981000000000002</v>
      </c>
      <c r="V47" s="1099"/>
      <c r="W47" s="43"/>
      <c r="X47" s="43"/>
      <c r="Y47" s="43"/>
      <c r="Z47" s="43"/>
      <c r="AA47" s="43"/>
      <c r="AB47" s="43"/>
    </row>
    <row r="48" spans="1:28" s="817" customFormat="1" ht="20.149999999999999" customHeight="1" thickBot="1" x14ac:dyDescent="0.4">
      <c r="A48" s="685"/>
      <c r="B48" s="1093" t="s">
        <v>440</v>
      </c>
      <c r="C48" s="997"/>
      <c r="D48" s="1600"/>
      <c r="E48" s="1601" t="str">
        <f>(IF(E$7="SIM",((E46-E47)*1000000)/$H$2,"-"))</f>
        <v>-</v>
      </c>
      <c r="F48" s="1602"/>
      <c r="G48" s="1026"/>
      <c r="H48" s="1600"/>
      <c r="I48" s="1601" t="str">
        <f>(IF(I$7="SIM",((I46-I47)*1000000)/$H$2,"-"))</f>
        <v>-</v>
      </c>
      <c r="J48" s="1602"/>
      <c r="K48" s="1026"/>
      <c r="L48" s="1600"/>
      <c r="M48" s="1601" t="str">
        <f>(IF(M$7="SIM",((M46-M47)*1000000)/$H$2,"-"))</f>
        <v>-</v>
      </c>
      <c r="N48" s="1602"/>
      <c r="O48" s="1026"/>
      <c r="P48" s="1600"/>
      <c r="Q48" s="1601" t="str">
        <f>(IF(Q$7="SIM",((Q46-Q47)*1000000)/$H$2,"-"))</f>
        <v>-</v>
      </c>
      <c r="R48" s="1602"/>
      <c r="S48" s="1026"/>
      <c r="T48" s="1600"/>
      <c r="U48" s="1603">
        <f>(IF(U$7="SIM",((U46-U47)*1000000)/$H$2,"-"))</f>
        <v>88.970429285771687</v>
      </c>
      <c r="V48" s="1602"/>
      <c r="W48" s="43"/>
      <c r="X48" s="43"/>
      <c r="Y48" s="43"/>
      <c r="Z48" s="43"/>
      <c r="AA48" s="43"/>
      <c r="AB48" s="43"/>
    </row>
    <row r="49" spans="1:28" ht="14.25" customHeight="1" thickTop="1" x14ac:dyDescent="0.35">
      <c r="A49" s="37"/>
      <c r="B49" s="4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row>
    <row r="50" spans="1:28" ht="14.25" customHeight="1" x14ac:dyDescent="0.35">
      <c r="A50" s="37"/>
      <c r="B50" s="4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row>
    <row r="51" spans="1:28" ht="14.25" customHeight="1" x14ac:dyDescent="0.35">
      <c r="A51" s="37"/>
      <c r="B51" s="4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row>
    <row r="52" spans="1:28" ht="14.25" customHeight="1" x14ac:dyDescent="0.35">
      <c r="A52" s="37"/>
      <c r="B52" s="4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row>
    <row r="53" spans="1:28" ht="14.25" customHeight="1" x14ac:dyDescent="0.35">
      <c r="A53" s="37"/>
      <c r="B53" s="4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row>
    <row r="54" spans="1:28" ht="14.25" customHeight="1" x14ac:dyDescent="0.35">
      <c r="A54" s="37"/>
      <c r="B54" s="4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row>
    <row r="55" spans="1:28" ht="14.25" customHeight="1" x14ac:dyDescent="0.35">
      <c r="A55" s="37"/>
      <c r="B55" s="4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row>
    <row r="56" spans="1:28" ht="14.25" customHeight="1" x14ac:dyDescent="0.35">
      <c r="A56" s="37"/>
      <c r="B56" s="4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row>
    <row r="57" spans="1:28" ht="14.25" customHeight="1" x14ac:dyDescent="0.35">
      <c r="A57" s="37"/>
      <c r="B57" s="4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row>
    <row r="58" spans="1:28" ht="14.25" customHeight="1" x14ac:dyDescent="0.35">
      <c r="A58" s="37"/>
      <c r="B58" s="4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row>
    <row r="59" spans="1:28" ht="14.25" customHeight="1" x14ac:dyDescent="0.35">
      <c r="A59" s="37"/>
      <c r="B59" s="4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row>
    <row r="60" spans="1:28" ht="14.25" customHeight="1" x14ac:dyDescent="0.35">
      <c r="A60" s="37"/>
      <c r="B60" s="4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row>
    <row r="61" spans="1:28" ht="14.25" customHeight="1" x14ac:dyDescent="0.35">
      <c r="A61" s="37"/>
      <c r="B61" s="4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row>
    <row r="62" spans="1:28" ht="14.25" customHeight="1" x14ac:dyDescent="0.35">
      <c r="A62" s="37"/>
      <c r="B62" s="4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row>
    <row r="63" spans="1:28" ht="14.25" customHeight="1" x14ac:dyDescent="0.35">
      <c r="A63" s="37"/>
      <c r="B63" s="4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row>
    <row r="64" spans="1:28" ht="14.25" customHeight="1" x14ac:dyDescent="0.35">
      <c r="A64" s="37"/>
      <c r="B64" s="4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row>
    <row r="65" spans="1:28" ht="14.25" customHeight="1" x14ac:dyDescent="0.35">
      <c r="A65" s="37"/>
      <c r="B65" s="4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row>
    <row r="66" spans="1:28" ht="14.25" customHeight="1" x14ac:dyDescent="0.35">
      <c r="A66" s="37"/>
      <c r="B66" s="4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row>
    <row r="67" spans="1:28" ht="14.25" customHeight="1" x14ac:dyDescent="0.35">
      <c r="A67" s="37"/>
      <c r="B67" s="4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row>
    <row r="68" spans="1:28" ht="14.25" customHeight="1" x14ac:dyDescent="0.35">
      <c r="A68" s="37"/>
      <c r="B68" s="4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row>
    <row r="69" spans="1:28" ht="14.25" customHeight="1" x14ac:dyDescent="0.35">
      <c r="A69" s="37"/>
      <c r="B69" s="4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row>
    <row r="70" spans="1:28" ht="14.25" customHeight="1" x14ac:dyDescent="0.35">
      <c r="A70" s="37"/>
      <c r="B70" s="4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row>
    <row r="71" spans="1:28" ht="14.25" customHeight="1" x14ac:dyDescent="0.35">
      <c r="A71" s="37"/>
      <c r="B71" s="4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row>
    <row r="72" spans="1:28" ht="14.25" customHeight="1" x14ac:dyDescent="0.35">
      <c r="A72" s="37"/>
      <c r="B72" s="4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row>
    <row r="73" spans="1:28" ht="14.25" customHeight="1" x14ac:dyDescent="0.35">
      <c r="A73" s="37"/>
      <c r="B73" s="4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row>
    <row r="74" spans="1:28" ht="14.25" customHeight="1" x14ac:dyDescent="0.35">
      <c r="A74" s="37"/>
      <c r="B74" s="4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row>
    <row r="75" spans="1:28" ht="14.25" customHeight="1" x14ac:dyDescent="0.35">
      <c r="A75" s="37"/>
      <c r="B75" s="4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row>
    <row r="76" spans="1:28" ht="14.25" customHeight="1" x14ac:dyDescent="0.35">
      <c r="A76" s="37"/>
      <c r="B76" s="4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row>
    <row r="77" spans="1:28" ht="14.25" customHeight="1" x14ac:dyDescent="0.35">
      <c r="A77" s="37"/>
      <c r="B77" s="4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row>
    <row r="78" spans="1:28" ht="14.25" customHeight="1" x14ac:dyDescent="0.35">
      <c r="A78" s="37"/>
      <c r="B78" s="4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row>
    <row r="79" spans="1:28" ht="14.25" customHeight="1" x14ac:dyDescent="0.35">
      <c r="A79" s="37"/>
      <c r="B79" s="4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row>
    <row r="80" spans="1:28" ht="14.25" customHeight="1" x14ac:dyDescent="0.35">
      <c r="A80" s="37"/>
      <c r="B80" s="4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row>
    <row r="81" spans="1:28" ht="14.25" customHeight="1" x14ac:dyDescent="0.35">
      <c r="A81" s="37"/>
      <c r="B81" s="4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row>
    <row r="82" spans="1:28" ht="14.25" customHeight="1" x14ac:dyDescent="0.35">
      <c r="A82" s="37"/>
      <c r="B82" s="4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row>
    <row r="83" spans="1:28" ht="14.25" customHeight="1" x14ac:dyDescent="0.35">
      <c r="A83" s="37"/>
      <c r="B83" s="4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row>
    <row r="84" spans="1:28" ht="14.25" customHeight="1" x14ac:dyDescent="0.35">
      <c r="A84" s="37"/>
      <c r="B84" s="4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row>
    <row r="85" spans="1:28" ht="14.25" customHeight="1" x14ac:dyDescent="0.35">
      <c r="A85" s="37"/>
      <c r="B85" s="4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row>
    <row r="86" spans="1:28" ht="14.25" customHeight="1" x14ac:dyDescent="0.35">
      <c r="A86" s="37"/>
      <c r="B86" s="4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row>
    <row r="87" spans="1:28" ht="14.25" customHeight="1" x14ac:dyDescent="0.35">
      <c r="A87" s="37"/>
      <c r="B87" s="4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row>
    <row r="88" spans="1:28" ht="14.25" customHeight="1" x14ac:dyDescent="0.35">
      <c r="A88" s="37"/>
      <c r="B88" s="4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row>
    <row r="89" spans="1:28" ht="14.25" customHeight="1" x14ac:dyDescent="0.35">
      <c r="A89" s="37"/>
      <c r="B89" s="4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row>
    <row r="90" spans="1:28" ht="14.25" customHeight="1" x14ac:dyDescent="0.35">
      <c r="A90" s="37"/>
      <c r="B90" s="4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row>
    <row r="91" spans="1:28" ht="14.25" customHeight="1" x14ac:dyDescent="0.35">
      <c r="A91" s="37"/>
      <c r="B91" s="4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row>
    <row r="92" spans="1:28" ht="14.25" customHeight="1" x14ac:dyDescent="0.35">
      <c r="A92" s="37"/>
      <c r="B92" s="4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row>
    <row r="93" spans="1:28" ht="14.25" customHeight="1" x14ac:dyDescent="0.35">
      <c r="A93" s="37"/>
      <c r="B93" s="4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row>
    <row r="94" spans="1:28" ht="14.25" customHeight="1" x14ac:dyDescent="0.35">
      <c r="A94" s="37"/>
      <c r="B94" s="4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row>
    <row r="95" spans="1:28" ht="14.25" customHeight="1" x14ac:dyDescent="0.35">
      <c r="A95" s="37"/>
      <c r="B95" s="4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row>
    <row r="96" spans="1:28" ht="14.25" customHeight="1" x14ac:dyDescent="0.35">
      <c r="A96" s="37"/>
      <c r="B96" s="4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row>
    <row r="97" spans="1:28" ht="14.25" customHeight="1" x14ac:dyDescent="0.35">
      <c r="A97" s="37"/>
      <c r="B97" s="4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row>
    <row r="98" spans="1:28" ht="14.25" customHeight="1" x14ac:dyDescent="0.35">
      <c r="A98" s="37"/>
      <c r="B98" s="4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row>
    <row r="99" spans="1:28" ht="14.25" customHeight="1" x14ac:dyDescent="0.35">
      <c r="A99" s="37"/>
      <c r="B99" s="4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row>
    <row r="100" spans="1:28" ht="14.25" customHeight="1" x14ac:dyDescent="0.35">
      <c r="A100" s="37"/>
      <c r="B100" s="4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row>
    <row r="101" spans="1:28" ht="14.25" customHeight="1" x14ac:dyDescent="0.35">
      <c r="A101" s="37"/>
      <c r="B101" s="4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row>
    <row r="102" spans="1:28" ht="14.25" customHeight="1" x14ac:dyDescent="0.35">
      <c r="A102" s="37"/>
      <c r="B102" s="4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row>
    <row r="103" spans="1:28" ht="14.25" customHeight="1" x14ac:dyDescent="0.35">
      <c r="A103" s="37"/>
      <c r="B103" s="4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row>
    <row r="104" spans="1:28" ht="14.25" customHeight="1" x14ac:dyDescent="0.35">
      <c r="A104" s="37"/>
      <c r="B104" s="4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row>
    <row r="105" spans="1:28" ht="14.25" customHeight="1" x14ac:dyDescent="0.35">
      <c r="A105" s="37"/>
      <c r="B105" s="4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row>
  </sheetData>
  <sheetProtection algorithmName="SHA-512" hashValue="G8dQ6YRgFyWjbGIwFE7s30bcE/QYsvlPKKeQdXSLsgN+YiDt4JpKRm6rAQ/2IwRjErHtVcgurwlMqkD2dBt9Lw==" saltValue="9hrUwO/CPqr+32pE65y6PQ==" spinCount="100000" sheet="1" objects="1" scenarios="1"/>
  <mergeCells count="5">
    <mergeCell ref="B9:B11"/>
    <mergeCell ref="D9:V9"/>
    <mergeCell ref="Q2:R2"/>
    <mergeCell ref="U2:V2"/>
    <mergeCell ref="B1:B3"/>
  </mergeCells>
  <conditionalFormatting sqref="E38 E30:E31 M30:M31 I30:I31 Q30:Q31 U30:U31 E41 E35 I35 M35 Q35 U35 I41 M41 Q41 U41 U44:U48 Q44:Q48 M44:M48 I44:I48 E44:E48 Q38 I38 U38 M38">
    <cfRule type="expression" dxfId="146" priority="57">
      <formula>E$7="NÃO"</formula>
    </cfRule>
  </conditionalFormatting>
  <conditionalFormatting sqref="E38 E30:E31 M30:M31 I30:I31 Q30:Q31 U30:U31 E41 E35 I35 M35 Q35 U35 I41 M41 Q41 U41 U44:U48 Q44:Q48 M44:M48 I44:I48 E44:E48 Q38 I38 U38 M38">
    <cfRule type="expression" dxfId="145" priority="58">
      <formula>E$7= "SIM"</formula>
    </cfRule>
  </conditionalFormatting>
  <conditionalFormatting sqref="U18">
    <cfRule type="expression" dxfId="144" priority="49">
      <formula>U$7="NÃO"</formula>
    </cfRule>
  </conditionalFormatting>
  <conditionalFormatting sqref="U18">
    <cfRule type="expression" dxfId="143" priority="50">
      <formula>U$7= "SIM"</formula>
    </cfRule>
  </conditionalFormatting>
  <conditionalFormatting sqref="U19">
    <cfRule type="expression" dxfId="142" priority="47">
      <formula>U$7="NÃO"</formula>
    </cfRule>
  </conditionalFormatting>
  <conditionalFormatting sqref="U19">
    <cfRule type="expression" dxfId="141" priority="48">
      <formula>U$7= "SIM"</formula>
    </cfRule>
  </conditionalFormatting>
  <conditionalFormatting sqref="Q15">
    <cfRule type="expression" dxfId="140" priority="45">
      <formula>Q$7="NÃO"</formula>
    </cfRule>
  </conditionalFormatting>
  <conditionalFormatting sqref="Q15">
    <cfRule type="expression" dxfId="139" priority="46">
      <formula>Q$7= "SIM"</formula>
    </cfRule>
  </conditionalFormatting>
  <conditionalFormatting sqref="Q16">
    <cfRule type="expression" dxfId="138" priority="43">
      <formula>Q$7="NÃO"</formula>
    </cfRule>
  </conditionalFormatting>
  <conditionalFormatting sqref="Q16">
    <cfRule type="expression" dxfId="137" priority="44">
      <formula>Q$7= "SIM"</formula>
    </cfRule>
  </conditionalFormatting>
  <conditionalFormatting sqref="Q17">
    <cfRule type="expression" dxfId="136" priority="41">
      <formula>Q$7="NÃO"</formula>
    </cfRule>
  </conditionalFormatting>
  <conditionalFormatting sqref="Q17">
    <cfRule type="expression" dxfId="135" priority="42">
      <formula>Q$7= "SIM"</formula>
    </cfRule>
  </conditionalFormatting>
  <conditionalFormatting sqref="Q18">
    <cfRule type="expression" dxfId="134" priority="39">
      <formula>Q$7="NÃO"</formula>
    </cfRule>
  </conditionalFormatting>
  <conditionalFormatting sqref="Q18">
    <cfRule type="expression" dxfId="133" priority="40">
      <formula>Q$7= "SIM"</formula>
    </cfRule>
  </conditionalFormatting>
  <conditionalFormatting sqref="Q19">
    <cfRule type="expression" dxfId="132" priority="37">
      <formula>Q$7="NÃO"</formula>
    </cfRule>
  </conditionalFormatting>
  <conditionalFormatting sqref="Q19">
    <cfRule type="expression" dxfId="131" priority="38">
      <formula>Q$7= "SIM"</formula>
    </cfRule>
  </conditionalFormatting>
  <conditionalFormatting sqref="M15">
    <cfRule type="expression" dxfId="130" priority="35">
      <formula>M$7="NÃO"</formula>
    </cfRule>
  </conditionalFormatting>
  <conditionalFormatting sqref="M15">
    <cfRule type="expression" dxfId="129" priority="36">
      <formula>M$7= "SIM"</formula>
    </cfRule>
  </conditionalFormatting>
  <conditionalFormatting sqref="M16">
    <cfRule type="expression" dxfId="128" priority="33">
      <formula>M$7="NÃO"</formula>
    </cfRule>
  </conditionalFormatting>
  <conditionalFormatting sqref="M16">
    <cfRule type="expression" dxfId="127" priority="34">
      <formula>M$7= "SIM"</formula>
    </cfRule>
  </conditionalFormatting>
  <conditionalFormatting sqref="M17">
    <cfRule type="expression" dxfId="126" priority="31">
      <formula>M$7="NÃO"</formula>
    </cfRule>
  </conditionalFormatting>
  <conditionalFormatting sqref="M17">
    <cfRule type="expression" dxfId="125" priority="32">
      <formula>M$7= "SIM"</formula>
    </cfRule>
  </conditionalFormatting>
  <conditionalFormatting sqref="M18">
    <cfRule type="expression" dxfId="124" priority="29">
      <formula>M$7="NÃO"</formula>
    </cfRule>
  </conditionalFormatting>
  <conditionalFormatting sqref="M18">
    <cfRule type="expression" dxfId="123" priority="30">
      <formula>M$7= "SIM"</formula>
    </cfRule>
  </conditionalFormatting>
  <conditionalFormatting sqref="M19">
    <cfRule type="expression" dxfId="122" priority="27">
      <formula>M$7="NÃO"</formula>
    </cfRule>
  </conditionalFormatting>
  <conditionalFormatting sqref="M19">
    <cfRule type="expression" dxfId="121" priority="28">
      <formula>M$7= "SIM"</formula>
    </cfRule>
  </conditionalFormatting>
  <conditionalFormatting sqref="I15">
    <cfRule type="expression" dxfId="120" priority="25">
      <formula>I$7="NÃO"</formula>
    </cfRule>
  </conditionalFormatting>
  <conditionalFormatting sqref="I15">
    <cfRule type="expression" dxfId="119" priority="26">
      <formula>I$7= "SIM"</formula>
    </cfRule>
  </conditionalFormatting>
  <conditionalFormatting sqref="I16">
    <cfRule type="expression" dxfId="118" priority="23">
      <formula>I$7="NÃO"</formula>
    </cfRule>
  </conditionalFormatting>
  <conditionalFormatting sqref="I16">
    <cfRule type="expression" dxfId="117" priority="24">
      <formula>I$7= "SIM"</formula>
    </cfRule>
  </conditionalFormatting>
  <conditionalFormatting sqref="I17">
    <cfRule type="expression" dxfId="116" priority="21">
      <formula>I$7="NÃO"</formula>
    </cfRule>
  </conditionalFormatting>
  <conditionalFormatting sqref="I17">
    <cfRule type="expression" dxfId="115" priority="22">
      <formula>I$7= "SIM"</formula>
    </cfRule>
  </conditionalFormatting>
  <conditionalFormatting sqref="I18">
    <cfRule type="expression" dxfId="114" priority="19">
      <formula>I$7="NÃO"</formula>
    </cfRule>
  </conditionalFormatting>
  <conditionalFormatting sqref="I18">
    <cfRule type="expression" dxfId="113" priority="20">
      <formula>I$7= "SIM"</formula>
    </cfRule>
  </conditionalFormatting>
  <conditionalFormatting sqref="I19">
    <cfRule type="expression" dxfId="112" priority="17">
      <formula>I$7="NÃO"</formula>
    </cfRule>
  </conditionalFormatting>
  <conditionalFormatting sqref="I19">
    <cfRule type="expression" dxfId="111" priority="18">
      <formula>I$7= "SIM"</formula>
    </cfRule>
  </conditionalFormatting>
  <conditionalFormatting sqref="E15">
    <cfRule type="expression" dxfId="110" priority="15">
      <formula>E$7="NÃO"</formula>
    </cfRule>
  </conditionalFormatting>
  <conditionalFormatting sqref="E15">
    <cfRule type="expression" dxfId="109" priority="16">
      <formula>E$7= "SIM"</formula>
    </cfRule>
  </conditionalFormatting>
  <conditionalFormatting sqref="E16">
    <cfRule type="expression" dxfId="108" priority="13">
      <formula>E$7="NÃO"</formula>
    </cfRule>
  </conditionalFormatting>
  <conditionalFormatting sqref="E16">
    <cfRule type="expression" dxfId="107" priority="14">
      <formula>E$7= "SIM"</formula>
    </cfRule>
  </conditionalFormatting>
  <conditionalFormatting sqref="E17">
    <cfRule type="expression" dxfId="106" priority="11">
      <formula>E$7="NÃO"</formula>
    </cfRule>
  </conditionalFormatting>
  <conditionalFormatting sqref="E17">
    <cfRule type="expression" dxfId="105" priority="12">
      <formula>E$7= "SIM"</formula>
    </cfRule>
  </conditionalFormatting>
  <conditionalFormatting sqref="E18">
    <cfRule type="expression" dxfId="104" priority="9">
      <formula>E$7="NÃO"</formula>
    </cfRule>
  </conditionalFormatting>
  <conditionalFormatting sqref="E18">
    <cfRule type="expression" dxfId="103" priority="10">
      <formula>E$7= "SIM"</formula>
    </cfRule>
  </conditionalFormatting>
  <conditionalFormatting sqref="E19">
    <cfRule type="expression" dxfId="102" priority="7">
      <formula>E$7="NÃO"</formula>
    </cfRule>
  </conditionalFormatting>
  <conditionalFormatting sqref="E19">
    <cfRule type="expression" dxfId="101" priority="8">
      <formula>E$7= "SIM"</formula>
    </cfRule>
  </conditionalFormatting>
  <conditionalFormatting sqref="U15">
    <cfRule type="expression" dxfId="100" priority="55">
      <formula>U$7="NÃO"</formula>
    </cfRule>
  </conditionalFormatting>
  <conditionalFormatting sqref="U15">
    <cfRule type="expression" dxfId="99" priority="56">
      <formula>U$7= "SIM"</formula>
    </cfRule>
  </conditionalFormatting>
  <conditionalFormatting sqref="U16">
    <cfRule type="expression" dxfId="98" priority="53">
      <formula>U$7="NÃO"</formula>
    </cfRule>
  </conditionalFormatting>
  <conditionalFormatting sqref="U16">
    <cfRule type="expression" dxfId="97" priority="54">
      <formula>U$7= "SIM"</formula>
    </cfRule>
  </conditionalFormatting>
  <conditionalFormatting sqref="U17">
    <cfRule type="expression" dxfId="96" priority="51">
      <formula>U$7="NÃO"</formula>
    </cfRule>
  </conditionalFormatting>
  <conditionalFormatting sqref="U17">
    <cfRule type="expression" dxfId="95" priority="52">
      <formula>U$7= "SIM"</formula>
    </cfRule>
  </conditionalFormatting>
  <conditionalFormatting sqref="I7 E7 M7 Q7 U7">
    <cfRule type="expression" dxfId="94" priority="3">
      <formula>E$7="NÃO"</formula>
    </cfRule>
  </conditionalFormatting>
  <conditionalFormatting sqref="I7 E7 M7 Q7 U7">
    <cfRule type="expression" dxfId="93" priority="4">
      <formula>E$7= "SIM"</formula>
    </cfRule>
  </conditionalFormatting>
  <conditionalFormatting sqref="L2">
    <cfRule type="expression" dxfId="92" priority="1">
      <formula>L$2="NÃO"</formula>
    </cfRule>
  </conditionalFormatting>
  <conditionalFormatting sqref="L2">
    <cfRule type="expression" dxfId="91" priority="2">
      <formula>L$2= "SIM"</formula>
    </cfRule>
  </conditionalFormatting>
  <conditionalFormatting sqref="D2">
    <cfRule type="expression" dxfId="90" priority="5">
      <formula>AND($L$2="Sim",$D$2&lt;$D$11)</formula>
    </cfRule>
  </conditionalFormatting>
  <conditionalFormatting sqref="D2">
    <cfRule type="expression" dxfId="89" priority="6">
      <formula>AND($L$2="Sim",$D$2&gt;$V$11)</formula>
    </cfRule>
  </conditionalFormatting>
  <pageMargins left="0.511811024" right="0.511811024" top="0.78740157499999996" bottom="0.78740157499999996" header="0" footer="0"/>
  <pageSetup paperSize="9"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outlinePr summaryBelow="0"/>
  </sheetPr>
  <dimension ref="A1:BI105"/>
  <sheetViews>
    <sheetView zoomScale="75" zoomScaleNormal="75" workbookViewId="0">
      <selection activeCell="B1" sqref="B1:B3"/>
    </sheetView>
  </sheetViews>
  <sheetFormatPr defaultColWidth="14.453125" defaultRowHeight="15" customHeight="1" outlineLevelRow="1" x14ac:dyDescent="0.35"/>
  <cols>
    <col min="1" max="1" width="1.7265625" customWidth="1"/>
    <col min="2" max="2" width="60.7265625" customWidth="1"/>
    <col min="3" max="3" width="1.7265625" customWidth="1"/>
    <col min="4" max="4" width="11.7265625" customWidth="1"/>
    <col min="5" max="5" width="15.7265625" customWidth="1"/>
    <col min="6" max="6" width="11.7265625" customWidth="1"/>
    <col min="7" max="7" width="1.7265625" customWidth="1"/>
    <col min="8" max="8" width="11.7265625" customWidth="1"/>
    <col min="9" max="9" width="15.7265625" customWidth="1"/>
    <col min="10" max="10" width="11.7265625" customWidth="1"/>
    <col min="11" max="11" width="1.7265625" customWidth="1"/>
    <col min="12" max="12" width="11.7265625" customWidth="1"/>
    <col min="13" max="13" width="15.7265625" customWidth="1"/>
    <col min="14" max="14" width="11.7265625" customWidth="1"/>
    <col min="15" max="15" width="1.7265625" customWidth="1"/>
    <col min="16" max="16" width="11.7265625" customWidth="1"/>
    <col min="17" max="17" width="15.7265625" customWidth="1"/>
    <col min="18" max="18" width="11.7265625" customWidth="1"/>
    <col min="19" max="19" width="1.7265625" customWidth="1"/>
    <col min="20" max="20" width="11.7265625" customWidth="1"/>
    <col min="21" max="21" width="15.7265625" customWidth="1"/>
    <col min="22" max="22" width="11.7265625" customWidth="1"/>
    <col min="23" max="27" width="6.453125" hidden="1" customWidth="1"/>
    <col min="28" max="61" width="8.7265625" customWidth="1"/>
  </cols>
  <sheetData>
    <row r="1" spans="1:61" s="195" customFormat="1" ht="20.149999999999999" customHeight="1" x14ac:dyDescent="0.35">
      <c r="A1" s="441"/>
      <c r="B1" s="2303" t="s">
        <v>875</v>
      </c>
      <c r="C1" s="441"/>
      <c r="D1" s="441"/>
      <c r="E1" s="441"/>
      <c r="F1" s="441"/>
      <c r="G1" s="441"/>
      <c r="H1" s="441"/>
      <c r="I1" s="441"/>
      <c r="J1" s="1182" t="str">
        <f>'R&amp;C-Painel de Controle'!C59</f>
        <v>Tecnologia Europeia</v>
      </c>
      <c r="K1" s="1182"/>
      <c r="L1" s="1182" t="s">
        <v>449</v>
      </c>
      <c r="M1" s="1182" t="s">
        <v>784</v>
      </c>
      <c r="N1" s="441"/>
      <c r="O1" s="441"/>
      <c r="P1" s="441"/>
      <c r="Q1" s="441"/>
      <c r="R1" s="441"/>
      <c r="S1" s="441"/>
      <c r="T1" s="441"/>
      <c r="U1" s="441"/>
      <c r="V1" s="441"/>
      <c r="W1" s="179"/>
      <c r="X1" s="179"/>
      <c r="Y1" s="179"/>
      <c r="Z1" s="179"/>
      <c r="AA1" s="179"/>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row>
    <row r="2" spans="1:61" s="195" customFormat="1" ht="20.149999999999999" customHeight="1" x14ac:dyDescent="0.45">
      <c r="A2" s="892"/>
      <c r="B2" s="2303"/>
      <c r="C2" s="444"/>
      <c r="D2" s="1021">
        <f>'R-Resumo Bal. Massa'!B39*(1+'R&amp;C-Painel de Controle'!H72)</f>
        <v>657.07200000000023</v>
      </c>
      <c r="E2" s="1022" t="s">
        <v>19</v>
      </c>
      <c r="F2" s="1158"/>
      <c r="G2" s="1158"/>
      <c r="H2" s="1156">
        <f>D2*313</f>
        <v>205663.53600000008</v>
      </c>
      <c r="I2" s="1155" t="s">
        <v>291</v>
      </c>
      <c r="J2" s="1158"/>
      <c r="K2" s="1158"/>
      <c r="L2" s="1137" t="str">
        <f>IF(D2&gt;0,"Sim","Não")</f>
        <v>Sim</v>
      </c>
      <c r="M2" s="439"/>
      <c r="N2" s="439"/>
      <c r="O2" s="439"/>
      <c r="P2" s="1157" t="s">
        <v>493</v>
      </c>
      <c r="Q2" s="2294" t="str">
        <f>'R-Definição'!D2</f>
        <v>São Judas Tadeu</v>
      </c>
      <c r="R2" s="2295"/>
      <c r="S2" s="437"/>
      <c r="T2" s="1157" t="s">
        <v>494</v>
      </c>
      <c r="U2" s="2294" t="str">
        <f>'R-Definição'!D3</f>
        <v>Rota Futura 1</v>
      </c>
      <c r="V2" s="2295"/>
      <c r="W2" s="333"/>
      <c r="X2" s="333"/>
      <c r="Y2" s="333"/>
      <c r="Z2" s="333"/>
      <c r="AA2" s="333"/>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317"/>
      <c r="BG2" s="317"/>
      <c r="BH2" s="317"/>
      <c r="BI2" s="317"/>
    </row>
    <row r="3" spans="1:61" s="195" customFormat="1" ht="20.149999999999999" customHeight="1" x14ac:dyDescent="0.35">
      <c r="A3" s="441"/>
      <c r="B3" s="2303"/>
      <c r="C3" s="435"/>
      <c r="D3" s="434"/>
      <c r="E3" s="434"/>
      <c r="F3" s="434"/>
      <c r="G3" s="434"/>
      <c r="H3" s="434"/>
      <c r="I3" s="434"/>
      <c r="J3" s="434"/>
      <c r="K3" s="434"/>
      <c r="L3" s="434"/>
      <c r="M3" s="434"/>
      <c r="N3" s="434"/>
      <c r="O3" s="439"/>
      <c r="P3" s="434"/>
      <c r="Q3" s="434"/>
      <c r="R3" s="434"/>
      <c r="S3" s="434"/>
      <c r="T3" s="434"/>
      <c r="U3" s="434"/>
      <c r="V3" s="434"/>
      <c r="W3" s="179"/>
      <c r="X3" s="179"/>
      <c r="Y3" s="179"/>
      <c r="Z3" s="179"/>
      <c r="AA3" s="179"/>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row>
    <row r="4" spans="1:61" s="195" customFormat="1" ht="7.5" customHeight="1" x14ac:dyDescent="0.35">
      <c r="A4" s="441"/>
      <c r="B4" s="733"/>
      <c r="C4" s="393"/>
      <c r="D4" s="1121"/>
      <c r="E4" s="1121"/>
      <c r="F4" s="1121"/>
      <c r="G4" s="393"/>
      <c r="H4" s="1121"/>
      <c r="I4" s="1121"/>
      <c r="J4" s="1121"/>
      <c r="K4" s="393"/>
      <c r="L4" s="1121"/>
      <c r="M4" s="1121"/>
      <c r="N4" s="1424"/>
      <c r="O4" s="393"/>
      <c r="P4" s="1121"/>
      <c r="Q4" s="1121"/>
      <c r="R4" s="1121"/>
      <c r="S4" s="1027"/>
      <c r="T4" s="1121"/>
      <c r="U4" s="1121"/>
      <c r="V4" s="1028"/>
      <c r="W4" s="356"/>
      <c r="X4" s="356"/>
      <c r="Y4" s="356"/>
      <c r="Z4" s="356"/>
      <c r="AA4" s="356"/>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row>
    <row r="5" spans="1:61" s="195" customFormat="1" ht="17.899999999999999" customHeight="1" x14ac:dyDescent="0.35">
      <c r="A5" s="441"/>
      <c r="B5" s="993" t="s">
        <v>868</v>
      </c>
      <c r="C5" s="445"/>
      <c r="D5" s="1162">
        <v>4.5</v>
      </c>
      <c r="E5" s="998" t="s">
        <v>880</v>
      </c>
      <c r="F5" s="996"/>
      <c r="G5" s="996"/>
      <c r="H5" s="996"/>
      <c r="I5" s="996"/>
      <c r="J5" s="996"/>
      <c r="K5" s="996"/>
      <c r="L5" s="996"/>
      <c r="M5" s="996"/>
      <c r="N5" s="996"/>
      <c r="O5" s="996"/>
      <c r="P5" s="996"/>
      <c r="Q5" s="996"/>
      <c r="R5" s="996"/>
      <c r="S5" s="996"/>
      <c r="T5" s="996"/>
      <c r="U5" s="996"/>
      <c r="V5" s="327"/>
      <c r="W5" s="179"/>
      <c r="X5" s="179"/>
      <c r="Y5" s="179"/>
      <c r="Z5" s="179"/>
      <c r="AA5" s="179"/>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row>
    <row r="6" spans="1:61" s="195" customFormat="1" ht="7.5" customHeight="1" x14ac:dyDescent="0.35">
      <c r="A6" s="441"/>
      <c r="B6" s="733"/>
      <c r="C6" s="393"/>
      <c r="D6" s="1121"/>
      <c r="E6" s="1121"/>
      <c r="F6" s="1121"/>
      <c r="G6" s="393"/>
      <c r="H6" s="1121"/>
      <c r="I6" s="1121"/>
      <c r="J6" s="1121"/>
      <c r="K6" s="393"/>
      <c r="L6" s="1121"/>
      <c r="M6" s="1121"/>
      <c r="N6" s="1121"/>
      <c r="O6" s="393"/>
      <c r="P6" s="1121"/>
      <c r="Q6" s="1121"/>
      <c r="R6" s="1121"/>
      <c r="S6" s="1027"/>
      <c r="T6" s="1121"/>
      <c r="U6" s="1121"/>
      <c r="V6" s="1028"/>
      <c r="W6" s="356"/>
      <c r="X6" s="356"/>
      <c r="Y6" s="356"/>
      <c r="Z6" s="356"/>
      <c r="AA6" s="356"/>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row>
    <row r="7" spans="1:61" s="195" customFormat="1" ht="20.149999999999999" customHeight="1" x14ac:dyDescent="0.35">
      <c r="A7" s="441"/>
      <c r="B7" s="993" t="s">
        <v>955</v>
      </c>
      <c r="C7" s="977"/>
      <c r="D7" s="1425">
        <f>(2.6*('R-Definição'!O111/'R-Definição'!E112))/(0.97*'R-Definição'!E114)</f>
        <v>0.57896907216494853</v>
      </c>
      <c r="E7" s="1114" t="str">
        <f>IF(AND(L2="Sim",$D$2&gt;D11,$D$2&lt;=F11),"SIM","NÃO")</f>
        <v>SIM</v>
      </c>
      <c r="F7" s="981"/>
      <c r="G7" s="977"/>
      <c r="H7" s="981"/>
      <c r="I7" s="1141" t="str">
        <f>IF(AND(L2="Sim",$D$2&gt;H11,$D$2&lt;=J11),"SIM","NÃO")</f>
        <v>NÃO</v>
      </c>
      <c r="J7" s="981"/>
      <c r="K7" s="977"/>
      <c r="L7" s="981"/>
      <c r="M7" s="1114" t="str">
        <f>IF(AND(L2="Sim",$D$2&gt;L11,$D$2&lt;=N11),"SIM","NÃO")</f>
        <v>NÃO</v>
      </c>
      <c r="N7" s="981"/>
      <c r="O7" s="1139"/>
      <c r="P7" s="981"/>
      <c r="Q7" s="1114" t="str">
        <f>IF(AND(L2="Sim",$D$2&gt;P11,$D$2&lt;=R11),"SIM","NÃO")</f>
        <v>NÃO</v>
      </c>
      <c r="R7" s="981"/>
      <c r="S7" s="977"/>
      <c r="T7" s="981"/>
      <c r="U7" s="1142" t="str">
        <f>IF(AND(L2="Sim",$D$2&gt;T11,$D$2&lt;=V11*1.5),"SIM","NÃO")</f>
        <v>NÃO</v>
      </c>
      <c r="V7" s="977"/>
      <c r="W7" s="179"/>
      <c r="X7" s="179"/>
      <c r="Y7" s="179"/>
      <c r="Z7" s="179"/>
      <c r="AA7" s="179"/>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195" customFormat="1" ht="7.5" customHeight="1" thickBot="1" x14ac:dyDescent="0.4">
      <c r="A8" s="441"/>
      <c r="B8" s="733"/>
      <c r="C8" s="393"/>
      <c r="D8" s="1121"/>
      <c r="E8" s="1121"/>
      <c r="F8" s="1121"/>
      <c r="G8" s="393"/>
      <c r="H8" s="1121"/>
      <c r="I8" s="1121"/>
      <c r="J8" s="1121"/>
      <c r="K8" s="393"/>
      <c r="L8" s="1121"/>
      <c r="M8" s="1121"/>
      <c r="N8" s="1121"/>
      <c r="O8" s="393"/>
      <c r="P8" s="1121"/>
      <c r="Q8" s="1121"/>
      <c r="R8" s="1121"/>
      <c r="S8" s="1027"/>
      <c r="T8" s="1121"/>
      <c r="U8" s="1121"/>
      <c r="V8" s="1028"/>
      <c r="W8" s="356"/>
      <c r="X8" s="356"/>
      <c r="Y8" s="356"/>
      <c r="Z8" s="356"/>
      <c r="AA8" s="356"/>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row>
    <row r="9" spans="1:61" s="1172" customFormat="1" ht="17.899999999999999" customHeight="1" thickTop="1" thickBot="1" x14ac:dyDescent="0.5">
      <c r="A9" s="1173"/>
      <c r="B9" s="2297" t="s">
        <v>697</v>
      </c>
      <c r="C9" s="1023"/>
      <c r="D9" s="2300" t="s">
        <v>450</v>
      </c>
      <c r="E9" s="2301"/>
      <c r="F9" s="2301"/>
      <c r="G9" s="2301"/>
      <c r="H9" s="2301"/>
      <c r="I9" s="2301"/>
      <c r="J9" s="2301"/>
      <c r="K9" s="2301"/>
      <c r="L9" s="2301"/>
      <c r="M9" s="2301"/>
      <c r="N9" s="2301"/>
      <c r="O9" s="2301"/>
      <c r="P9" s="2301"/>
      <c r="Q9" s="2301"/>
      <c r="R9" s="2301"/>
      <c r="S9" s="2301"/>
      <c r="T9" s="2301"/>
      <c r="U9" s="2301"/>
      <c r="V9" s="2302"/>
      <c r="W9" s="1179"/>
      <c r="X9" s="1179"/>
      <c r="Y9" s="1179"/>
      <c r="Z9" s="1179"/>
      <c r="AA9" s="1179"/>
      <c r="AB9" s="1175"/>
      <c r="AC9" s="1175"/>
      <c r="AD9" s="1175"/>
      <c r="AE9" s="1175"/>
      <c r="AF9" s="1175"/>
      <c r="AG9" s="1175"/>
      <c r="AH9" s="1175"/>
      <c r="AI9" s="1175"/>
      <c r="AJ9" s="1175"/>
      <c r="AK9" s="1175"/>
      <c r="AL9" s="1175"/>
      <c r="AM9" s="1175"/>
      <c r="AN9" s="1175"/>
      <c r="AO9" s="1175"/>
      <c r="AP9" s="1175"/>
      <c r="AQ9" s="1175"/>
      <c r="AR9" s="1175"/>
      <c r="AS9" s="1175"/>
      <c r="AT9" s="1175"/>
      <c r="AU9" s="1175"/>
      <c r="AV9" s="1175"/>
      <c r="AW9" s="1175"/>
      <c r="AX9" s="1175"/>
      <c r="AY9" s="1175"/>
      <c r="AZ9" s="1175"/>
      <c r="BA9" s="1175"/>
      <c r="BB9" s="1175"/>
      <c r="BC9" s="1175"/>
      <c r="BD9" s="1175"/>
      <c r="BE9" s="1175"/>
      <c r="BF9" s="1175"/>
      <c r="BG9" s="1175"/>
      <c r="BH9" s="1175"/>
      <c r="BI9" s="1175"/>
    </row>
    <row r="10" spans="1:61" s="1172" customFormat="1" ht="7.5" customHeight="1" x14ac:dyDescent="0.45">
      <c r="A10" s="1173"/>
      <c r="B10" s="2298"/>
      <c r="C10" s="1023"/>
      <c r="D10" s="1132"/>
      <c r="E10" s="1020"/>
      <c r="F10" s="1020"/>
      <c r="G10" s="978"/>
      <c r="H10" s="1020"/>
      <c r="I10" s="1020"/>
      <c r="J10" s="1020"/>
      <c r="K10" s="978"/>
      <c r="L10" s="1020"/>
      <c r="M10" s="1020"/>
      <c r="N10" s="1020"/>
      <c r="O10" s="978"/>
      <c r="P10" s="1020"/>
      <c r="Q10" s="1020"/>
      <c r="R10" s="1020"/>
      <c r="S10" s="978"/>
      <c r="T10" s="1020"/>
      <c r="U10" s="1020"/>
      <c r="V10" s="1133"/>
      <c r="W10" s="1179"/>
      <c r="X10" s="1179"/>
      <c r="Y10" s="1179"/>
      <c r="Z10" s="1179"/>
      <c r="AA10" s="1179"/>
      <c r="AB10" s="1175"/>
      <c r="AC10" s="1175"/>
      <c r="AD10" s="1175"/>
      <c r="AE10" s="1175"/>
      <c r="AF10" s="1175"/>
      <c r="AG10" s="1175"/>
      <c r="AH10" s="1175"/>
      <c r="AI10" s="1175"/>
      <c r="AJ10" s="1175"/>
      <c r="AK10" s="1175"/>
      <c r="AL10" s="1175"/>
      <c r="AM10" s="1175"/>
      <c r="AN10" s="1175"/>
      <c r="AO10" s="1175"/>
      <c r="AP10" s="1175"/>
      <c r="AQ10" s="1175"/>
      <c r="AR10" s="1175"/>
      <c r="AS10" s="1175"/>
      <c r="AT10" s="1175"/>
      <c r="AU10" s="1175"/>
      <c r="AV10" s="1175"/>
      <c r="AW10" s="1175"/>
      <c r="AX10" s="1175"/>
      <c r="AY10" s="1175"/>
      <c r="AZ10" s="1175"/>
      <c r="BA10" s="1175"/>
      <c r="BB10" s="1175"/>
      <c r="BC10" s="1175"/>
      <c r="BD10" s="1175"/>
      <c r="BE10" s="1175"/>
      <c r="BF10" s="1175"/>
      <c r="BG10" s="1175"/>
      <c r="BH10" s="1175"/>
      <c r="BI10" s="1175"/>
    </row>
    <row r="11" spans="1:61" s="1172" customFormat="1" ht="17.899999999999999" customHeight="1" thickBot="1" x14ac:dyDescent="0.5">
      <c r="A11" s="1173"/>
      <c r="B11" s="2299"/>
      <c r="C11" s="1023"/>
      <c r="D11" s="1124">
        <v>500</v>
      </c>
      <c r="E11" s="1126" t="s">
        <v>19</v>
      </c>
      <c r="F11" s="1126">
        <v>1000</v>
      </c>
      <c r="G11" s="1127"/>
      <c r="H11" s="1126">
        <f>F11</f>
        <v>1000</v>
      </c>
      <c r="I11" s="1126" t="s">
        <v>19</v>
      </c>
      <c r="J11" s="1126">
        <v>2000</v>
      </c>
      <c r="K11" s="1127"/>
      <c r="L11" s="1126">
        <f>J11</f>
        <v>2000</v>
      </c>
      <c r="M11" s="1126" t="s">
        <v>19</v>
      </c>
      <c r="N11" s="1126">
        <v>3000</v>
      </c>
      <c r="O11" s="1127"/>
      <c r="P11" s="1126">
        <f>N11</f>
        <v>3000</v>
      </c>
      <c r="Q11" s="1126" t="s">
        <v>19</v>
      </c>
      <c r="R11" s="1126">
        <v>4000</v>
      </c>
      <c r="S11" s="1127"/>
      <c r="T11" s="1126">
        <f>R11</f>
        <v>4000</v>
      </c>
      <c r="U11" s="1126" t="s">
        <v>19</v>
      </c>
      <c r="V11" s="1128">
        <v>5000</v>
      </c>
      <c r="W11" s="1179"/>
      <c r="X11" s="1179"/>
      <c r="Y11" s="1179"/>
      <c r="Z11" s="1179"/>
      <c r="AA11" s="1179"/>
      <c r="AB11" s="1175"/>
      <c r="AC11" s="1175"/>
      <c r="AD11" s="1175"/>
      <c r="AE11" s="1175"/>
      <c r="AF11" s="1175"/>
      <c r="AG11" s="1175"/>
      <c r="AH11" s="1175"/>
      <c r="AI11" s="1175"/>
      <c r="AJ11" s="1175"/>
      <c r="AK11" s="1175"/>
      <c r="AL11" s="1175"/>
      <c r="AM11" s="1175"/>
      <c r="AN11" s="1175"/>
      <c r="AO11" s="1175"/>
      <c r="AP11" s="1175"/>
      <c r="AQ11" s="1175"/>
      <c r="AR11" s="1175"/>
      <c r="AS11" s="1175"/>
      <c r="AT11" s="1175"/>
      <c r="AU11" s="1175"/>
      <c r="AV11" s="1175"/>
      <c r="AW11" s="1175"/>
      <c r="AX11" s="1175"/>
      <c r="AY11" s="1175"/>
      <c r="AZ11" s="1175"/>
      <c r="BA11" s="1175"/>
      <c r="BB11" s="1175"/>
      <c r="BC11" s="1175"/>
      <c r="BD11" s="1175"/>
      <c r="BE11" s="1175"/>
      <c r="BF11" s="1175"/>
      <c r="BG11" s="1175"/>
      <c r="BH11" s="1175"/>
      <c r="BI11" s="1175"/>
    </row>
    <row r="12" spans="1:61" s="195" customFormat="1" ht="15" customHeight="1" thickTop="1" thickBot="1" x14ac:dyDescent="0.4">
      <c r="A12" s="441"/>
      <c r="B12" s="1130"/>
      <c r="C12" s="875"/>
      <c r="D12" s="1131"/>
      <c r="E12" s="1131"/>
      <c r="F12" s="1131"/>
      <c r="G12" s="875"/>
      <c r="H12" s="1131"/>
      <c r="I12" s="1131"/>
      <c r="J12" s="1131"/>
      <c r="K12" s="875"/>
      <c r="L12" s="1131"/>
      <c r="M12" s="1131"/>
      <c r="N12" s="1131"/>
      <c r="O12" s="875"/>
      <c r="P12" s="1131"/>
      <c r="Q12" s="1131"/>
      <c r="R12" s="1131"/>
      <c r="S12" s="875"/>
      <c r="T12" s="1131"/>
      <c r="U12" s="1131"/>
      <c r="V12" s="1131"/>
      <c r="W12" s="179"/>
      <c r="X12" s="179"/>
      <c r="Y12" s="179"/>
      <c r="Z12" s="179"/>
      <c r="AA12" s="179"/>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row>
    <row r="13" spans="1:61" s="1172" customFormat="1" ht="25.15" customHeight="1" thickTop="1" thickBot="1" x14ac:dyDescent="0.5">
      <c r="A13" s="1173"/>
      <c r="B13" s="1060" t="s">
        <v>500</v>
      </c>
      <c r="C13" s="1025"/>
      <c r="D13" s="1062" t="s">
        <v>858</v>
      </c>
      <c r="E13" s="1063" t="s">
        <v>499</v>
      </c>
      <c r="F13" s="1064" t="s">
        <v>332</v>
      </c>
      <c r="G13" s="997"/>
      <c r="H13" s="1062" t="s">
        <v>858</v>
      </c>
      <c r="I13" s="1063" t="s">
        <v>499</v>
      </c>
      <c r="J13" s="1064" t="s">
        <v>332</v>
      </c>
      <c r="K13" s="997"/>
      <c r="L13" s="1062" t="s">
        <v>858</v>
      </c>
      <c r="M13" s="1063" t="s">
        <v>499</v>
      </c>
      <c r="N13" s="1064" t="s">
        <v>332</v>
      </c>
      <c r="O13" s="997"/>
      <c r="P13" s="1062" t="s">
        <v>858</v>
      </c>
      <c r="Q13" s="1063" t="s">
        <v>499</v>
      </c>
      <c r="R13" s="1064" t="s">
        <v>332</v>
      </c>
      <c r="S13" s="997"/>
      <c r="T13" s="1062" t="s">
        <v>858</v>
      </c>
      <c r="U13" s="1063" t="s">
        <v>499</v>
      </c>
      <c r="V13" s="1064" t="s">
        <v>332</v>
      </c>
      <c r="W13" s="1176" t="s">
        <v>784</v>
      </c>
      <c r="X13" s="1177"/>
      <c r="Y13" s="1177"/>
      <c r="Z13" s="1177"/>
      <c r="AA13" s="1177"/>
      <c r="AB13" s="1175"/>
      <c r="AC13" s="1175"/>
      <c r="AD13" s="1175"/>
      <c r="AE13" s="1175"/>
      <c r="AF13" s="1175"/>
      <c r="AG13" s="1175"/>
      <c r="AH13" s="1175"/>
      <c r="AI13" s="1175"/>
      <c r="AJ13" s="1175"/>
      <c r="AK13" s="1175"/>
      <c r="AL13" s="1175"/>
      <c r="AM13" s="1175"/>
      <c r="AN13" s="1175"/>
      <c r="AO13" s="1175"/>
      <c r="AP13" s="1175"/>
      <c r="AQ13" s="1175"/>
      <c r="AR13" s="1175"/>
      <c r="AS13" s="1175"/>
      <c r="AT13" s="1175"/>
      <c r="AU13" s="1175"/>
      <c r="AV13" s="1175"/>
      <c r="AW13" s="1175"/>
      <c r="AX13" s="1175"/>
      <c r="AY13" s="1175"/>
      <c r="AZ13" s="1175"/>
      <c r="BA13" s="1175"/>
      <c r="BB13" s="1175"/>
      <c r="BC13" s="1175"/>
      <c r="BD13" s="1175"/>
      <c r="BE13" s="1175"/>
      <c r="BF13" s="1175"/>
      <c r="BG13" s="1175"/>
      <c r="BH13" s="1175"/>
      <c r="BI13" s="1175"/>
    </row>
    <row r="14" spans="1:61" s="195" customFormat="1" ht="7.5" customHeight="1" x14ac:dyDescent="0.35">
      <c r="A14" s="441"/>
      <c r="B14" s="1088"/>
      <c r="C14" s="1025"/>
      <c r="D14" s="1094"/>
      <c r="E14" s="337"/>
      <c r="F14" s="1039"/>
      <c r="G14" s="1025"/>
      <c r="H14" s="1094"/>
      <c r="I14" s="337"/>
      <c r="J14" s="1039"/>
      <c r="K14" s="1025"/>
      <c r="L14" s="1094"/>
      <c r="M14" s="337"/>
      <c r="N14" s="1039"/>
      <c r="O14" s="1025"/>
      <c r="P14" s="1094"/>
      <c r="Q14" s="337"/>
      <c r="R14" s="1039"/>
      <c r="S14" s="1025"/>
      <c r="T14" s="1094"/>
      <c r="U14" s="337"/>
      <c r="V14" s="1039"/>
      <c r="W14" s="356"/>
      <c r="X14" s="356"/>
      <c r="Y14" s="356"/>
      <c r="Z14" s="356"/>
      <c r="AA14" s="356"/>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row>
    <row r="15" spans="1:61" s="195" customFormat="1" ht="20.149999999999999" customHeight="1" x14ac:dyDescent="0.35">
      <c r="A15" s="441"/>
      <c r="B15" s="1035" t="s">
        <v>427</v>
      </c>
      <c r="C15" s="997"/>
      <c r="D15" s="1581">
        <f>(IF('R&amp;C-Painel de Controle'!$C$59="Tecnologia Chinesa",572.251338598527*D22, 572.251338598527))</f>
        <v>572.25133859852701</v>
      </c>
      <c r="E15" s="1514">
        <f>(IF(AND(E7="SIM",'R&amp;C-Painel de Controle'!$C$59="Tecnologia Chinesa"),(((((401.848504437591*D22*(($D$2-D11)/(F11-D11))*$H$2)*E21*$D$5*(1+'R&amp;C-Painel de Controle'!$D$62)+(401.848504437591*D22*(($D$2-D11)/(F11-D11))*$H$2)*(1-E21)*'R&amp;C-Painel de Controle'!$D$54*(1+'R&amp;C-Painel de Controle'!$D$55)))+(((D15*((F11-$D$2)/(F11-D11))*$H$2)*E21*$D$5*(1+'R&amp;C-Painel de Controle'!$D$62)+(D15*((F11-$D$2)/(F11-D11))*$H$2)*(1-E21)*'R&amp;C-Painel de Controle'!$D$54*(1+'R&amp;C-Painel de Controle'!$D$55))))/1000000),(IF(AND(E7="SIM",'R&amp;C-Painel de Controle'!$C$59="Tecnologia Europeia"),(((((401.848504437591*(($D$2-D11)/(F11-D11))*$H$2)*E21*$D$5*(1+'R&amp;C-Painel de Controle'!$D$62)+(401.848504437591*(($D$2-D11)/(F11-D11))*$H$2)*(1-E21)*'R&amp;C-Painel de Controle'!$D$54*(1+'R&amp;C-Painel de Controle'!$D$55)))+(((D15*((F11-$D$2)/(F11-D11))*$H$2)*E21*$D$5*(1+'R&amp;C-Painel de Controle'!$D$62)+(D15*((F11-$D$2)/(F11-D11))*$H$2)*(1-E21)*'R&amp;C-Painel de Controle'!$D$54*(1+'R&amp;C-Painel de Controle'!$D$55))))/1000000),"-"))))</f>
        <v>672.09567570275044</v>
      </c>
      <c r="F15" s="1515">
        <v>0.05</v>
      </c>
      <c r="G15" s="1026"/>
      <c r="H15" s="1581">
        <f>(IF('R&amp;C-Painel de Controle'!$C$59="Tecnologia Chinesa",525.884311407721*H$22, 525.884311407721))</f>
        <v>525.88431140772104</v>
      </c>
      <c r="I15" s="1514" t="str">
        <f>(IF(AND(I7="SIM",'R&amp;C-Painel de Controle'!$C$59="Tecnologia Chinesa"),(((((401.848504437591*H22*(($D$2-H11)/(J11-H11))*$H$2)*I21*$D$5*(1+'R&amp;C-Painel de Controle'!$D$62)+(401.848504437591*H22*(($D$2-H11)/(J11-H11))*$H$2)*(1-I21)*'R&amp;C-Painel de Controle'!$D$54*(1+'R&amp;C-Painel de Controle'!$D$55)))+(((H15*((J11-$D$2)/(J11-H11))*$H$2)*I21*$D$5*(1+'R&amp;C-Painel de Controle'!$D$62)+(H15*((J11-$D$2)/(J11-H11))*$H$2)*(1-I21)*'R&amp;C-Painel de Controle'!$D$54*(1+'R&amp;C-Painel de Controle'!$D$55))))/1000000),(IF(AND(I7="SIM",'R&amp;C-Painel de Controle'!$C$59="Tecnologia Europeia"),(((((401.848504437591*(($D$2-H11)/(J11-H11))*$H$2)*I21*$D$5*(1+'R&amp;C-Painel de Controle'!$D$62)+(401.848504437591*(($D$2-H11)/(J11-H11))*$H$2)*(1-I21)*'R&amp;C-Painel de Controle'!$D$54*(1+'R&amp;C-Painel de Controle'!$D$55)))+(((H15*((J11-$D$2)/(J11-H11))*$H$2)*I21*$D$5*(1+'R&amp;C-Painel de Controle'!$D$62)+(H15*((J11-$D$2)/(J11-H11))*$H$2)*(1-I21)*'R&amp;C-Painel de Controle'!$D$54*(1+'R&amp;C-Painel de Controle'!$D$55))))/1000000),"-"))))</f>
        <v>-</v>
      </c>
      <c r="J15" s="1515">
        <v>0.05</v>
      </c>
      <c r="K15" s="1026"/>
      <c r="L15" s="1581">
        <f>(IF('R&amp;C-Painel de Controle'!$C$59="Tecnologia Chinesa",476.115698784112*L$22, 476.115698784112))</f>
        <v>476.115698784112</v>
      </c>
      <c r="M15" s="1514" t="str">
        <f>(IF(AND(M7="SIM",'R&amp;C-Painel de Controle'!$C$59="Tecnologia Chinesa"),(((((401.848504437591*L22*(($D$2-L11)/(N11-L11))*$H$2)*M21*$D$5*(1+'R&amp;C-Painel de Controle'!$D$62)+(401.848504437591*L22*(($D$2-L11)/(N11-L11))*$H$2)*(1-M21)*'R&amp;C-Painel de Controle'!$D$54*(1+'R&amp;C-Painel de Controle'!$D$55)))+(((L15*((N11-$D$2)/(N11-L11))*$H$2)*M21*$D$5*(1+'R&amp;C-Painel de Controle'!$D$62)+(L15*((N11-$D$2)/(N11-L11))*$H$2)*(1-M21)*'R&amp;C-Painel de Controle'!$D$54*(1+'R&amp;C-Painel de Controle'!$D$55))))/1000000),(IF(AND(M7="SIM",'R&amp;C-Painel de Controle'!$C$59="Tecnologia Europeia"),(((((401.848504437591*(($D$2-L11)/(N11-L11))*$H$2)*M21*$D$5*(1+'R&amp;C-Painel de Controle'!$D$62)+(401.848504437591*(($D$2-L11)/(N11-L11))*$H$2)*(1-M21)*'R&amp;C-Painel de Controle'!$D$54*(1+'R&amp;C-Painel de Controle'!$D$55)))+(((L15*((N11-$D$2)/(N11-L11))*$H$2)*M21*$D$5*(1+'R&amp;C-Painel de Controle'!$D$62)+(L15*((N11-$D$2)/(N11-L11))*$H$2)*(1-M21)*'R&amp;C-Painel de Controle'!$D$54*(1+'R&amp;C-Painel de Controle'!$D$55))))/1000000),"-"))))</f>
        <v>-</v>
      </c>
      <c r="N15" s="1515">
        <v>0.05</v>
      </c>
      <c r="O15" s="1026"/>
      <c r="P15" s="1581">
        <f>(IF('R&amp;C-Painel de Controle'!$C$59="Tecnologia Chinesa",442.933814489642*P$22, 442.933814489642))</f>
        <v>442.93381448964197</v>
      </c>
      <c r="Q15" s="1514" t="str">
        <f>(IF(AND(Q7="SIM",'R&amp;C-Painel de Controle'!$C$59="Tecnologia Chinesa"),(((((401.848504437591*P22*(($D$2-P11)/(R11-P11))*$H$2)*Q21*$D$5*(1+'R&amp;C-Painel de Controle'!$D$62)+(401.848504437591*P22*(($D$2-P11)/(R11-P11))*$H$2)*(1-Q21)*'R&amp;C-Painel de Controle'!$D$54*(1+'R&amp;C-Painel de Controle'!$D$55)))+(((P15*((R11-$D$2)/(R11-P11))*$H$2)*Q21*$D$5*(1+'R&amp;C-Painel de Controle'!$D$62)+(P15*((R11-$D$2)/(R11-P11))*$H$2)*(1-Q21)*'R&amp;C-Painel de Controle'!$D$54*(1+'R&amp;C-Painel de Controle'!$D$55))))/1000000),(IF(AND(Q7="SIM",'R&amp;C-Painel de Controle'!$C$59="Tecnologia Europeia"),(((((401.848504437591*(($D$2-P11)/(R11-P11))*$H$2)*Q21*$D$5*(1+'R&amp;C-Painel de Controle'!$D$62)+(401.848504437591*(($D$2-P11)/(R11-P11))*$H$2)*(1-Q21)*'R&amp;C-Painel de Controle'!$D$54*(1+'R&amp;C-Painel de Controle'!$D$55)))+(((P15*((R11-$D$2)/(R11-P11))*$H$2)*Q21*$D$5*(1+'R&amp;C-Painel de Controle'!$D$62)+(P15*((R11-$D$2)/(R11-P11))*$H$2)*(1-Q21)*'R&amp;C-Painel de Controle'!$D$54*(1+'R&amp;C-Painel de Controle'!$D$55))))/1000000),"-"))))</f>
        <v>-</v>
      </c>
      <c r="R15" s="1515">
        <v>0.05</v>
      </c>
      <c r="S15" s="1582"/>
      <c r="T15" s="1581">
        <f>(IF('R&amp;C-Painel de Controle'!$C$59="Tecnologia Chinesa",426.037265400051*T$22, 426.037265400051))</f>
        <v>426.03726540005101</v>
      </c>
      <c r="U15" s="1514" t="str">
        <f>(IF(AND(U7="SIM",'R&amp;C-Painel de Controle'!$C$59="Tecnologia Chinesa"),(((((401.848504437591*T22*(($D$2-T11)/(V11-T11))*$H$2)*U21*$D$5*(1+'R&amp;C-Painel de Controle'!$D$62)+(401.848504437591*T22*(($D$2-T11)/(V11-T11))*$H$2)*(1-U21)*'R&amp;C-Painel de Controle'!$D$54*(1+'R&amp;C-Painel de Controle'!$D$55)))+(((T15*((V11-$D$2)/(V11-T11))*$H$2)*U21*$D$5*(1+'R&amp;C-Painel de Controle'!$D$62)+(T15*((V11-$D$2)/(V11-T11))*$H$2)*(1-U21)*'R&amp;C-Painel de Controle'!$D$54*(1+'R&amp;C-Painel de Controle'!$D$55))))/1000000),(IF(AND(U7="SIM",'R&amp;C-Painel de Controle'!$C$59="Tecnologia Europeia"),(((((401.848504437591*(($D$2-T11)/(V11-T11))*$H$2)*U21*$D$5*(1+'R&amp;C-Painel de Controle'!$D$62)+(401.848504437591*(($D$2-T11)/(V11-T11))*$H$2)*(1-U21)*'R&amp;C-Painel de Controle'!$D$54*(1+'R&amp;C-Painel de Controle'!$D$55)))+(((T15*((V11-$D$2)/(V11-T11))*$H$2)*U21*$D$5*(1+'R&amp;C-Painel de Controle'!$D$62)+(T15*((V11-$D$2)/(V11-T11))*$H$2)*(1-U21)*'R&amp;C-Painel de Controle'!$D$54*(1+'R&amp;C-Painel de Controle'!$D$55))))/1000000),"-"))))</f>
        <v>-</v>
      </c>
      <c r="V15" s="1515">
        <v>0.05</v>
      </c>
      <c r="W15" s="357">
        <v>826.20534346404645</v>
      </c>
      <c r="X15" s="357">
        <v>1508.0558121008478</v>
      </c>
      <c r="Y15" s="357">
        <v>2305.5392335198767</v>
      </c>
      <c r="Z15" s="357">
        <v>3051.9601128146246</v>
      </c>
      <c r="AA15" s="358">
        <v>3738.5277415516616</v>
      </c>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row>
    <row r="16" spans="1:61" s="195" customFormat="1" ht="20.149999999999999" customHeight="1" x14ac:dyDescent="0.35">
      <c r="A16" s="441"/>
      <c r="B16" s="1035" t="s">
        <v>698</v>
      </c>
      <c r="C16" s="997"/>
      <c r="D16" s="1516">
        <f>(IF('R&amp;C-Painel de Controle'!$C$59="Tecnologia Chinesa",245.250573685083*D22*(1-E24), 245.250573685083*(1-E24)))</f>
        <v>196.2004589480664</v>
      </c>
      <c r="E16" s="1514">
        <f>(IF(AND(E7="SIM",'R&amp;C-Painel de Controle'!$C$59="Tecnologia Chinesa"),(((((100.462126109398*(1-E24)*(($D$2-D11)/(F11-D11))*$H$2)*'R&amp;C-Painel de Controle'!$D$54*(1+'R&amp;C-Painel de Controle'!$D$62))+((D16*((F11-$D$2)/(F11-D11))*$H$2)*'R&amp;C-Painel de Controle'!$D$54*(1+'R&amp;C-Painel de Controle'!$D$62)))/1000000)*(0.55+0.45*(1+('R&amp;C-Painel de Controle'!$D$60-5000)/5000))),(IF(AND(E7="SIM",'R&amp;C-Painel de Controle'!$C$59="Tecnologia Europeia"),(((((100.462126109398*(1-E24)*(($D$2-D11)/(F11-D11))*$H$2)*'R&amp;C-Painel de Controle'!$D$54*(1+'R&amp;C-Painel de Controle'!$D$62))+((D16*((F11-$D$2)/(F11-D11))*$H$2)*'R&amp;C-Painel de Controle'!$D$54*(1+'R&amp;C-Painel de Controle'!$D$62)))/1000000)*(0.55+0.45*(1+('R&amp;C-Painel de Controle'!$D$60-5000)/5000))),"-"))))</f>
        <v>147.90460720751045</v>
      </c>
      <c r="F16" s="1517">
        <v>2.5000000000000001E-2</v>
      </c>
      <c r="G16" s="1026"/>
      <c r="H16" s="1516">
        <f>(IF('R&amp;C-Painel de Controle'!$C$59="Tecnologia Chinesa",194.505156274089*H$22*(1-I24), 194.505156274089*(1-I24)))</f>
        <v>155.60412501927121</v>
      </c>
      <c r="I16" s="1514" t="str">
        <f>(IF(AND(I7="SIM",'R&amp;C-Painel de Controle'!$C$59="Tecnologia Chinesa"),(((((100.462126109398*(1-I24)*(($D$2-H11)/(J11-H11))*$H$2)*'R&amp;C-Painel de Controle'!$D$54*(1+'R&amp;C-Painel de Controle'!$D$62))+((H16*((J11-$D$2)/(J11-H11))*$H$2)*'R&amp;C-Painel de Controle'!$D$54*(1+'R&amp;C-Painel de Controle'!$D$62)))/1000000)*(0.55+0.45*(1+('R&amp;C-Painel de Controle'!$D$60-5000)/5000))),(IF(AND(I7="SIM",'R&amp;C-Painel de Controle'!$C$59="Tecnologia Europeia"),(((((100.462126109398*(1-I24)*(($D$2-H11)/(J11-H11))*$H$2)*'R&amp;C-Painel de Controle'!$D$54*(1+'R&amp;C-Painel de Controle'!$D$62))+((H16*((J11-$D$2)/(J11-H11))*$H$2)*'R&amp;C-Painel de Controle'!$D$54*(1+'R&amp;C-Painel de Controle'!$D$62)))/1000000)*(0.55+0.45*(1+('R&amp;C-Painel de Controle'!$D$60-5000)/5000))),"-"))))</f>
        <v>-</v>
      </c>
      <c r="J16" s="1517">
        <v>2.5000000000000001E-2</v>
      </c>
      <c r="K16" s="1026"/>
      <c r="L16" s="1516">
        <f>(IF('R&amp;C-Painel de Controle'!$C$59="Tecnologia Chinesa",150.352325931825*L$22*(1-M24), 150.352325931825*(1-M24)))</f>
        <v>120.28186074545999</v>
      </c>
      <c r="M16" s="1514" t="str">
        <f>(IF(AND(M7="SIM",'R&amp;C-Painel de Controle'!$C$59="Tecnologia Chinesa"),(((((100.462126109398*(1-M24)*(($D$2-L11)/(N11-L11))*$H$2)*'R&amp;C-Painel de Controle'!$D$54*(1+'R&amp;C-Painel de Controle'!$D$62))+((L16*((N11-$D$2)/(N11-L11))*$H$2)*'R&amp;C-Painel de Controle'!$D$54*(1+'R&amp;C-Painel de Controle'!$D$62)))/1000000)*(0.55+0.45*(1+('R&amp;C-Painel de Controle'!$D$60-5000)/5000))),(IF(AND(M7="SIM",'R&amp;C-Painel de Controle'!$C$59="Tecnologia Europeia"),(((((100.462126109398*(1-M24)*(($D$2-L11)/(N11-L11))*$H$2)*'R&amp;C-Painel de Controle'!$D$54*(1+'R&amp;C-Painel de Controle'!$D$62))+((L16*((N11-$D$2)/(N11-L11))*$H$2)*'R&amp;C-Painel de Controle'!$D$54*(1+'R&amp;C-Painel de Controle'!$D$62)))/1000000)*(0.55+0.45*(1+('R&amp;C-Painel de Controle'!$D$60-5000)/5000))),"-"))))</f>
        <v>-</v>
      </c>
      <c r="N16" s="1517">
        <v>2.5000000000000001E-2</v>
      </c>
      <c r="O16" s="1026"/>
      <c r="P16" s="1516">
        <f>(IF('R&amp;C-Painel de Controle'!$C$59="Tecnologia Chinesa",128.593688077638*P$22*(1-Q24), 128.593688077638*(1-Q24)))</f>
        <v>102.87495046211041</v>
      </c>
      <c r="Q16" s="1514" t="str">
        <f>(IF(AND(Q7="SIM",'R&amp;C-Painel de Controle'!$C$59="Tecnologia Chinesa"),(((((100.462126109398*(1-Q24)*(($D$2-P11)/(R11-P11))*$H$2)*'R&amp;C-Painel de Controle'!$D$54*(1+'R&amp;C-Painel de Controle'!$D$62))+((P16*((R11-$D$2)/(R11-P11))*$H$2)*'R&amp;C-Painel de Controle'!$D$54*(1+'R&amp;C-Painel de Controle'!$D$62)))/1000000)*(0.55+0.45*(1+('R&amp;C-Painel de Controle'!$D$60-5000)/5000))),(IF(AND(Q7="SIM",'R&amp;C-Painel de Controle'!$C$59="Tecnologia Europeia"),(((((100.462126109398*(1-Q24)*(($D$2-P11)/(R11-P11))*$H$2)*'R&amp;C-Painel de Controle'!$D$54*(1+'R&amp;C-Painel de Controle'!$D$62))+((P16*((R11-$D$2)/(R11-P11))*$H$2)*'R&amp;C-Painel de Controle'!$D$54*(1+'R&amp;C-Painel de Controle'!$D$62)))/1000000)*(0.55+0.45*(1+('R&amp;C-Painel de Controle'!$D$60-5000)/5000))),"-"))))</f>
        <v>-</v>
      </c>
      <c r="R16" s="1517">
        <v>2.5000000000000001E-2</v>
      </c>
      <c r="S16" s="1582"/>
      <c r="T16" s="1516">
        <f>(IF('R&amp;C-Painel de Controle'!$C$59="Tecnologia Chinesa",106.509316350013*T$22*(1-U24), 106.509316350013*(1-U24)))</f>
        <v>85.207453080010396</v>
      </c>
      <c r="U16" s="1514" t="str">
        <f>(IF(AND(U7="SIM",'R&amp;C-Painel de Controle'!$C$59="Tecnologia Chinesa"),(((((100.462126109398*(1-U24)*(($D$2-T11)/(V11-T11))*$H$2)*'R&amp;C-Painel de Controle'!$D$54*(1+'R&amp;C-Painel de Controle'!$D$62))+((T16*((V11-$D$2)/(V11-T11))*$H$2)*'R&amp;C-Painel de Controle'!$D$54*(1+'R&amp;C-Painel de Controle'!$D$62)))/1000000)*(0.55+0.45*(1+('R&amp;C-Painel de Controle'!$D$60-5000)/5000))),(IF(AND(U7="SIM",'R&amp;C-Painel de Controle'!$C$59="Tecnologia Europeia"),(((((100.462126109398*(1-U24)*(($D$2-T11)/(V11-T11))*$H$2)*'R&amp;C-Painel de Controle'!$D$54*(1+'R&amp;C-Painel de Controle'!$D$62))+((T16*((V11-$D$2)/(V11-T11))*$H$2)*'R&amp;C-Painel de Controle'!$D$54*(1+'R&amp;C-Painel de Controle'!$D$62)))/1000000)*(0.55+0.45*(1+('R&amp;C-Painel de Controle'!$D$60-5000)/5000))),"-"))))</f>
        <v>-</v>
      </c>
      <c r="V16" s="1517">
        <v>2.5000000000000001E-2</v>
      </c>
      <c r="W16" s="357">
        <v>197.3742696830154</v>
      </c>
      <c r="X16" s="357">
        <v>309.61101840584979</v>
      </c>
      <c r="Y16" s="357">
        <v>417.41699685660871</v>
      </c>
      <c r="Z16" s="357">
        <v>492.55829715531871</v>
      </c>
      <c r="AA16" s="358">
        <v>557.4997509331439</v>
      </c>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row>
    <row r="17" spans="1:61" s="195" customFormat="1" ht="20.149999999999999" customHeight="1" x14ac:dyDescent="0.35">
      <c r="A17" s="441"/>
      <c r="B17" s="1035" t="s">
        <v>857</v>
      </c>
      <c r="C17" s="997"/>
      <c r="D17" s="1518">
        <f>4*F17</f>
        <v>96000</v>
      </c>
      <c r="E17" s="1514">
        <f>(IF(E$7="SIM",('R&amp;C-Painel de Controle'!$D$56+0.25)*D17/1000000,"-"))</f>
        <v>8.6639999999999997</v>
      </c>
      <c r="F17" s="1519">
        <f>240*100</f>
        <v>24000</v>
      </c>
      <c r="G17" s="1026"/>
      <c r="H17" s="1518">
        <f>2*J17</f>
        <v>93600</v>
      </c>
      <c r="I17" s="1514" t="str">
        <f>(IF(I$7="SIM",('R&amp;C-Painel de Controle'!$D$56+0.25)*H17/1000000,"-"))</f>
        <v>-</v>
      </c>
      <c r="J17" s="1519">
        <f>360*130</f>
        <v>46800</v>
      </c>
      <c r="K17" s="1026"/>
      <c r="L17" s="1518">
        <f>2*N17</f>
        <v>108000</v>
      </c>
      <c r="M17" s="1514" t="str">
        <f>(IF(M$7="SIM",('R&amp;C-Painel de Controle'!$D$56+0.25)*L17/1000000,"-"))</f>
        <v>-</v>
      </c>
      <c r="N17" s="1519">
        <f>360*150</f>
        <v>54000</v>
      </c>
      <c r="O17" s="1026"/>
      <c r="P17" s="1518">
        <f>2*R17</f>
        <v>156000</v>
      </c>
      <c r="Q17" s="1514" t="str">
        <f>(IF(Q$7="SIM",('R&amp;C-Painel de Controle'!$D$56+0.25)*P17/1000000,"-"))</f>
        <v>-</v>
      </c>
      <c r="R17" s="1519">
        <f>N17+F17</f>
        <v>78000</v>
      </c>
      <c r="S17" s="1026"/>
      <c r="T17" s="1518">
        <f>2*V17</f>
        <v>201600</v>
      </c>
      <c r="U17" s="1514" t="str">
        <f>(IF(U$7="SIM",('R&amp;C-Painel de Controle'!$D$56+0.25)*T17/1000000,"-"))</f>
        <v>-</v>
      </c>
      <c r="V17" s="1519">
        <f>N17+J17</f>
        <v>100800</v>
      </c>
      <c r="W17" s="357">
        <v>9.6</v>
      </c>
      <c r="X17" s="357">
        <v>9.36</v>
      </c>
      <c r="Y17" s="357">
        <v>10.8</v>
      </c>
      <c r="Z17" s="357">
        <v>15.6</v>
      </c>
      <c r="AA17" s="358">
        <v>20.16</v>
      </c>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row>
    <row r="18" spans="1:61" s="195" customFormat="1" ht="20.149999999999999" customHeight="1" x14ac:dyDescent="0.35">
      <c r="A18" s="441"/>
      <c r="B18" s="1035" t="s">
        <v>495</v>
      </c>
      <c r="C18" s="997"/>
      <c r="D18" s="1583">
        <f>IF(E7="SIM",(E15+E16)*F18*1000/$H$2,"-")</f>
        <v>9.9677402574448182E-2</v>
      </c>
      <c r="E18" s="1514">
        <f>(IF(E$7="SIM",$H$2*D18/1000,""))</f>
        <v>20.500007072756524</v>
      </c>
      <c r="F18" s="1515">
        <v>2.5000000000000001E-2</v>
      </c>
      <c r="G18" s="1026"/>
      <c r="H18" s="1583" t="str">
        <f>IF(I7="SIM",(I15+I16)*J18*1000/$H$2,"-")</f>
        <v>-</v>
      </c>
      <c r="I18" s="1514" t="str">
        <f>(IF(I$7="SIM",$H$2*H18/1000,""))</f>
        <v/>
      </c>
      <c r="J18" s="1515">
        <v>2.5000000000000001E-2</v>
      </c>
      <c r="K18" s="1026"/>
      <c r="L18" s="1583" t="str">
        <f>IF(M7="SIM",(M15+M16)*N18*1000/$H$2,"-")</f>
        <v>-</v>
      </c>
      <c r="M18" s="1514" t="str">
        <f>(IF(M$7="SIM",$H$2*L18/1000,""))</f>
        <v/>
      </c>
      <c r="N18" s="1515">
        <v>2.5000000000000001E-2</v>
      </c>
      <c r="O18" s="1026"/>
      <c r="P18" s="1583" t="str">
        <f>IF(Q7="SIM",(Q15+Q16)*R18*1000/$H$2,"-")</f>
        <v>-</v>
      </c>
      <c r="Q18" s="1514" t="str">
        <f>(IF(Q$7="SIM",$H$2*P18/1000,""))</f>
        <v/>
      </c>
      <c r="R18" s="1515">
        <v>1.4999999999999999E-2</v>
      </c>
      <c r="S18" s="1026"/>
      <c r="T18" s="1583" t="str">
        <f>IF(U7="SIM",(U15+U16)*V18*1000/$H$2,"-")</f>
        <v>-</v>
      </c>
      <c r="U18" s="1514" t="str">
        <f>(IF(U$7="SIM",$H$2*T18/1000,""))</f>
        <v/>
      </c>
      <c r="V18" s="1515">
        <v>1.4999999999999999E-2</v>
      </c>
      <c r="W18" s="357">
        <v>25.589490328676547</v>
      </c>
      <c r="X18" s="357">
        <v>27.265002457600463</v>
      </c>
      <c r="Y18" s="357">
        <v>40.844343455647284</v>
      </c>
      <c r="Z18" s="357">
        <v>53.167776149549148</v>
      </c>
      <c r="AA18" s="358">
        <v>64.440412387272076</v>
      </c>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row>
    <row r="19" spans="1:61" s="1006" customFormat="1" ht="25.15" customHeight="1" collapsed="1" thickBot="1" x14ac:dyDescent="0.5">
      <c r="A19" s="1003"/>
      <c r="B19" s="1036" t="s">
        <v>428</v>
      </c>
      <c r="C19" s="1026"/>
      <c r="D19" s="1521">
        <v>0.05</v>
      </c>
      <c r="E19" s="1037">
        <f>IF(E7="SIM",SUM(E15:E18)*(1+D19),"-")</f>
        <v>891.62250448216832</v>
      </c>
      <c r="F19" s="1154">
        <f>IF(E7="SIM",(E16)/E19,"-")</f>
        <v>0.1658825416182263</v>
      </c>
      <c r="G19" s="1026"/>
      <c r="H19" s="1521">
        <v>0.05</v>
      </c>
      <c r="I19" s="1037" t="str">
        <f>IF(I7="SIM",SUM(I15:I18)*(1+H19),"-")</f>
        <v>-</v>
      </c>
      <c r="J19" s="1154" t="str">
        <f>IF(I7="SIM",(I16)/I19,"-")</f>
        <v>-</v>
      </c>
      <c r="K19" s="1026"/>
      <c r="L19" s="1521">
        <v>0.05</v>
      </c>
      <c r="M19" s="1037" t="str">
        <f>IF(M7="SIM",SUM(M15:M18)*(1+L19),"-")</f>
        <v>-</v>
      </c>
      <c r="N19" s="1154" t="str">
        <f>IF(M7="SIM",(M16)/M19,"-")</f>
        <v>-</v>
      </c>
      <c r="O19" s="1026"/>
      <c r="P19" s="1520">
        <v>0.05</v>
      </c>
      <c r="Q19" s="1037" t="str">
        <f>IF(Q7="SIM",SUM(Q15:Q18)*(1+P19),"-")</f>
        <v>-</v>
      </c>
      <c r="R19" s="1154" t="str">
        <f>IF(Q7="SIM",(Q16)/Q19,"-")</f>
        <v>-</v>
      </c>
      <c r="S19" s="1026"/>
      <c r="T19" s="1520">
        <v>0.05</v>
      </c>
      <c r="U19" s="1037" t="str">
        <f>IF(U7="SIM",SUM(U15:U18)*(1+T19),"-")</f>
        <v>-</v>
      </c>
      <c r="V19" s="1154" t="str">
        <f>IF(U7="SIM",(U16)/U19,"-")</f>
        <v>-</v>
      </c>
      <c r="W19" s="1180">
        <v>1111.7075586495253</v>
      </c>
      <c r="X19" s="1180">
        <v>1947.006424612513</v>
      </c>
      <c r="Y19" s="1180">
        <v>2913.3306025237403</v>
      </c>
      <c r="Z19" s="1180">
        <v>3793.9504954254671</v>
      </c>
      <c r="AA19" s="1181">
        <v>4599.6593001156816</v>
      </c>
      <c r="AB19" s="1005"/>
      <c r="AC19" s="1005"/>
      <c r="AD19" s="1005"/>
      <c r="AE19" s="1005"/>
      <c r="AF19" s="1005"/>
      <c r="AG19" s="1005"/>
      <c r="AH19" s="1005"/>
      <c r="AI19" s="1005"/>
      <c r="AJ19" s="1005"/>
      <c r="AK19" s="1005"/>
      <c r="AL19" s="1005"/>
      <c r="AM19" s="1005"/>
      <c r="AN19" s="1005"/>
      <c r="AO19" s="1005"/>
      <c r="AP19" s="1005"/>
      <c r="AQ19" s="1005"/>
      <c r="AR19" s="1005"/>
      <c r="AS19" s="1005"/>
      <c r="AT19" s="1005"/>
      <c r="AU19" s="1005"/>
      <c r="AV19" s="1005"/>
      <c r="AW19" s="1005"/>
      <c r="AX19" s="1005"/>
      <c r="AY19" s="1005"/>
      <c r="AZ19" s="1005"/>
      <c r="BA19" s="1005"/>
      <c r="BB19" s="1005"/>
      <c r="BC19" s="1005"/>
      <c r="BD19" s="1005"/>
      <c r="BE19" s="1005"/>
      <c r="BF19" s="1005"/>
      <c r="BG19" s="1005"/>
      <c r="BH19" s="1005"/>
      <c r="BI19" s="1005"/>
    </row>
    <row r="20" spans="1:61" s="195" customFormat="1" ht="17.149999999999999" hidden="1" customHeight="1" outlineLevel="1" thickTop="1" x14ac:dyDescent="0.35">
      <c r="A20" s="441"/>
      <c r="B20" s="883" t="s">
        <v>429</v>
      </c>
      <c r="C20" s="880"/>
      <c r="D20" s="316" t="s">
        <v>332</v>
      </c>
      <c r="E20" s="313">
        <f>IF(E7="SIM",E19*1000000/$H$2,"-")</f>
        <v>4335.345593212829</v>
      </c>
      <c r="F20" s="316">
        <f>F17/F11</f>
        <v>24</v>
      </c>
      <c r="G20" s="880"/>
      <c r="H20" s="345"/>
      <c r="I20" s="313" t="str">
        <f>IF(I7="SIM",I19*1000000/$H$2,"-")</f>
        <v>-</v>
      </c>
      <c r="J20" s="316">
        <f>J17/J11</f>
        <v>23.4</v>
      </c>
      <c r="K20" s="880"/>
      <c r="L20" s="345"/>
      <c r="M20" s="313" t="str">
        <f>IF(M7="SIM",M19*1000000/$H$2,"-")</f>
        <v>-</v>
      </c>
      <c r="N20" s="316">
        <f>N17/N11</f>
        <v>18</v>
      </c>
      <c r="O20" s="880"/>
      <c r="P20" s="345"/>
      <c r="Q20" s="313" t="str">
        <f>IF(Q7="SIM",Q19*1000000/$H$2,"-")</f>
        <v>-</v>
      </c>
      <c r="R20" s="316">
        <f>R17/R11</f>
        <v>19.5</v>
      </c>
      <c r="S20" s="880"/>
      <c r="T20" s="345"/>
      <c r="U20" s="313" t="str">
        <f>IF(U7="SIM",U19*1000000/$H$2,"-")</f>
        <v>-</v>
      </c>
      <c r="V20" s="316">
        <f>V17/V11</f>
        <v>20.16</v>
      </c>
      <c r="W20" s="357">
        <v>4737.8436382508635</v>
      </c>
      <c r="X20" s="357">
        <v>4147.9132032842199</v>
      </c>
      <c r="Y20" s="357">
        <v>3723.60963333072</v>
      </c>
      <c r="Z20" s="357">
        <v>3463.5480767053346</v>
      </c>
      <c r="AA20" s="358">
        <v>3265.8891101087656</v>
      </c>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row>
    <row r="21" spans="1:61" s="195" customFormat="1" ht="17.149999999999999" hidden="1" customHeight="1" outlineLevel="1" x14ac:dyDescent="0.35">
      <c r="A21" s="441"/>
      <c r="B21" s="883" t="s">
        <v>696</v>
      </c>
      <c r="C21" s="880"/>
      <c r="D21" s="346"/>
      <c r="E21" s="346">
        <f>(IF('R&amp;C-Painel de Controle'!$C$59="Tecnologia Chinesa",'R&amp;C-Painel de Controle'!$G$72+20%, 'R&amp;C-Painel de Controle'!$G$72))</f>
        <v>0.2</v>
      </c>
      <c r="F21" s="316"/>
      <c r="G21" s="881"/>
      <c r="H21" s="346"/>
      <c r="I21" s="346">
        <f>(IF('R&amp;C-Painel de Controle'!$C$59="Tecnologia Chinesa",'R&amp;C-Painel de Controle'!$G$72+20%, 'R&amp;C-Painel de Controle'!$G$72))</f>
        <v>0.2</v>
      </c>
      <c r="J21" s="316"/>
      <c r="K21" s="881"/>
      <c r="L21" s="346"/>
      <c r="M21" s="346">
        <f>(IF('R&amp;C-Painel de Controle'!$C$59="Tecnologia Chinesa",'R&amp;C-Painel de Controle'!$G$72+20%, 'R&amp;C-Painel de Controle'!$G$72))</f>
        <v>0.2</v>
      </c>
      <c r="N21" s="316"/>
      <c r="O21" s="881"/>
      <c r="P21" s="346"/>
      <c r="Q21" s="346">
        <f>(IF('R&amp;C-Painel de Controle'!$C$59="Tecnologia Chinesa",'R&amp;C-Painel de Controle'!$G$72+20%, 'R&amp;C-Painel de Controle'!$G$72))</f>
        <v>0.2</v>
      </c>
      <c r="R21" s="316"/>
      <c r="S21" s="881"/>
      <c r="T21" s="346"/>
      <c r="U21" s="346">
        <f>(IF('R&amp;C-Painel de Controle'!$C$59="Tecnologia Chinesa",'R&amp;C-Painel de Controle'!$G$72+20%, 'R&amp;C-Painel de Controle'!$G$72))</f>
        <v>0.2</v>
      </c>
      <c r="V21" s="345"/>
      <c r="W21" s="356"/>
      <c r="X21" s="359">
        <f t="shared" ref="X21:AA21" si="0">(X20-W20)/W20</f>
        <v>-0.12451454290383389</v>
      </c>
      <c r="Y21" s="359">
        <f t="shared" si="0"/>
        <v>-0.10229326149292282</v>
      </c>
      <c r="Z21" s="360">
        <f t="shared" si="0"/>
        <v>-6.9841251429131099E-2</v>
      </c>
      <c r="AA21" s="359">
        <f t="shared" si="0"/>
        <v>-5.7068347896181086E-2</v>
      </c>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row>
    <row r="22" spans="1:61" s="195" customFormat="1" ht="17.149999999999999" hidden="1" customHeight="1" outlineLevel="1" x14ac:dyDescent="0.35">
      <c r="A22" s="441"/>
      <c r="B22" s="883" t="s">
        <v>711</v>
      </c>
      <c r="C22" s="880"/>
      <c r="D22" s="346">
        <v>0.37</v>
      </c>
      <c r="E22" s="350">
        <f>IF(E7="SIM",$D$2*313/(8000*E23),"-")</f>
        <v>1.2853971000000004</v>
      </c>
      <c r="F22" s="345"/>
      <c r="G22" s="880"/>
      <c r="H22" s="346">
        <v>0.45</v>
      </c>
      <c r="I22" s="350" t="str">
        <f>IF(I7="SIM",$D$2*313/(8000*I23),"-")</f>
        <v>-</v>
      </c>
      <c r="J22" s="345"/>
      <c r="K22" s="880"/>
      <c r="L22" s="346">
        <v>0.51</v>
      </c>
      <c r="M22" s="350" t="str">
        <f>IF(M7="SIM",$D$2*313/(8000*M23),"-")</f>
        <v>-</v>
      </c>
      <c r="N22" s="345"/>
      <c r="O22" s="880"/>
      <c r="P22" s="346">
        <v>0.56000000000000005</v>
      </c>
      <c r="Q22" s="350" t="str">
        <f>IF(Q7="SIM",$D$2*313/(8000*Q23),"-")</f>
        <v>-</v>
      </c>
      <c r="R22" s="345"/>
      <c r="S22" s="880"/>
      <c r="T22" s="346">
        <v>0.65</v>
      </c>
      <c r="U22" s="350" t="str">
        <f>IF(U7="SIM",$D$2*313/(8000*U23),"-")</f>
        <v>-</v>
      </c>
      <c r="V22" s="345"/>
      <c r="W22" s="356"/>
      <c r="X22" s="361"/>
      <c r="Y22" s="362"/>
      <c r="Z22" s="362"/>
      <c r="AA22" s="363"/>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row>
    <row r="23" spans="1:61" s="195" customFormat="1" ht="17.149999999999999" hidden="1" customHeight="1" outlineLevel="1" x14ac:dyDescent="0.35">
      <c r="A23" s="441"/>
      <c r="B23" s="883" t="s">
        <v>451</v>
      </c>
      <c r="C23" s="880"/>
      <c r="D23" s="316">
        <v>20</v>
      </c>
      <c r="E23" s="316">
        <f>(IF('R&amp;C-Painel de Controle'!$C$59="Tecnologia Europeia",D23,F23))</f>
        <v>20</v>
      </c>
      <c r="F23" s="316">
        <v>20</v>
      </c>
      <c r="G23" s="881"/>
      <c r="H23" s="316">
        <v>20</v>
      </c>
      <c r="I23" s="316">
        <f>(IF('R&amp;C-Painel de Controle'!$C$59="Tecnologia Europeia",H23,J23))</f>
        <v>20</v>
      </c>
      <c r="J23" s="316">
        <v>20</v>
      </c>
      <c r="K23" s="881"/>
      <c r="L23" s="316">
        <v>40</v>
      </c>
      <c r="M23" s="316">
        <f>(IF('R&amp;C-Painel de Controle'!$C$59="Tecnologia Europeia",L23,N23))</f>
        <v>40</v>
      </c>
      <c r="N23" s="316">
        <v>40</v>
      </c>
      <c r="O23" s="881"/>
      <c r="P23" s="316">
        <v>40</v>
      </c>
      <c r="Q23" s="316">
        <f>(IF('R&amp;C-Painel de Controle'!$C$59="Tecnologia Europeia",P23,R23))</f>
        <v>40</v>
      </c>
      <c r="R23" s="316">
        <v>40</v>
      </c>
      <c r="S23" s="881"/>
      <c r="T23" s="316">
        <v>40</v>
      </c>
      <c r="U23" s="316">
        <f>(IF('R&amp;C-Painel de Controle'!$C$59="Tecnologia Europeia",T23,V23))</f>
        <v>40</v>
      </c>
      <c r="V23" s="316">
        <v>40</v>
      </c>
      <c r="W23" s="325">
        <v>2</v>
      </c>
      <c r="X23" s="325">
        <v>2</v>
      </c>
      <c r="Y23" s="179">
        <v>2.9</v>
      </c>
      <c r="Z23" s="179">
        <v>3.9</v>
      </c>
      <c r="AA23" s="179">
        <v>3.9</v>
      </c>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row>
    <row r="24" spans="1:61" s="195" customFormat="1" ht="17.149999999999999" hidden="1" customHeight="1" outlineLevel="1" x14ac:dyDescent="0.35">
      <c r="A24" s="441"/>
      <c r="B24" s="883" t="s">
        <v>446</v>
      </c>
      <c r="C24" s="880"/>
      <c r="D24" s="346"/>
      <c r="E24" s="346">
        <f>15%/75%</f>
        <v>0.19999999999999998</v>
      </c>
      <c r="F24" s="346"/>
      <c r="G24" s="881"/>
      <c r="H24" s="346"/>
      <c r="I24" s="346">
        <f>E24</f>
        <v>0.19999999999999998</v>
      </c>
      <c r="J24" s="346"/>
      <c r="K24" s="881"/>
      <c r="L24" s="346"/>
      <c r="M24" s="346">
        <f>I24</f>
        <v>0.19999999999999998</v>
      </c>
      <c r="N24" s="346"/>
      <c r="O24" s="881"/>
      <c r="P24" s="346"/>
      <c r="Q24" s="346">
        <f>M24</f>
        <v>0.19999999999999998</v>
      </c>
      <c r="R24" s="346"/>
      <c r="S24" s="881"/>
      <c r="T24" s="346"/>
      <c r="U24" s="346">
        <f>Q24</f>
        <v>0.19999999999999998</v>
      </c>
      <c r="V24" s="346"/>
      <c r="W24" s="364">
        <f>(W20-W38)/W20</f>
        <v>0.60985215098840428</v>
      </c>
      <c r="X24" s="364">
        <f>(X20-X38)/X20</f>
        <v>0.5425809192877038</v>
      </c>
      <c r="Y24" s="364">
        <f>(Y20-Y38)/Y20</f>
        <v>0.49094786613501212</v>
      </c>
      <c r="Z24" s="364">
        <f>(Z20-Z38)/Z20</f>
        <v>0.43100388095406283</v>
      </c>
      <c r="AA24" s="364">
        <f>(AA20-AA38)/AA20</f>
        <v>0.36597158146305414</v>
      </c>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row>
    <row r="25" spans="1:61" s="195" customFormat="1" ht="17.149999999999999" hidden="1" customHeight="1" outlineLevel="1" x14ac:dyDescent="0.35">
      <c r="A25" s="441"/>
      <c r="B25" s="883" t="s">
        <v>492</v>
      </c>
      <c r="C25" s="881"/>
      <c r="D25" s="346"/>
      <c r="E25" s="348">
        <f>IF(AND(E7="SIM",'R&amp;C-Painel de Controle'!$C$59="Tecnologia Europeia"), (E15*F15+E16*F16)/4, IF(AND(E7="SIM",'R&amp;C-Painel de Controle'!$C$59="Tecnologia Chinesa"), (E15*F15*1.25+E16*F16)/4,"-"))</f>
        <v>9.3255997413313203</v>
      </c>
      <c r="F25" s="316"/>
      <c r="G25" s="881"/>
      <c r="H25" s="316"/>
      <c r="I25" s="348" t="str">
        <f>IF(AND(I7="SIM",'R&amp;C-Painel de Controle'!$C$59="Tecnologia Europeia"), (I15*J15+I16*J16)/4, IF(AND(I7="SIM",'R&amp;C-Painel de Controle'!$C$59="Tecnologia Chinesa"), (I15*J15*1.25+I16*J16)/4,"-"))</f>
        <v>-</v>
      </c>
      <c r="J25" s="316"/>
      <c r="K25" s="881"/>
      <c r="L25" s="316"/>
      <c r="M25" s="348" t="str">
        <f>IF(AND(M7="SIM",'R&amp;C-Painel de Controle'!$C$59="Tecnologia Europeia"), (M15*N15+M16*N16)/4, IF(AND(M7="SIM",'R&amp;C-Painel de Controle'!$C$59="Tecnologia Chinesa"), (M15*N15*1.25+M16*N16)/4,"-"))</f>
        <v>-</v>
      </c>
      <c r="N25" s="316"/>
      <c r="O25" s="881"/>
      <c r="P25" s="316"/>
      <c r="Q25" s="348" t="str">
        <f>IF(AND(Q7="SIM",'R&amp;C-Painel de Controle'!$C$59="Tecnologia Europeia"), (Q15*R15+Q16*R16)/4, IF(AND(Q7="SIM",'R&amp;C-Painel de Controle'!$C$59="Tecnologia Chinesa"), (Q15*R15*1.25+Q16*R16)/4,"-"))</f>
        <v>-</v>
      </c>
      <c r="R25" s="316"/>
      <c r="S25" s="881"/>
      <c r="T25" s="316"/>
      <c r="U25" s="348" t="str">
        <f>IF(AND(U7="SIM",'R&amp;C-Painel de Controle'!$C$59="Tecnologia Europeia"), (U15*V15+U16*V16)/4, IF(AND(U7="SIM",'R&amp;C-Painel de Controle'!$C$59="Tecnologia Chinesa"), (U15*V15*1.25+U16*V16)/4,"-"))</f>
        <v>-</v>
      </c>
      <c r="V25" s="345"/>
      <c r="W25" s="322">
        <f t="shared" ref="W25:AA25" si="1">(W15-W33)/W15</f>
        <v>0.62039253661454907</v>
      </c>
      <c r="X25" s="322">
        <f t="shared" si="1"/>
        <v>0.55508853153171733</v>
      </c>
      <c r="Y25" s="322">
        <f t="shared" si="1"/>
        <v>0.50339882563573612</v>
      </c>
      <c r="Z25" s="322">
        <f t="shared" si="1"/>
        <v>0.43829800570445404</v>
      </c>
      <c r="AA25" s="322">
        <f t="shared" si="1"/>
        <v>0.39561403508771931</v>
      </c>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row>
    <row r="26" spans="1:61" s="195" customFormat="1" ht="15" customHeight="1" thickTop="1" thickBot="1" x14ac:dyDescent="0.4">
      <c r="A26" s="441"/>
      <c r="B26" s="344"/>
      <c r="C26" s="880"/>
      <c r="D26" s="345"/>
      <c r="E26" s="345"/>
      <c r="F26" s="345"/>
      <c r="G26" s="880"/>
      <c r="H26" s="345"/>
      <c r="I26" s="345"/>
      <c r="J26" s="345"/>
      <c r="K26" s="880"/>
      <c r="L26" s="345"/>
      <c r="M26" s="345"/>
      <c r="N26" s="345"/>
      <c r="O26" s="880"/>
      <c r="P26" s="345"/>
      <c r="Q26" s="345"/>
      <c r="R26" s="345"/>
      <c r="S26" s="880"/>
      <c r="T26" s="345"/>
      <c r="U26" s="345"/>
      <c r="V26" s="345"/>
      <c r="W26" s="356"/>
      <c r="X26" s="356"/>
      <c r="Y26" s="356"/>
      <c r="Z26" s="356"/>
      <c r="AA26" s="356"/>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row>
    <row r="27" spans="1:61" s="1172" customFormat="1" ht="25.15" customHeight="1" thickTop="1" thickBot="1" x14ac:dyDescent="0.5">
      <c r="A27" s="1173"/>
      <c r="B27" s="1136" t="s">
        <v>430</v>
      </c>
      <c r="C27" s="1023"/>
      <c r="D27" s="1065" t="s">
        <v>876</v>
      </c>
      <c r="E27" s="1066" t="s">
        <v>867</v>
      </c>
      <c r="F27" s="1067" t="s">
        <v>877</v>
      </c>
      <c r="G27" s="393"/>
      <c r="H27" s="1068" t="s">
        <v>876</v>
      </c>
      <c r="I27" s="1069" t="s">
        <v>867</v>
      </c>
      <c r="J27" s="1070" t="s">
        <v>877</v>
      </c>
      <c r="K27" s="393"/>
      <c r="L27" s="1068" t="s">
        <v>876</v>
      </c>
      <c r="M27" s="1069" t="s">
        <v>867</v>
      </c>
      <c r="N27" s="1070" t="s">
        <v>877</v>
      </c>
      <c r="O27" s="393"/>
      <c r="P27" s="1068" t="s">
        <v>876</v>
      </c>
      <c r="Q27" s="1069" t="s">
        <v>867</v>
      </c>
      <c r="R27" s="1070" t="s">
        <v>877</v>
      </c>
      <c r="S27" s="393"/>
      <c r="T27" s="1068" t="s">
        <v>876</v>
      </c>
      <c r="U27" s="1069" t="s">
        <v>867</v>
      </c>
      <c r="V27" s="1070" t="s">
        <v>877</v>
      </c>
      <c r="W27" s="1174">
        <f>(W20-W38)/W20</f>
        <v>0.60985215098840428</v>
      </c>
      <c r="X27" s="1174">
        <f>(X20-X38)/X20</f>
        <v>0.5425809192877038</v>
      </c>
      <c r="Y27" s="1174">
        <f>(Y20-Y38)/Y20</f>
        <v>0.49094786613501212</v>
      </c>
      <c r="Z27" s="1174">
        <f>(Z20-Z38)/Z20</f>
        <v>0.43100388095406283</v>
      </c>
      <c r="AA27" s="1174">
        <f>(AA20-AA38)/AA20</f>
        <v>0.36597158146305414</v>
      </c>
      <c r="AB27" s="1175"/>
      <c r="AC27" s="1175"/>
      <c r="AD27" s="1175"/>
      <c r="AE27" s="1175"/>
      <c r="AF27" s="1175"/>
      <c r="AG27" s="1175"/>
      <c r="AH27" s="1175"/>
      <c r="AI27" s="1175"/>
      <c r="AJ27" s="1175"/>
      <c r="AK27" s="1175"/>
      <c r="AL27" s="1175"/>
      <c r="AM27" s="1175"/>
      <c r="AN27" s="1175"/>
      <c r="AO27" s="1175"/>
      <c r="AP27" s="1175"/>
      <c r="AQ27" s="1175"/>
      <c r="AR27" s="1175"/>
      <c r="AS27" s="1175"/>
      <c r="AT27" s="1175"/>
      <c r="AU27" s="1175"/>
      <c r="AV27" s="1175"/>
      <c r="AW27" s="1175"/>
      <c r="AX27" s="1175"/>
      <c r="AY27" s="1175"/>
      <c r="AZ27" s="1175"/>
      <c r="BA27" s="1175"/>
      <c r="BB27" s="1175"/>
      <c r="BC27" s="1175"/>
      <c r="BD27" s="1175"/>
      <c r="BE27" s="1175"/>
      <c r="BF27" s="1175"/>
      <c r="BG27" s="1175"/>
      <c r="BH27" s="1175"/>
      <c r="BI27" s="1175"/>
    </row>
    <row r="28" spans="1:61" s="195" customFormat="1" ht="7.5" customHeight="1" x14ac:dyDescent="0.35">
      <c r="A28" s="441"/>
      <c r="B28" s="1135"/>
      <c r="C28" s="1025"/>
      <c r="D28" s="1094"/>
      <c r="E28" s="343"/>
      <c r="F28" s="1095"/>
      <c r="G28" s="1079"/>
      <c r="H28" s="1100"/>
      <c r="I28" s="343"/>
      <c r="J28" s="1096"/>
      <c r="K28" s="1079"/>
      <c r="L28" s="1101"/>
      <c r="M28" s="343"/>
      <c r="N28" s="1096"/>
      <c r="O28" s="1079"/>
      <c r="P28" s="1101"/>
      <c r="Q28" s="343"/>
      <c r="R28" s="1096"/>
      <c r="S28" s="1079"/>
      <c r="T28" s="1101"/>
      <c r="U28" s="343"/>
      <c r="V28" s="1102"/>
      <c r="W28" s="179"/>
      <c r="X28" s="179"/>
      <c r="Y28" s="179"/>
      <c r="Z28" s="179"/>
      <c r="AA28" s="179"/>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row>
    <row r="29" spans="1:61" s="195" customFormat="1" ht="20.149999999999999" customHeight="1" collapsed="1" x14ac:dyDescent="0.35">
      <c r="A29" s="440"/>
      <c r="B29" s="1035" t="s">
        <v>432</v>
      </c>
      <c r="C29" s="997"/>
      <c r="D29" s="1134"/>
      <c r="E29" s="1011">
        <f>(IF(E$7="SIM",(E33)*2.4*12/$H$2,"-"))</f>
        <v>35.255700176233468</v>
      </c>
      <c r="F29" s="1515"/>
      <c r="G29" s="1582"/>
      <c r="H29" s="1586"/>
      <c r="I29" s="1011" t="str">
        <f>(IF(I$7="SIM",(I33)*2.4*12/$H$2,"-"))</f>
        <v>-</v>
      </c>
      <c r="J29" s="1589"/>
      <c r="K29" s="1582"/>
      <c r="L29" s="1586"/>
      <c r="M29" s="1011" t="str">
        <f>(IF(M$7="SIM",(M33)*2.4*12/$H$2,"-"))</f>
        <v>-</v>
      </c>
      <c r="N29" s="1589"/>
      <c r="O29" s="1582"/>
      <c r="P29" s="1586"/>
      <c r="Q29" s="1011" t="str">
        <f>(IF(Q$7="SIM",(Q33)*2.4*12/$H$2,"-"))</f>
        <v>-</v>
      </c>
      <c r="R29" s="1589"/>
      <c r="S29" s="1582"/>
      <c r="T29" s="1586"/>
      <c r="U29" s="1107" t="str">
        <f>(IF(U$7="SIM",(U33)*2.4*12/$H$2,"-"))</f>
        <v>-</v>
      </c>
      <c r="V29" s="1103"/>
      <c r="W29" s="367">
        <v>80.001883694054243</v>
      </c>
      <c r="X29" s="367">
        <v>147.41790884447153</v>
      </c>
      <c r="Y29" s="367">
        <v>222.49708736652727</v>
      </c>
      <c r="Z29" s="367">
        <v>295.90084117997679</v>
      </c>
      <c r="AA29" s="368">
        <v>457.02086783191311</v>
      </c>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row>
    <row r="30" spans="1:61" s="195" customFormat="1" ht="15" hidden="1" customHeight="1" outlineLevel="1" x14ac:dyDescent="0.35">
      <c r="A30" s="441"/>
      <c r="B30" s="1089"/>
      <c r="C30" s="1040"/>
      <c r="D30" s="1134"/>
      <c r="E30" s="1011"/>
      <c r="F30" s="1515"/>
      <c r="G30" s="1582"/>
      <c r="H30" s="1586"/>
      <c r="I30" s="1011"/>
      <c r="J30" s="1589"/>
      <c r="K30" s="1582"/>
      <c r="L30" s="1586"/>
      <c r="M30" s="1011"/>
      <c r="N30" s="1589"/>
      <c r="O30" s="1582"/>
      <c r="P30" s="1586"/>
      <c r="Q30" s="1011"/>
      <c r="R30" s="1589"/>
      <c r="S30" s="1582"/>
      <c r="T30" s="1586"/>
      <c r="U30" s="1107"/>
      <c r="V30" s="1103"/>
      <c r="W30" s="179"/>
      <c r="X30" s="179"/>
      <c r="Y30" s="179"/>
      <c r="Z30" s="179"/>
      <c r="AA30" s="179"/>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row>
    <row r="31" spans="1:61" s="195" customFormat="1" ht="17.149999999999999" hidden="1" customHeight="1" outlineLevel="1" x14ac:dyDescent="0.35">
      <c r="A31" s="441"/>
      <c r="B31" s="1090" t="s">
        <v>712</v>
      </c>
      <c r="C31" s="1025"/>
      <c r="D31" s="1134">
        <v>15</v>
      </c>
      <c r="E31" s="1554">
        <f>IF('R&amp;C-Painel de Controle'!$C$59="Tecnologia Europeia", D31, IF('R&amp;C-Painel de Controle'!$C$59="Tecnologia Chinesa", F31,"-"))</f>
        <v>15</v>
      </c>
      <c r="F31" s="1515">
        <v>20</v>
      </c>
      <c r="G31" s="1552"/>
      <c r="H31" s="1586">
        <v>15</v>
      </c>
      <c r="I31" s="1554">
        <f>IF('R&amp;C-Painel de Controle'!$C$59="Tecnologia Europeia", H31, IF('R&amp;C-Painel de Controle'!$C$59="Tecnologia Chinesa", J31,"-"))</f>
        <v>15</v>
      </c>
      <c r="J31" s="1590">
        <v>20</v>
      </c>
      <c r="K31" s="1552"/>
      <c r="L31" s="1513">
        <v>20</v>
      </c>
      <c r="M31" s="1554">
        <f>IF('R&amp;C-Painel de Controle'!$C$59="Tecnologia Europeia", L31, IF('R&amp;C-Painel de Controle'!$C$59="Tecnologia Chinesa", N31,"-"))</f>
        <v>20</v>
      </c>
      <c r="N31" s="1590">
        <v>25</v>
      </c>
      <c r="O31" s="1552"/>
      <c r="P31" s="1513">
        <v>20</v>
      </c>
      <c r="Q31" s="1554">
        <f>IF('R&amp;C-Painel de Controle'!$C$59="Tecnologia Europeia", P31, IF('R&amp;C-Painel de Controle'!$C$59="Tecnologia Chinesa", R31,"-"))</f>
        <v>20</v>
      </c>
      <c r="R31" s="1590">
        <v>25</v>
      </c>
      <c r="S31" s="1552"/>
      <c r="T31" s="1513">
        <v>20</v>
      </c>
      <c r="U31" s="1554">
        <f>IF('R&amp;C-Painel de Controle'!$C$59="Tecnologia Europeia", T31, IF('R&amp;C-Painel de Controle'!$C$59="Tecnologia Chinesa", V31,"-"))</f>
        <v>20</v>
      </c>
      <c r="V31" s="1103">
        <v>25</v>
      </c>
      <c r="W31" s="365" t="s">
        <v>449</v>
      </c>
      <c r="X31" s="366"/>
      <c r="Y31" s="366"/>
      <c r="Z31" s="366"/>
      <c r="AA31" s="366"/>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row>
    <row r="32" spans="1:61" s="195" customFormat="1" ht="17.149999999999999" hidden="1" customHeight="1" outlineLevel="1" x14ac:dyDescent="0.35">
      <c r="A32" s="441"/>
      <c r="B32" s="1090" t="s">
        <v>713</v>
      </c>
      <c r="C32" s="1025"/>
      <c r="D32" s="1134"/>
      <c r="E32" s="1554">
        <f>3+3+1+2+1</f>
        <v>10</v>
      </c>
      <c r="F32" s="1515"/>
      <c r="G32" s="1552"/>
      <c r="H32" s="1586"/>
      <c r="I32" s="1554">
        <f>3+3+1+2+1</f>
        <v>10</v>
      </c>
      <c r="J32" s="1590"/>
      <c r="K32" s="1552"/>
      <c r="L32" s="1513"/>
      <c r="M32" s="1554">
        <f>5+5+2+3+2</f>
        <v>17</v>
      </c>
      <c r="N32" s="1590"/>
      <c r="O32" s="1552"/>
      <c r="P32" s="1513"/>
      <c r="Q32" s="1554">
        <f>5+5+2+3+2</f>
        <v>17</v>
      </c>
      <c r="R32" s="1590"/>
      <c r="S32" s="1552"/>
      <c r="T32" s="1513"/>
      <c r="U32" s="1554">
        <f>5+5+2+3+2</f>
        <v>17</v>
      </c>
      <c r="V32" s="1103"/>
      <c r="W32" s="366"/>
      <c r="X32" s="366"/>
      <c r="Y32" s="366"/>
      <c r="Z32" s="366"/>
      <c r="AA32" s="366"/>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row>
    <row r="33" spans="1:61" s="195" customFormat="1" ht="17.149999999999999" hidden="1" customHeight="1" outlineLevel="1" x14ac:dyDescent="0.35">
      <c r="A33" s="441"/>
      <c r="B33" s="1090" t="s">
        <v>689</v>
      </c>
      <c r="C33" s="1025"/>
      <c r="D33" s="1134"/>
      <c r="E33" s="1542">
        <f>IF(E$7="SIM",'R&amp;C-Painel de Controle'!$D$64+(E31*3/10+E32)*'R&amp;C-Painel de Controle'!$D$65+E31*E22*3*'R&amp;C-Painel de Controle'!$D$66,"-")</f>
        <v>251764.30425000004</v>
      </c>
      <c r="F33" s="1515"/>
      <c r="G33" s="1544"/>
      <c r="H33" s="1586"/>
      <c r="I33" s="1542" t="str">
        <f>IF(I$7="SIM",'R&amp;C-Painel de Controle'!$D$64+(I31*3/10+I32)*'R&amp;C-Painel de Controle'!$D$65+I31*I22*3*'R&amp;C-Painel de Controle'!$D$66,"-")</f>
        <v>-</v>
      </c>
      <c r="J33" s="1587"/>
      <c r="K33" s="1544"/>
      <c r="L33" s="1588"/>
      <c r="M33" s="1542" t="str">
        <f>IF(M$7="SIM",'R&amp;C-Painel de Controle'!$D$64+(M31*3/10+M32)*'R&amp;C-Painel de Controle'!$D$65+M31*M22*3*'R&amp;C-Painel de Controle'!$D$66,"-")</f>
        <v>-</v>
      </c>
      <c r="N33" s="1587"/>
      <c r="O33" s="1544"/>
      <c r="P33" s="1588"/>
      <c r="Q33" s="1542" t="str">
        <f>IF(Q$7="SIM",'R&amp;C-Painel de Controle'!$D$64+(Q31*3/10+Q32)*'R&amp;C-Painel de Controle'!$D$65+Q31*Q22*3*'R&amp;C-Painel de Controle'!$D$66,"-")</f>
        <v>-</v>
      </c>
      <c r="R33" s="1587"/>
      <c r="S33" s="1544"/>
      <c r="T33" s="1588"/>
      <c r="U33" s="1542" t="str">
        <f>IF(U$7="SIM",'R&amp;C-Painel de Controle'!$D$64+(U31*3/10+U32)*'R&amp;C-Painel de Controle'!$D$65+U31*U22*3*'R&amp;C-Painel de Controle'!$D$66,"-")</f>
        <v>-</v>
      </c>
      <c r="V33" s="1103"/>
      <c r="W33" s="366">
        <v>313.63371466789192</v>
      </c>
      <c r="X33" s="366">
        <v>670.95132589391676</v>
      </c>
      <c r="Y33" s="366">
        <v>1144.9334909088557</v>
      </c>
      <c r="Z33" s="366">
        <v>1714.2920818784341</v>
      </c>
      <c r="AA33" s="366">
        <v>2259.5136964290305</v>
      </c>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row>
    <row r="34" spans="1:61" s="195" customFormat="1" ht="20.149999999999999" customHeight="1" collapsed="1" x14ac:dyDescent="0.35">
      <c r="A34" s="440"/>
      <c r="B34" s="1035" t="s">
        <v>433</v>
      </c>
      <c r="C34" s="997"/>
      <c r="D34" s="1134"/>
      <c r="E34" s="1011">
        <f>(IF(E$7="SIM",(E35*$H$2/1000*'R&amp;C-Painel de Controle'!$D$69+E36/1000*'R&amp;C-Painel de Controle'!$D$70*12)/$H$2,"-"))</f>
        <v>33.894700750861176</v>
      </c>
      <c r="F34" s="1515">
        <v>0.25</v>
      </c>
      <c r="G34" s="1582"/>
      <c r="H34" s="1588"/>
      <c r="I34" s="1011" t="str">
        <f>(IF(I$7="SIM",(I35*$H$2/1000*'R&amp;C-Painel de Controle'!$D$69+I36/1000*'R&amp;C-Painel de Controle'!$D$70*12)/$H$2,"-"))</f>
        <v>-</v>
      </c>
      <c r="J34" s="1605">
        <v>0.25</v>
      </c>
      <c r="K34" s="1582"/>
      <c r="L34" s="1588"/>
      <c r="M34" s="1011" t="str">
        <f>(IF(M$7="SIM",(M35*$H$2/1000*'R&amp;C-Painel de Controle'!$D$69+M36/1000*'R&amp;C-Painel de Controle'!$D$70*12)/$H$2,"-"))</f>
        <v>-</v>
      </c>
      <c r="N34" s="1605">
        <v>0.25</v>
      </c>
      <c r="O34" s="1582"/>
      <c r="P34" s="1588"/>
      <c r="Q34" s="1011" t="str">
        <f>(IF(Q$7="SIM",(Q35*$H$2/1000*'R&amp;C-Painel de Controle'!$D$69+Q36/1000*'R&amp;C-Painel de Controle'!$D$70*12)/$H$2,"-"))</f>
        <v>-</v>
      </c>
      <c r="R34" s="1605">
        <v>0.25</v>
      </c>
      <c r="S34" s="1582"/>
      <c r="T34" s="1588"/>
      <c r="U34" s="1107" t="str">
        <f>(IF(U$7="SIM",(U35*$H$2/1000*'R&amp;C-Painel de Controle'!$D$69+U36/1000*'R&amp;C-Painel de Controle'!$D$70*12)/$H$2,"-"))</f>
        <v>-</v>
      </c>
      <c r="V34" s="1606">
        <v>0.25</v>
      </c>
      <c r="W34" s="367">
        <v>433.73031273704458</v>
      </c>
      <c r="X34" s="367">
        <v>890.59788888719049</v>
      </c>
      <c r="Y34" s="367">
        <v>1483.0371598688807</v>
      </c>
      <c r="Z34" s="367">
        <v>2158.7431077495012</v>
      </c>
      <c r="AA34" s="368">
        <v>2916.3147118611009</v>
      </c>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row>
    <row r="35" spans="1:61" s="195" customFormat="1" ht="17.149999999999999" hidden="1" customHeight="1" outlineLevel="1" x14ac:dyDescent="0.35">
      <c r="A35" s="441"/>
      <c r="B35" s="883" t="s">
        <v>714</v>
      </c>
      <c r="C35" s="880"/>
      <c r="D35" s="1607">
        <v>3.5000000000000003E-2</v>
      </c>
      <c r="E35" s="1608">
        <f>IF('R&amp;C-Painel de Controle'!$C$59="Tecnologia Europeia",D35*'R-Definição'!$E$114, IF('R&amp;C-Painel de Controle'!$C$59="Tecnologia Chinesa",F35*'R-Definição'!$E$114,"-"))</f>
        <v>79.691312554271548</v>
      </c>
      <c r="F35" s="1607">
        <f>D35*(1+F34)</f>
        <v>4.3750000000000004E-2</v>
      </c>
      <c r="G35" s="1609"/>
      <c r="H35" s="1607">
        <v>3.5000000000000003E-2</v>
      </c>
      <c r="I35" s="1608">
        <f>IF('R&amp;C-Painel de Controle'!$C$59="Tecnologia Europeia",H35*'R-Definição'!$E$114, IF('R&amp;C-Painel de Controle'!$C$59="Tecnologia Chinesa",J35*'R-Definição'!$E$114,"-"))</f>
        <v>79.691312554271548</v>
      </c>
      <c r="J35" s="1607">
        <f>H35*(1+J34)</f>
        <v>4.3750000000000004E-2</v>
      </c>
      <c r="K35" s="1609"/>
      <c r="L35" s="1607">
        <v>3.5000000000000003E-2</v>
      </c>
      <c r="M35" s="1608">
        <f>IF('R&amp;C-Painel de Controle'!$C$59="Tecnologia Europeia",L35*'R-Definição'!$E$114, IF('R&amp;C-Painel de Controle'!$C$59="Tecnologia Chinesa",N35*'R-Definição'!$E$114,"-"))</f>
        <v>79.691312554271548</v>
      </c>
      <c r="N35" s="1607">
        <f>L35*(1+N34)</f>
        <v>4.3750000000000004E-2</v>
      </c>
      <c r="O35" s="1609"/>
      <c r="P35" s="1607">
        <v>3.5000000000000003E-2</v>
      </c>
      <c r="Q35" s="1608">
        <f>IF('R&amp;C-Painel de Controle'!$C$59="Tecnologia Europeia",P35*'R-Definição'!$E$114, IF('R&amp;C-Painel de Controle'!$C$59="Tecnologia Chinesa",R35*'R-Definição'!$E$114,"-"))</f>
        <v>79.691312554271548</v>
      </c>
      <c r="R35" s="1607">
        <f>P35*(1+R34)</f>
        <v>4.3750000000000004E-2</v>
      </c>
      <c r="S35" s="1609"/>
      <c r="T35" s="1607">
        <v>3.5000000000000003E-2</v>
      </c>
      <c r="U35" s="1608">
        <f>IF('R&amp;C-Painel de Controle'!$C$59="Tecnologia Europeia",T35*'R-Definição'!$E$114, IF('R&amp;C-Painel de Controle'!$C$59="Tecnologia Chinesa",V35*'R-Definição'!$E$114,"-"))</f>
        <v>79.691312554271548</v>
      </c>
      <c r="V35" s="1607">
        <f>T35*(1+V34)</f>
        <v>4.3750000000000004E-2</v>
      </c>
      <c r="W35" s="369">
        <v>9.6</v>
      </c>
      <c r="X35" s="369">
        <v>9.36</v>
      </c>
      <c r="Y35" s="369">
        <v>10.8</v>
      </c>
      <c r="Z35" s="369">
        <v>15.6</v>
      </c>
      <c r="AA35" s="370">
        <v>20.16</v>
      </c>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row>
    <row r="36" spans="1:61" s="195" customFormat="1" ht="17.149999999999999" hidden="1" customHeight="1" outlineLevel="1" x14ac:dyDescent="0.35">
      <c r="A36" s="441"/>
      <c r="B36" s="883" t="s">
        <v>691</v>
      </c>
      <c r="C36" s="880"/>
      <c r="D36" s="1610"/>
      <c r="E36" s="1608">
        <f>E35*F11*(0.9)*0.92/24</f>
        <v>2749.3502831223682</v>
      </c>
      <c r="F36" s="1610"/>
      <c r="G36" s="1611"/>
      <c r="H36" s="1610"/>
      <c r="I36" s="1608">
        <f>I35*J11*(0.9)*0.92/24</f>
        <v>5498.7005662447364</v>
      </c>
      <c r="J36" s="1610"/>
      <c r="K36" s="1611"/>
      <c r="L36" s="1610"/>
      <c r="M36" s="1608">
        <f>M35*N11*(0.9)*0.92/24</f>
        <v>8248.0508493671059</v>
      </c>
      <c r="N36" s="1610"/>
      <c r="O36" s="1611"/>
      <c r="P36" s="1610"/>
      <c r="Q36" s="1608">
        <f>Q35*R11*(0.9)*0.92/24</f>
        <v>10997.401132489473</v>
      </c>
      <c r="R36" s="1610"/>
      <c r="S36" s="1611"/>
      <c r="T36" s="1610"/>
      <c r="U36" s="1608">
        <f>U35*V11*(0.9)*0.92/24</f>
        <v>13746.751415611841</v>
      </c>
      <c r="V36" s="1610"/>
      <c r="W36" s="369">
        <v>9.8408899590486545</v>
      </c>
      <c r="X36" s="369">
        <v>20.459230868459709</v>
      </c>
      <c r="Y36" s="369">
        <v>34.185764456884577</v>
      </c>
      <c r="Z36" s="369">
        <v>30.152893845876164</v>
      </c>
      <c r="AA36" s="370">
        <v>40.74801846391415</v>
      </c>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row>
    <row r="37" spans="1:61" s="195" customFormat="1" ht="20.149999999999999" customHeight="1" collapsed="1" x14ac:dyDescent="0.35">
      <c r="A37" s="1183"/>
      <c r="B37" s="1035" t="s">
        <v>434</v>
      </c>
      <c r="C37" s="1183"/>
      <c r="D37" s="1196"/>
      <c r="E37" s="1612">
        <f>(IF(E$7="SIM",(E15*1000000*E38+E39*12)/$H$2,"-"))</f>
        <v>118.75390808021631</v>
      </c>
      <c r="F37" s="1613">
        <v>0.3</v>
      </c>
      <c r="G37" s="1614"/>
      <c r="H37" s="1615"/>
      <c r="I37" s="1612" t="str">
        <f>(IF(I$7="SIM",(I15*1000000*I38+I39*12)/$H$2,"-"))</f>
        <v>-</v>
      </c>
      <c r="J37" s="1613">
        <v>0.3</v>
      </c>
      <c r="K37" s="1614"/>
      <c r="L37" s="1615"/>
      <c r="M37" s="1612" t="str">
        <f>(IF(M$7="SIM",(M15*1000000*M38+M39*12)/$H$2,"-"))</f>
        <v>-</v>
      </c>
      <c r="N37" s="1613">
        <v>0.3</v>
      </c>
      <c r="O37" s="1614"/>
      <c r="P37" s="1615"/>
      <c r="Q37" s="1612" t="str">
        <f>(IF(Q$7="SIM",(Q15*1000000*Q38+Q39*12)/$H$2,"-"))</f>
        <v>-</v>
      </c>
      <c r="R37" s="1613">
        <v>0.3</v>
      </c>
      <c r="S37" s="1614"/>
      <c r="T37" s="1615"/>
      <c r="U37" s="1612" t="str">
        <f>(IF(U$7="SIM",(U15*1000000*U38+U39*12)/$H$2,"-"))</f>
        <v>-</v>
      </c>
      <c r="V37" s="1613">
        <v>0.3</v>
      </c>
      <c r="W37" s="1186"/>
      <c r="X37" s="373"/>
      <c r="Y37" s="374"/>
      <c r="Z37" s="373"/>
      <c r="AA37" s="375"/>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c r="BG37" s="162"/>
      <c r="BH37" s="162"/>
      <c r="BI37" s="162"/>
    </row>
    <row r="38" spans="1:61" s="195" customFormat="1" ht="17.149999999999999" hidden="1" customHeight="1" outlineLevel="1" x14ac:dyDescent="0.35">
      <c r="A38" s="680"/>
      <c r="B38" s="1190" t="s">
        <v>707</v>
      </c>
      <c r="C38" s="680"/>
      <c r="D38" s="1616">
        <v>3.5000000000000003E-2</v>
      </c>
      <c r="E38" s="1607">
        <f>IF('R&amp;C-Painel de Controle'!$C$59="Tecnologia Europeia", D38, IF('R&amp;C-Painel de Controle'!$C$59="Tecnologia Chinesa", F38,"-"))</f>
        <v>3.5000000000000003E-2</v>
      </c>
      <c r="F38" s="1617">
        <f>D38*(2+F37)</f>
        <v>8.0500000000000002E-2</v>
      </c>
      <c r="G38" s="1618"/>
      <c r="H38" s="1616">
        <v>3.5000000000000003E-2</v>
      </c>
      <c r="I38" s="1607">
        <f>IF('R&amp;C-Painel de Controle'!$C$59="Tecnologia Europeia", H38, IF('R&amp;C-Painel de Controle'!$C$59="Tecnologia Chinesa", J38,"-"))</f>
        <v>3.5000000000000003E-2</v>
      </c>
      <c r="J38" s="1617">
        <f>H38*(2+J37)</f>
        <v>8.0500000000000002E-2</v>
      </c>
      <c r="K38" s="1618"/>
      <c r="L38" s="1616">
        <v>3.5000000000000003E-2</v>
      </c>
      <c r="M38" s="1607">
        <f>IF('R&amp;C-Painel de Controle'!$C$59="Tecnologia Europeia", L38, IF('R&amp;C-Painel de Controle'!$C$59="Tecnologia Chinesa", N38,"-"))</f>
        <v>3.5000000000000003E-2</v>
      </c>
      <c r="N38" s="1617">
        <f>L38*(2+N37)</f>
        <v>8.0500000000000002E-2</v>
      </c>
      <c r="O38" s="1618"/>
      <c r="P38" s="1616">
        <v>3.5000000000000003E-2</v>
      </c>
      <c r="Q38" s="1607">
        <f>IF('R&amp;C-Painel de Controle'!$C$59="Tecnologia Europeia", P38, IF('R&amp;C-Painel de Controle'!$C$59="Tecnologia Chinesa", R38,"-"))</f>
        <v>3.5000000000000003E-2</v>
      </c>
      <c r="R38" s="1617">
        <f>P38*(2+R37)</f>
        <v>8.0500000000000002E-2</v>
      </c>
      <c r="S38" s="1618"/>
      <c r="T38" s="1616">
        <v>3.5000000000000003E-2</v>
      </c>
      <c r="U38" s="1607">
        <f>IF('R&amp;C-Painel de Controle'!$C$59="Tecnologia Europeia", T38, IF('R&amp;C-Painel de Controle'!$C$59="Tecnologia Chinesa", V38,"-"))</f>
        <v>3.5000000000000003E-2</v>
      </c>
      <c r="V38" s="1617">
        <f>T38*(2+V37)</f>
        <v>8.0500000000000002E-2</v>
      </c>
      <c r="W38" s="1167">
        <v>1848.459504416847</v>
      </c>
      <c r="X38" s="369">
        <v>1897.334644320664</v>
      </c>
      <c r="Y38" s="369">
        <v>1895.5114295272281</v>
      </c>
      <c r="Z38" s="369">
        <v>1970.7454137743553</v>
      </c>
      <c r="AA38" s="370">
        <v>2070.6665075992942</v>
      </c>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row>
    <row r="39" spans="1:61" s="195" customFormat="1" ht="17.149999999999999" hidden="1" customHeight="1" outlineLevel="1" x14ac:dyDescent="0.35">
      <c r="A39" s="1183"/>
      <c r="B39" s="1190" t="s">
        <v>498</v>
      </c>
      <c r="C39" s="1183"/>
      <c r="D39" s="1619">
        <v>75000</v>
      </c>
      <c r="E39" s="1608">
        <f>IF('R&amp;C-Painel de Controle'!$C$59="Tecnologia Europeia", D39, IF('R&amp;C-Painel de Controle'!$C$59="Tecnologia Chinesa", F39,"-"))</f>
        <v>75000</v>
      </c>
      <c r="F39" s="1620">
        <f>D39*(1+F37)</f>
        <v>97500</v>
      </c>
      <c r="G39" s="999"/>
      <c r="H39" s="1619">
        <v>100000</v>
      </c>
      <c r="I39" s="1608">
        <f>IF('R&amp;C-Painel de Controle'!$C$59="Tecnologia Europeia", H39, IF('R&amp;C-Painel de Controle'!$C$59="Tecnologia Chinesa", J39,"-"))</f>
        <v>100000</v>
      </c>
      <c r="J39" s="1620">
        <f>H39*(1+J37)</f>
        <v>130000</v>
      </c>
      <c r="K39" s="999"/>
      <c r="L39" s="1619">
        <v>100000</v>
      </c>
      <c r="M39" s="1608">
        <f>IF('R&amp;C-Painel de Controle'!$C$59="Tecnologia Europeia", L39, IF('R&amp;C-Painel de Controle'!$C$59="Tecnologia Chinesa", N39,"-"))</f>
        <v>100000</v>
      </c>
      <c r="N39" s="1620">
        <f>L39*(1+N37)</f>
        <v>130000</v>
      </c>
      <c r="O39" s="999"/>
      <c r="P39" s="1619">
        <v>125000</v>
      </c>
      <c r="Q39" s="1608">
        <f>IF('R&amp;C-Painel de Controle'!$C$59="Tecnologia Europeia", P39, IF('R&amp;C-Painel de Controle'!$C$59="Tecnologia Chinesa", R39,"-"))</f>
        <v>125000</v>
      </c>
      <c r="R39" s="1620">
        <f>P39*(1+R37)</f>
        <v>162500</v>
      </c>
      <c r="S39" s="999"/>
      <c r="T39" s="1619">
        <v>125000</v>
      </c>
      <c r="U39" s="1608">
        <f>IF('R&amp;C-Painel de Controle'!$C$59="Tecnologia Europeia", T39, IF('R&amp;C-Painel de Controle'!$C$59="Tecnologia Chinesa", V39,"-"))</f>
        <v>125000</v>
      </c>
      <c r="V39" s="1620">
        <f>T39*(1+V37)</f>
        <v>162500</v>
      </c>
      <c r="W39" s="1166"/>
      <c r="X39" s="371">
        <f t="shared" ref="X39:AA39" si="2">(X38-W38)/W38</f>
        <v>2.6441011981615522E-2</v>
      </c>
      <c r="Y39" s="372">
        <f t="shared" si="2"/>
        <v>-9.6093475070061071E-4</v>
      </c>
      <c r="Z39" s="371">
        <f t="shared" si="2"/>
        <v>3.969059910437564E-2</v>
      </c>
      <c r="AA39" s="371">
        <f t="shared" si="2"/>
        <v>5.0702182598801972E-2</v>
      </c>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row>
    <row r="40" spans="1:61" s="195" customFormat="1" ht="20.149999999999999" customHeight="1" collapsed="1" x14ac:dyDescent="0.35">
      <c r="A40" s="1183"/>
      <c r="B40" s="1035" t="s">
        <v>436</v>
      </c>
      <c r="C40" s="1183"/>
      <c r="D40" s="1196"/>
      <c r="E40" s="1612">
        <f>(IF(E$7="SIM",(E43+E41*E42*D41)*12/$H$2,"-"))</f>
        <v>26.256477472992579</v>
      </c>
      <c r="F40" s="1621"/>
      <c r="G40" s="1614"/>
      <c r="H40" s="1615"/>
      <c r="I40" s="1612" t="str">
        <f>(IF(I$7="SIM",(I43+I41*I42*H41)*12/$H$2,"-"))</f>
        <v>-</v>
      </c>
      <c r="J40" s="1622"/>
      <c r="K40" s="1614"/>
      <c r="L40" s="1615"/>
      <c r="M40" s="1612" t="str">
        <f>(IF(M$7="SIM",(M43+M41*M42*L41)*12/$H$2,"-"))</f>
        <v>-</v>
      </c>
      <c r="N40" s="1622"/>
      <c r="O40" s="1614"/>
      <c r="P40" s="1615"/>
      <c r="Q40" s="1612" t="str">
        <f>(IF(Q$7="SIM",(Q43+Q41*Q42*P41)*12/$H$2,"-"))</f>
        <v>-</v>
      </c>
      <c r="R40" s="1622"/>
      <c r="S40" s="1614"/>
      <c r="T40" s="1615"/>
      <c r="U40" s="1612" t="str">
        <f>(IF(U$7="SIM",(U43+U41*U42*T41)*12/$H$2,"-"))</f>
        <v>-</v>
      </c>
      <c r="V40" s="1197"/>
      <c r="W40" s="1187"/>
      <c r="X40" s="318"/>
      <c r="Y40" s="318"/>
      <c r="Z40" s="318"/>
      <c r="AA40" s="318"/>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62"/>
      <c r="BD40" s="162"/>
      <c r="BE40" s="162"/>
      <c r="BF40" s="162"/>
      <c r="BG40" s="162"/>
      <c r="BH40" s="162"/>
      <c r="BI40" s="162"/>
    </row>
    <row r="41" spans="1:61" s="195" customFormat="1" ht="17.149999999999999" hidden="1" customHeight="1" outlineLevel="1" x14ac:dyDescent="0.35">
      <c r="A41" s="1183"/>
      <c r="B41" s="1190" t="s">
        <v>693</v>
      </c>
      <c r="C41" s="1183"/>
      <c r="D41" s="1623">
        <v>0.5</v>
      </c>
      <c r="E41" s="1608">
        <f>'R&amp;C-Painel de Controle'!$D$71</f>
        <v>100000</v>
      </c>
      <c r="F41" s="1197"/>
      <c r="G41" s="1137"/>
      <c r="H41" s="1623">
        <v>0.5</v>
      </c>
      <c r="I41" s="1608">
        <f>'R&amp;C-Painel de Controle'!$D$71</f>
        <v>100000</v>
      </c>
      <c r="J41" s="1197"/>
      <c r="K41" s="1137"/>
      <c r="L41" s="1623">
        <v>0.5</v>
      </c>
      <c r="M41" s="1608">
        <f>'R&amp;C-Painel de Controle'!$D$71</f>
        <v>100000</v>
      </c>
      <c r="N41" s="1197"/>
      <c r="O41" s="1137"/>
      <c r="P41" s="1623">
        <v>0.5</v>
      </c>
      <c r="Q41" s="1608">
        <f>'R&amp;C-Painel de Controle'!$D$71</f>
        <v>100000</v>
      </c>
      <c r="R41" s="1197"/>
      <c r="S41" s="1137"/>
      <c r="T41" s="1623">
        <v>0.5</v>
      </c>
      <c r="U41" s="1608">
        <f>'R&amp;C-Painel de Controle'!$D$71</f>
        <v>100000</v>
      </c>
      <c r="V41" s="1197"/>
      <c r="W41" s="1187"/>
      <c r="X41" s="318"/>
      <c r="Y41" s="318"/>
      <c r="Z41" s="318"/>
      <c r="AA41" s="318"/>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row>
    <row r="42" spans="1:61" s="195" customFormat="1" ht="17.149999999999999" hidden="1" customHeight="1" outlineLevel="1" x14ac:dyDescent="0.35">
      <c r="A42" s="680"/>
      <c r="B42" s="1190" t="s">
        <v>694</v>
      </c>
      <c r="C42" s="680"/>
      <c r="D42" s="1196"/>
      <c r="E42" s="1624">
        <v>5</v>
      </c>
      <c r="F42" s="1197"/>
      <c r="G42" s="999"/>
      <c r="H42" s="1196"/>
      <c r="I42" s="1624">
        <v>5</v>
      </c>
      <c r="J42" s="1197"/>
      <c r="K42" s="999"/>
      <c r="L42" s="1196"/>
      <c r="M42" s="1624">
        <v>6</v>
      </c>
      <c r="N42" s="1197"/>
      <c r="O42" s="999"/>
      <c r="P42" s="1196"/>
      <c r="Q42" s="1624">
        <v>6</v>
      </c>
      <c r="R42" s="1197"/>
      <c r="S42" s="999"/>
      <c r="T42" s="1196"/>
      <c r="U42" s="1624">
        <v>6</v>
      </c>
      <c r="V42" s="1197"/>
      <c r="W42" s="171"/>
      <c r="X42" s="179"/>
      <c r="Y42" s="179"/>
      <c r="Z42" s="179"/>
      <c r="AA42" s="179"/>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row>
    <row r="43" spans="1:61" s="195" customFormat="1" ht="17.149999999999999" hidden="1" customHeight="1" outlineLevel="1" x14ac:dyDescent="0.35">
      <c r="A43" s="680"/>
      <c r="B43" s="1190" t="s">
        <v>715</v>
      </c>
      <c r="C43" s="680"/>
      <c r="D43" s="1619">
        <v>200000</v>
      </c>
      <c r="E43" s="1608">
        <f>IF('R&amp;C-Painel de Controle'!$C$59="Tecnologia Europeia", D43, IF('R&amp;C-Painel de Controle'!$C$59="Tecnologia Chinesa", F43,"-"))</f>
        <v>200000</v>
      </c>
      <c r="F43" s="1620">
        <v>400000</v>
      </c>
      <c r="G43" s="1074"/>
      <c r="H43" s="1619">
        <v>200000</v>
      </c>
      <c r="I43" s="1608">
        <f>IF('R&amp;C-Painel de Controle'!$C$59="Tecnologia Europeia", H43, IF('R&amp;C-Painel de Controle'!$C$59="Tecnologia Chinesa", J43,"-"))</f>
        <v>200000</v>
      </c>
      <c r="J43" s="1620">
        <v>400000</v>
      </c>
      <c r="K43" s="1074"/>
      <c r="L43" s="1619">
        <v>300000</v>
      </c>
      <c r="M43" s="1608">
        <f>IF('R&amp;C-Painel de Controle'!$C$59="Tecnologia Europeia", L43, IF('R&amp;C-Painel de Controle'!$C$59="Tecnologia Chinesa", N43,"-"))</f>
        <v>300000</v>
      </c>
      <c r="N43" s="1620">
        <v>600000</v>
      </c>
      <c r="O43" s="1074"/>
      <c r="P43" s="1619">
        <v>300000</v>
      </c>
      <c r="Q43" s="1608">
        <f>IF('R&amp;C-Painel de Controle'!$C$59="Tecnologia Europeia", P43, IF('R&amp;C-Painel de Controle'!$C$59="Tecnologia Chinesa", R43,"-"))</f>
        <v>300000</v>
      </c>
      <c r="R43" s="1620">
        <v>600000</v>
      </c>
      <c r="S43" s="1074"/>
      <c r="T43" s="1619">
        <v>300000</v>
      </c>
      <c r="U43" s="1608">
        <f>IF('R&amp;C-Painel de Controle'!$C$59="Tecnologia Europeia", T43, IF('R&amp;C-Painel de Controle'!$C$59="Tecnologia Chinesa", V43,"-"))</f>
        <v>300000</v>
      </c>
      <c r="V43" s="1620">
        <v>600000</v>
      </c>
      <c r="W43" s="171"/>
      <c r="X43" s="179"/>
      <c r="Y43" s="179"/>
      <c r="Z43" s="179"/>
      <c r="AA43" s="179"/>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c r="BI43" s="161"/>
    </row>
    <row r="44" spans="1:61" s="195" customFormat="1" ht="20.149999999999999" customHeight="1" collapsed="1" x14ac:dyDescent="0.35">
      <c r="A44" s="1183"/>
      <c r="B44" s="1035" t="s">
        <v>441</v>
      </c>
      <c r="C44" s="1183"/>
      <c r="D44" s="1196"/>
      <c r="E44" s="1612">
        <f>(IF(E$7="SIM",($H$2*E45*'R&amp;C-Painel de Controle'!$D76+$H$2*E46*'R&amp;C-Painel de Controle'!$D$77+$H$2*E47*'R&amp;C-Painel de Controle'!$D$78+$H$2*E48*'R&amp;C-Painel de Controle'!$D$79+'R-Resumo Bal. Massa'!$G$39*313*E49*'R&amp;C-Painel de Controle'!$D$90)/$H$2+2.5,"-"))</f>
        <v>86.316666666666677</v>
      </c>
      <c r="F44" s="1613">
        <v>0.4</v>
      </c>
      <c r="G44" s="1614"/>
      <c r="H44" s="1615"/>
      <c r="I44" s="1612" t="str">
        <f>(IF(I$7="SIM",($H$2*I45*'R&amp;C-Painel de Controle'!$D76+$H$2*I46*'R&amp;C-Painel de Controle'!$D$77+$H$2*I47*'R&amp;C-Painel de Controle'!$D$78+$H$2*I48*'R&amp;C-Painel de Controle'!$D$79+'R-Resumo Bal. Massa'!$G$39*313*I49*'R&amp;C-Painel de Controle'!$D$90)/$H$2+2.5,"-"))</f>
        <v>-</v>
      </c>
      <c r="J44" s="1613">
        <v>0.4</v>
      </c>
      <c r="K44" s="1614"/>
      <c r="L44" s="1615"/>
      <c r="M44" s="1612" t="str">
        <f>(IF(M$7="SIM",($H$2*M45*'R&amp;C-Painel de Controle'!$D76+$H$2*M46*'R&amp;C-Painel de Controle'!$D$77+$H$2*M47*'R&amp;C-Painel de Controle'!$D$78+$H$2*M48*'R&amp;C-Painel de Controle'!$D$79+'R-Resumo Bal. Massa'!$G$39*313*M49*'R&amp;C-Painel de Controle'!$D$90)/$H$2+2.5,"-"))</f>
        <v>-</v>
      </c>
      <c r="N44" s="1613">
        <v>0.4</v>
      </c>
      <c r="O44" s="1614"/>
      <c r="P44" s="1615"/>
      <c r="Q44" s="1612" t="str">
        <f>(IF(Q$7="SIM",($H$2*Q45*'R&amp;C-Painel de Controle'!$D76+$H$2*Q46*'R&amp;C-Painel de Controle'!$D$77+$H$2*Q47*'R&amp;C-Painel de Controle'!$D$78+$H$2*Q48*'R&amp;C-Painel de Controle'!$D$79+'R-Resumo Bal. Massa'!$G$39*313*Q49*'R&amp;C-Painel de Controle'!$D$90)/$H$2+2.5,"-"))</f>
        <v>-</v>
      </c>
      <c r="R44" s="1613">
        <v>0.4</v>
      </c>
      <c r="S44" s="1614"/>
      <c r="T44" s="1615"/>
      <c r="U44" s="1612" t="str">
        <f>(IF(U$7="SIM",($H$2*U45*'R&amp;C-Painel de Controle'!$D76+$H$2*U46*'R&amp;C-Painel de Controle'!$D$77+$H$2*U47*'R&amp;C-Painel de Controle'!$D$78+$H$2*U48*'R&amp;C-Painel de Controle'!$D$79+'R-Resumo Bal. Massa'!$G$39*313*U49*'R&amp;C-Painel de Controle'!$D$90)/$H$2+2.5,"-"))</f>
        <v>-</v>
      </c>
      <c r="V44" s="1613">
        <v>0.4</v>
      </c>
      <c r="W44" s="1187"/>
      <c r="X44" s="318"/>
      <c r="Y44" s="318"/>
      <c r="Z44" s="318"/>
      <c r="AA44" s="318"/>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row>
    <row r="45" spans="1:61" s="195" customFormat="1" ht="17.149999999999999" hidden="1" customHeight="1" outlineLevel="1" x14ac:dyDescent="0.35">
      <c r="A45" s="680"/>
      <c r="B45" s="1191" t="s">
        <v>1009</v>
      </c>
      <c r="C45" s="680"/>
      <c r="D45" s="1625">
        <v>0.2</v>
      </c>
      <c r="E45" s="1626">
        <f>IF('R&amp;C-Painel de Controle'!$C$59="Tecnologia Europeia", D45, IF('R&amp;C-Painel de Controle'!$C$59="Tecnologia Chinesa", F45,"-"))</f>
        <v>0.2</v>
      </c>
      <c r="F45" s="1622">
        <f>D45*(1+F$44)</f>
        <v>0.27999999999999997</v>
      </c>
      <c r="G45" s="1618"/>
      <c r="H45" s="1625">
        <f>D45</f>
        <v>0.2</v>
      </c>
      <c r="I45" s="1627">
        <f>IF('R&amp;C-Painel de Controle'!$C$59="Tecnologia Europeia", H45, IF('R&amp;C-Painel de Controle'!$C$59="Tecnologia Chinesa", J45,"-"))</f>
        <v>0.2</v>
      </c>
      <c r="J45" s="1622">
        <f>H45*(1+J$44)</f>
        <v>0.27999999999999997</v>
      </c>
      <c r="K45" s="1618"/>
      <c r="L45" s="1625">
        <f>H45</f>
        <v>0.2</v>
      </c>
      <c r="M45" s="1627">
        <f>IF('R&amp;C-Painel de Controle'!$C$59="Tecnologia Europeia", L45, IF('R&amp;C-Painel de Controle'!$C$59="Tecnologia Chinesa", N45,"-"))</f>
        <v>0.2</v>
      </c>
      <c r="N45" s="1622">
        <f>L45*(1+N$44)</f>
        <v>0.27999999999999997</v>
      </c>
      <c r="O45" s="1618"/>
      <c r="P45" s="1625">
        <f>L45</f>
        <v>0.2</v>
      </c>
      <c r="Q45" s="1627">
        <f>IF('R&amp;C-Painel de Controle'!$C$59="Tecnologia Europeia", P45, IF('R&amp;C-Painel de Controle'!$C$59="Tecnologia Chinesa", R45,"-"))</f>
        <v>0.2</v>
      </c>
      <c r="R45" s="1622">
        <f>P45*(1+R$44)</f>
        <v>0.27999999999999997</v>
      </c>
      <c r="S45" s="1618"/>
      <c r="T45" s="1625">
        <f>P45</f>
        <v>0.2</v>
      </c>
      <c r="U45" s="1627">
        <f>IF('R&amp;C-Painel de Controle'!$C$59="Tecnologia Europeia", T45, IF('R&amp;C-Painel de Controle'!$C$59="Tecnologia Chinesa", V45,"-"))</f>
        <v>0.2</v>
      </c>
      <c r="V45" s="1622">
        <f>T45*(1+V$44)</f>
        <v>0.27999999999999997</v>
      </c>
      <c r="W45" s="171"/>
      <c r="X45" s="179"/>
      <c r="Y45" s="179"/>
      <c r="Z45" s="179"/>
      <c r="AA45" s="179"/>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row>
    <row r="46" spans="1:61" s="195" customFormat="1" ht="17.149999999999999" hidden="1" customHeight="1" outlineLevel="1" x14ac:dyDescent="0.35">
      <c r="A46" s="680"/>
      <c r="B46" s="1191" t="s">
        <v>1010</v>
      </c>
      <c r="C46" s="680"/>
      <c r="D46" s="1625">
        <v>12</v>
      </c>
      <c r="E46" s="1626">
        <f>IF('R&amp;C-Painel de Controle'!$C$59="Tecnologia Europeia", D46, IF('R&amp;C-Painel de Controle'!$C$59="Tecnologia Chinesa", F46,"-"))</f>
        <v>12</v>
      </c>
      <c r="F46" s="1622">
        <f>D46*(1+F$44)</f>
        <v>16.799999999999997</v>
      </c>
      <c r="G46" s="1618"/>
      <c r="H46" s="1625">
        <f t="shared" ref="H46:H49" si="3">D46</f>
        <v>12</v>
      </c>
      <c r="I46" s="1627">
        <f>IF('R&amp;C-Painel de Controle'!$C$59="Tecnologia Europeia", H46, IF('R&amp;C-Painel de Controle'!$C$59="Tecnologia Chinesa", J46,"-"))</f>
        <v>12</v>
      </c>
      <c r="J46" s="1622">
        <f>H46*(1+J$44)</f>
        <v>16.799999999999997</v>
      </c>
      <c r="K46" s="1618"/>
      <c r="L46" s="1625">
        <f t="shared" ref="L46:L49" si="4">H46</f>
        <v>12</v>
      </c>
      <c r="M46" s="1627">
        <f>IF('R&amp;C-Painel de Controle'!$C$59="Tecnologia Europeia", L46, IF('R&amp;C-Painel de Controle'!$C$59="Tecnologia Chinesa", N46,"-"))</f>
        <v>12</v>
      </c>
      <c r="N46" s="1622">
        <f>L46*(1+N$44)</f>
        <v>16.799999999999997</v>
      </c>
      <c r="O46" s="1618"/>
      <c r="P46" s="1625">
        <f t="shared" ref="P46:P49" si="5">L46</f>
        <v>12</v>
      </c>
      <c r="Q46" s="1627">
        <f>IF('R&amp;C-Painel de Controle'!$C$59="Tecnologia Europeia", P46, IF('R&amp;C-Painel de Controle'!$C$59="Tecnologia Chinesa", R46,"-"))</f>
        <v>12</v>
      </c>
      <c r="R46" s="1622">
        <f>P46*(1+R$44)</f>
        <v>16.799999999999997</v>
      </c>
      <c r="S46" s="1618"/>
      <c r="T46" s="1625">
        <f t="shared" ref="T46:T49" si="6">P46</f>
        <v>12</v>
      </c>
      <c r="U46" s="1627">
        <f>IF('R&amp;C-Painel de Controle'!$C$59="Tecnologia Europeia", T46, IF('R&amp;C-Painel de Controle'!$C$59="Tecnologia Chinesa", V46,"-"))</f>
        <v>12</v>
      </c>
      <c r="V46" s="1622">
        <f>T46*(1+V$44)</f>
        <v>16.799999999999997</v>
      </c>
      <c r="W46" s="171"/>
      <c r="X46" s="179"/>
      <c r="Y46" s="179"/>
      <c r="Z46" s="179"/>
      <c r="AA46" s="179"/>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row>
    <row r="47" spans="1:61" s="195" customFormat="1" ht="17.149999999999999" hidden="1" customHeight="1" outlineLevel="1" x14ac:dyDescent="0.35">
      <c r="A47" s="680"/>
      <c r="B47" s="1191" t="s">
        <v>1011</v>
      </c>
      <c r="C47" s="680"/>
      <c r="D47" s="1628">
        <v>0.35</v>
      </c>
      <c r="E47" s="1629">
        <f>IF('R&amp;C-Painel de Controle'!$C$59="Tecnologia Europeia", D47, IF('R&amp;C-Painel de Controle'!$C$59="Tecnologia Chinesa", F47,"-"))</f>
        <v>0.35</v>
      </c>
      <c r="F47" s="1630">
        <f>D47*(1+F$44)</f>
        <v>0.48999999999999994</v>
      </c>
      <c r="G47" s="1618"/>
      <c r="H47" s="1625">
        <f t="shared" si="3"/>
        <v>0.35</v>
      </c>
      <c r="I47" s="1627">
        <f>IF('R&amp;C-Painel de Controle'!$C$59="Tecnologia Europeia", H47, IF('R&amp;C-Painel de Controle'!$C$59="Tecnologia Chinesa", J47,"-"))</f>
        <v>0.35</v>
      </c>
      <c r="J47" s="1622">
        <f>H47*(1+J$44)</f>
        <v>0.48999999999999994</v>
      </c>
      <c r="K47" s="1618"/>
      <c r="L47" s="1625">
        <f t="shared" si="4"/>
        <v>0.35</v>
      </c>
      <c r="M47" s="1627">
        <f>IF('R&amp;C-Painel de Controle'!$C$59="Tecnologia Europeia", L47, IF('R&amp;C-Painel de Controle'!$C$59="Tecnologia Chinesa", N47,"-"))</f>
        <v>0.35</v>
      </c>
      <c r="N47" s="1622">
        <f>L47*(1+N$44)</f>
        <v>0.48999999999999994</v>
      </c>
      <c r="O47" s="1618"/>
      <c r="P47" s="1625">
        <f t="shared" si="5"/>
        <v>0.35</v>
      </c>
      <c r="Q47" s="1627">
        <f>IF('R&amp;C-Painel de Controle'!$C$59="Tecnologia Europeia", P47, IF('R&amp;C-Painel de Controle'!$C$59="Tecnologia Chinesa", R47,"-"))</f>
        <v>0.35</v>
      </c>
      <c r="R47" s="1622">
        <f>P47*(1+R$44)</f>
        <v>0.48999999999999994</v>
      </c>
      <c r="S47" s="1618"/>
      <c r="T47" s="1625">
        <f t="shared" si="6"/>
        <v>0.35</v>
      </c>
      <c r="U47" s="1627">
        <f>IF('R&amp;C-Painel de Controle'!$C$59="Tecnologia Europeia", T47, IF('R&amp;C-Painel de Controle'!$C$59="Tecnologia Chinesa", V47,"-"))</f>
        <v>0.35</v>
      </c>
      <c r="V47" s="1622">
        <f>T47*(1+V$44)</f>
        <v>0.48999999999999994</v>
      </c>
      <c r="W47" s="171"/>
      <c r="X47" s="179"/>
      <c r="Y47" s="179"/>
      <c r="Z47" s="179"/>
      <c r="AA47" s="179"/>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row>
    <row r="48" spans="1:61" s="195" customFormat="1" ht="17.149999999999999" hidden="1" customHeight="1" outlineLevel="1" x14ac:dyDescent="0.35">
      <c r="A48" s="680"/>
      <c r="B48" s="1191" t="s">
        <v>1008</v>
      </c>
      <c r="C48" s="680"/>
      <c r="D48" s="1625">
        <v>0.2</v>
      </c>
      <c r="E48" s="1626">
        <f>IF('R&amp;C-Painel de Controle'!$C$59="Tecnologia Europeia", D48, IF('R&amp;C-Painel de Controle'!$C$59="Tecnologia Chinesa", F48,"-"))</f>
        <v>0.2</v>
      </c>
      <c r="F48" s="1622">
        <f>D48*(1+F$44+0.075)</f>
        <v>0.29499999999999998</v>
      </c>
      <c r="G48" s="1618"/>
      <c r="H48" s="1625">
        <f t="shared" si="3"/>
        <v>0.2</v>
      </c>
      <c r="I48" s="1627">
        <f>IF('R&amp;C-Painel de Controle'!$C$59="Tecnologia Europeia", H48, IF('R&amp;C-Painel de Controle'!$C$59="Tecnologia Chinesa", J48,"-"))</f>
        <v>0.2</v>
      </c>
      <c r="J48" s="1622">
        <f>H48*(1+J$44+0.075)</f>
        <v>0.29499999999999998</v>
      </c>
      <c r="K48" s="1618"/>
      <c r="L48" s="1625">
        <f t="shared" si="4"/>
        <v>0.2</v>
      </c>
      <c r="M48" s="1627">
        <f>IF('R&amp;C-Painel de Controle'!$C$59="Tecnologia Europeia", L48, IF('R&amp;C-Painel de Controle'!$C$59="Tecnologia Chinesa", N48,"-"))</f>
        <v>0.2</v>
      </c>
      <c r="N48" s="1622">
        <f>L48*(1+N$44+0.075)</f>
        <v>0.29499999999999998</v>
      </c>
      <c r="O48" s="1618"/>
      <c r="P48" s="1625">
        <f t="shared" si="5"/>
        <v>0.2</v>
      </c>
      <c r="Q48" s="1627">
        <f>IF('R&amp;C-Painel de Controle'!$C$59="Tecnologia Europeia", P48, IF('R&amp;C-Painel de Controle'!$C$59="Tecnologia Chinesa", R48,"-"))</f>
        <v>0.2</v>
      </c>
      <c r="R48" s="1622">
        <f>P48*(1+R$44+0.075)</f>
        <v>0.29499999999999998</v>
      </c>
      <c r="S48" s="1618"/>
      <c r="T48" s="1625">
        <f t="shared" si="6"/>
        <v>0.2</v>
      </c>
      <c r="U48" s="1627">
        <f>IF('R&amp;C-Painel de Controle'!$C$59="Tecnologia Europeia", T48, IF('R&amp;C-Painel de Controle'!$C$59="Tecnologia Chinesa", V48,"-"))</f>
        <v>0.2</v>
      </c>
      <c r="V48" s="1622">
        <f>T48*(1+V$44+0.075)</f>
        <v>0.29499999999999998</v>
      </c>
      <c r="W48" s="171"/>
      <c r="X48" s="179"/>
      <c r="Y48" s="179"/>
      <c r="Z48" s="179"/>
      <c r="AA48" s="179"/>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row>
    <row r="49" spans="1:61" s="195" customFormat="1" ht="17.149999999999999" hidden="1" customHeight="1" outlineLevel="1" x14ac:dyDescent="0.35">
      <c r="A49" s="1183"/>
      <c r="B49" s="1191" t="s">
        <v>452</v>
      </c>
      <c r="C49" s="680"/>
      <c r="D49" s="1623">
        <v>0.25</v>
      </c>
      <c r="E49" s="1631">
        <f>IF('R&amp;C-Painel de Controle'!$C$59="Tecnologia Europeia", D49, IF('R&amp;C-Painel de Controle'!$C$59="Tecnologia Chinesa", F49,"-"))</f>
        <v>0.25</v>
      </c>
      <c r="F49" s="1632">
        <f>D49*(1+F$44)</f>
        <v>0.35</v>
      </c>
      <c r="G49" s="999"/>
      <c r="H49" s="1633">
        <f t="shared" si="3"/>
        <v>0.25</v>
      </c>
      <c r="I49" s="1624">
        <f>IF('R&amp;C-Painel de Controle'!$C$59="Tecnologia Europeia", H49, IF('R&amp;C-Painel de Controle'!$C$59="Tecnologia Chinesa", J49,"-"))</f>
        <v>0.25</v>
      </c>
      <c r="J49" s="1632">
        <f>H49*(1+J$44)</f>
        <v>0.35</v>
      </c>
      <c r="K49" s="999"/>
      <c r="L49" s="1633">
        <f t="shared" si="4"/>
        <v>0.25</v>
      </c>
      <c r="M49" s="1624">
        <f>IF('R&amp;C-Painel de Controle'!$C$59="Tecnologia Europeia", L49, IF('R&amp;C-Painel de Controle'!$C$59="Tecnologia Chinesa", N49,"-"))</f>
        <v>0.25</v>
      </c>
      <c r="N49" s="1632">
        <f>L49*(1+N$44)</f>
        <v>0.35</v>
      </c>
      <c r="O49" s="999"/>
      <c r="P49" s="1633">
        <f t="shared" si="5"/>
        <v>0.25</v>
      </c>
      <c r="Q49" s="1624">
        <f>IF('R&amp;C-Painel de Controle'!$C$59="Tecnologia Europeia", P49, IF('R&amp;C-Painel de Controle'!$C$59="Tecnologia Chinesa", R49,"-"))</f>
        <v>0.25</v>
      </c>
      <c r="R49" s="1613">
        <v>0.25</v>
      </c>
      <c r="S49" s="999"/>
      <c r="T49" s="1633">
        <f t="shared" si="6"/>
        <v>0.25</v>
      </c>
      <c r="U49" s="1624">
        <f>IF('R&amp;C-Painel de Controle'!$C$59="Tecnologia Europeia", T49, IF('R&amp;C-Painel de Controle'!$C$59="Tecnologia Chinesa", V49,"-"))</f>
        <v>0.25</v>
      </c>
      <c r="V49" s="1613">
        <v>0.25</v>
      </c>
      <c r="W49" s="1187"/>
      <c r="X49" s="318"/>
      <c r="Y49" s="318"/>
      <c r="Z49" s="318"/>
      <c r="AA49" s="318"/>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row>
    <row r="50" spans="1:61" s="1172" customFormat="1" ht="25.15" customHeight="1" x14ac:dyDescent="0.45">
      <c r="A50" s="1184"/>
      <c r="B50" s="1192" t="s">
        <v>437</v>
      </c>
      <c r="C50" s="1184"/>
      <c r="D50" s="1623">
        <v>0.1</v>
      </c>
      <c r="E50" s="1634">
        <f>(IF(AND(E$7="SIM",'R&amp;C-Painel de Controle'!$C$59="Tecnologia Europeia"),(E29+E34+E37+E40+E44)*(1+D50), IF(AND(E$7="SIM",'R&amp;C-Painel de Controle'!$C$59="Tecnologia Chinesa"),(E29+E34+E37+E40+E44)*(1+F50),"-")))</f>
        <v>330.52519846166723</v>
      </c>
      <c r="F50" s="1613">
        <v>0.15</v>
      </c>
      <c r="G50" s="1614"/>
      <c r="H50" s="1623">
        <v>0.1</v>
      </c>
      <c r="I50" s="1612" t="str">
        <f>(IF(AND(I$7="SIM",'R&amp;C-Painel de Controle'!$C$59="Tecnologia Europeia"),(I29+I34+I37+I40+I44)*(1+H50), IF(AND(I$7="SIM",'R&amp;C-Painel de Controle'!$C$59="Tecnologia Chinesa"),(I29+I34+I37+I40+I44)*(1+J50),"-")))</f>
        <v>-</v>
      </c>
      <c r="J50" s="1613">
        <v>0.15</v>
      </c>
      <c r="K50" s="1614"/>
      <c r="L50" s="1623">
        <v>0.1</v>
      </c>
      <c r="M50" s="1612" t="str">
        <f>(IF(AND(M$7="SIM",'R&amp;C-Painel de Controle'!$C$59="Tecnologia Europeia"),(M29+M34+M37+M40+M44)*(1+L50), IF(AND(M$7="SIM",'R&amp;C-Painel de Controle'!$C$59="Tecnologia Chinesa"),(M29+M34+M37+M40+M44)*(1+N50),"-")))</f>
        <v>-</v>
      </c>
      <c r="N50" s="1613">
        <v>0.15</v>
      </c>
      <c r="O50" s="1614"/>
      <c r="P50" s="1623">
        <v>0.1</v>
      </c>
      <c r="Q50" s="1612" t="str">
        <f>(IF(AND(Q$7="SIM",'R&amp;C-Painel de Controle'!$C$59="Tecnologia Europeia"),(Q29+Q34+Q37+Q40+Q44)*(1+P50), IF(AND(Q$7="SIM",'R&amp;C-Painel de Controle'!$C$59="Tecnologia Chinesa"),(Q29+Q34+Q37+Q40+Q44)*(1+R50),"-")))</f>
        <v>-</v>
      </c>
      <c r="R50" s="1613">
        <v>0.15</v>
      </c>
      <c r="S50" s="1614"/>
      <c r="T50" s="1623">
        <v>0.1</v>
      </c>
      <c r="U50" s="1612" t="str">
        <f>(IF(AND(U$7="SIM",'R&amp;C-Painel de Controle'!$C$59="Tecnologia Europeia"),(U29+U34+U37+U40+U44)*(1+T50), IF(AND(U$7="SIM",'R&amp;C-Painel de Controle'!$C$59="Tecnologia Chinesa"),(U29+U34+U37+U40+U44)*(1+V50),"-")))</f>
        <v>-</v>
      </c>
      <c r="V50" s="1613">
        <v>0.15</v>
      </c>
      <c r="W50" s="1188"/>
      <c r="X50" s="1170"/>
      <c r="Y50" s="1170"/>
      <c r="Z50" s="1170"/>
      <c r="AA50" s="1170"/>
      <c r="AB50" s="1171"/>
      <c r="AC50" s="1171"/>
      <c r="AD50" s="1171"/>
      <c r="AE50" s="1171"/>
      <c r="AF50" s="1171"/>
      <c r="AG50" s="1171"/>
      <c r="AH50" s="1171"/>
      <c r="AI50" s="1171"/>
      <c r="AJ50" s="1171"/>
      <c r="AK50" s="1171"/>
      <c r="AL50" s="1171"/>
      <c r="AM50" s="1171"/>
      <c r="AN50" s="1171"/>
      <c r="AO50" s="1171"/>
      <c r="AP50" s="1171"/>
      <c r="AQ50" s="1171"/>
      <c r="AR50" s="1171"/>
      <c r="AS50" s="1171"/>
      <c r="AT50" s="1171"/>
      <c r="AU50" s="1171"/>
      <c r="AV50" s="1171"/>
      <c r="AW50" s="1171"/>
      <c r="AX50" s="1171"/>
      <c r="AY50" s="1171"/>
      <c r="AZ50" s="1171"/>
      <c r="BA50" s="1171"/>
      <c r="BB50" s="1171"/>
      <c r="BC50" s="1171"/>
      <c r="BD50" s="1171"/>
      <c r="BE50" s="1171"/>
      <c r="BF50" s="1171"/>
      <c r="BG50" s="1171"/>
      <c r="BH50" s="1171"/>
      <c r="BI50" s="1171"/>
    </row>
    <row r="51" spans="1:61" s="1172" customFormat="1" ht="25.15" customHeight="1" x14ac:dyDescent="0.45">
      <c r="A51" s="1184"/>
      <c r="B51" s="1192" t="s">
        <v>438</v>
      </c>
      <c r="C51" s="1184"/>
      <c r="D51" s="1196"/>
      <c r="E51" s="1635">
        <f>(IF(E$7="SIM",E50*$H$2/1000000,"-"))</f>
        <v>67.976981052728263</v>
      </c>
      <c r="F51" s="1197"/>
      <c r="G51" s="1073"/>
      <c r="H51" s="1196"/>
      <c r="I51" s="1199" t="str">
        <f>(IF(I$7="SIM",I50*$H$2/1000000,"-"))</f>
        <v>-</v>
      </c>
      <c r="J51" s="1197"/>
      <c r="K51" s="1073"/>
      <c r="L51" s="1196"/>
      <c r="M51" s="1199" t="str">
        <f>(IF(M$7="SIM",M50*$H$2/1000000,"-"))</f>
        <v>-</v>
      </c>
      <c r="N51" s="1197"/>
      <c r="O51" s="1073"/>
      <c r="P51" s="1196"/>
      <c r="Q51" s="1199" t="str">
        <f>(IF(Q$7="SIM",Q50*$H$2/1000000,"-"))</f>
        <v>-</v>
      </c>
      <c r="R51" s="1197"/>
      <c r="S51" s="1073"/>
      <c r="T51" s="1196"/>
      <c r="U51" s="1199" t="str">
        <f>(IF(U$7="SIM",U50*$H$2/1000000,"-"))</f>
        <v>-</v>
      </c>
      <c r="V51" s="1197"/>
      <c r="W51" s="1188"/>
      <c r="X51" s="1170"/>
      <c r="Y51" s="1170"/>
      <c r="Z51" s="1170"/>
      <c r="AA51" s="1170"/>
      <c r="AB51" s="1171"/>
      <c r="AC51" s="1171"/>
      <c r="AD51" s="1171"/>
      <c r="AE51" s="1171"/>
      <c r="AF51" s="1171"/>
      <c r="AG51" s="1171"/>
      <c r="AH51" s="1171"/>
      <c r="AI51" s="1171"/>
      <c r="AJ51" s="1171"/>
      <c r="AK51" s="1171"/>
      <c r="AL51" s="1171"/>
      <c r="AM51" s="1171"/>
      <c r="AN51" s="1171"/>
      <c r="AO51" s="1171"/>
      <c r="AP51" s="1171"/>
      <c r="AQ51" s="1171"/>
      <c r="AR51" s="1171"/>
      <c r="AS51" s="1171"/>
      <c r="AT51" s="1171"/>
      <c r="AU51" s="1171"/>
      <c r="AV51" s="1171"/>
      <c r="AW51" s="1171"/>
      <c r="AX51" s="1171"/>
      <c r="AY51" s="1171"/>
      <c r="AZ51" s="1171"/>
      <c r="BA51" s="1171"/>
      <c r="BB51" s="1171"/>
      <c r="BC51" s="1171"/>
      <c r="BD51" s="1171"/>
      <c r="BE51" s="1171"/>
      <c r="BF51" s="1171"/>
      <c r="BG51" s="1171"/>
      <c r="BH51" s="1171"/>
      <c r="BI51" s="1171"/>
    </row>
    <row r="52" spans="1:61" s="1168" customFormat="1" ht="20.149999999999999" customHeight="1" x14ac:dyDescent="0.35">
      <c r="A52" s="1185"/>
      <c r="B52" s="1193" t="s">
        <v>439</v>
      </c>
      <c r="C52" s="1185"/>
      <c r="D52" s="1636"/>
      <c r="E52" s="1637">
        <f>(IF(E$7="SIM",(((E29*$H$2/12)+(E36/1000*'R&amp;C-Painel de Controle'!$D$70*12)+(E39*12)+((E41*E42)+E43)*12))/1000000,"-"))</f>
        <v>10.729039415136709</v>
      </c>
      <c r="F52" s="1638"/>
      <c r="G52" s="1074"/>
      <c r="H52" s="1636"/>
      <c r="I52" s="1639" t="str">
        <f>(IF(I$7="SIM",(((I29*$H$2/12)+(I36/1000*'R&amp;C-Painel de Controle'!$D$70*12)+(I39*12)+((I41*I42)+I43)*12))/1000000,"-"))</f>
        <v>-</v>
      </c>
      <c r="J52" s="1638"/>
      <c r="K52" s="1074"/>
      <c r="L52" s="1636"/>
      <c r="M52" s="1639" t="str">
        <f>(IF(M$7="SIM",(((M29*$H$2/12)+(M36/1000*'R&amp;C-Painel de Controle'!$D$70*12)+(M39*12)+((M41*M42)+M43)*12))/1000000,"-"))</f>
        <v>-</v>
      </c>
      <c r="N52" s="1638"/>
      <c r="O52" s="1074"/>
      <c r="P52" s="1636"/>
      <c r="Q52" s="1639" t="str">
        <f>(IF(Q$7="SIM",(((Q29*$H$2/12)+(Q36/1000*'R&amp;C-Painel de Controle'!$D$70*12)+(Q39*12)+((Q41*Q42)+Q43)*12))/1000000,"-"))</f>
        <v>-</v>
      </c>
      <c r="R52" s="1638"/>
      <c r="S52" s="1074"/>
      <c r="T52" s="1636"/>
      <c r="U52" s="1639" t="str">
        <f>(IF(U$7="SIM",(((U29*$H$2/12)+(U36/1000*'R&amp;C-Painel de Controle'!$D$70*12)+(U39*12)+((U41*U42)+U43)*12))/1000000,"-"))</f>
        <v>-</v>
      </c>
      <c r="V52" s="1638"/>
      <c r="W52" s="1189"/>
      <c r="X52" s="1178"/>
      <c r="Y52" s="1178"/>
      <c r="Z52" s="1178"/>
      <c r="AA52" s="1178"/>
      <c r="AB52" s="1169"/>
      <c r="AC52" s="1169"/>
      <c r="AD52" s="1169"/>
      <c r="AE52" s="1169"/>
      <c r="AF52" s="1169"/>
      <c r="AG52" s="1169"/>
      <c r="AH52" s="1169"/>
      <c r="AI52" s="1169"/>
      <c r="AJ52" s="1169"/>
      <c r="AK52" s="1169"/>
      <c r="AL52" s="1169"/>
      <c r="AM52" s="1169"/>
      <c r="AN52" s="1169"/>
      <c r="AO52" s="1169"/>
      <c r="AP52" s="1169"/>
      <c r="AQ52" s="1169"/>
      <c r="AR52" s="1169"/>
      <c r="AS52" s="1169"/>
      <c r="AT52" s="1169"/>
      <c r="AU52" s="1169"/>
      <c r="AV52" s="1169"/>
      <c r="AW52" s="1169"/>
      <c r="AX52" s="1169"/>
      <c r="AY52" s="1169"/>
      <c r="AZ52" s="1169"/>
      <c r="BA52" s="1169"/>
      <c r="BB52" s="1169"/>
      <c r="BC52" s="1169"/>
      <c r="BD52" s="1169"/>
      <c r="BE52" s="1169"/>
      <c r="BF52" s="1169"/>
      <c r="BG52" s="1169"/>
      <c r="BH52" s="1169"/>
      <c r="BI52" s="1169"/>
    </row>
    <row r="53" spans="1:61" s="1168" customFormat="1" ht="20.149999999999999" customHeight="1" thickBot="1" x14ac:dyDescent="0.4">
      <c r="A53" s="1185"/>
      <c r="B53" s="1194" t="s">
        <v>440</v>
      </c>
      <c r="C53" s="1185"/>
      <c r="D53" s="1640"/>
      <c r="E53" s="1641">
        <f>(IF(E$7="SIM",((E51-E52)*1000000)/$H$2,"-"))</f>
        <v>278.35727592270672</v>
      </c>
      <c r="F53" s="1642"/>
      <c r="G53" s="1074"/>
      <c r="H53" s="1640"/>
      <c r="I53" s="1643" t="str">
        <f>(IF(I$7="SIM",((I51-I52)*1000000)/$H$2,"-"))</f>
        <v>-</v>
      </c>
      <c r="J53" s="1642"/>
      <c r="K53" s="1074"/>
      <c r="L53" s="1640"/>
      <c r="M53" s="1643" t="str">
        <f>(IF(M$7="SIM",((M51-M52)*1000000)/$H$2,"-"))</f>
        <v>-</v>
      </c>
      <c r="N53" s="1642"/>
      <c r="O53" s="1074"/>
      <c r="P53" s="1640"/>
      <c r="Q53" s="1643" t="str">
        <f>(IF(Q$7="SIM",((Q51-Q52)*1000000)/$H$2,"-"))</f>
        <v>-</v>
      </c>
      <c r="R53" s="1642"/>
      <c r="S53" s="1074"/>
      <c r="T53" s="1640"/>
      <c r="U53" s="1643" t="str">
        <f>(IF(U$7="SIM",((U51-U52)*1000000)/$H$2,"-"))</f>
        <v>-</v>
      </c>
      <c r="V53" s="1642"/>
      <c r="W53" s="1189"/>
      <c r="X53" s="1178"/>
      <c r="Y53" s="1178"/>
      <c r="Z53" s="1178"/>
      <c r="AA53" s="1178"/>
      <c r="AB53" s="1169"/>
      <c r="AC53" s="1169"/>
      <c r="AD53" s="1169"/>
      <c r="AE53" s="1169"/>
      <c r="AF53" s="1169"/>
      <c r="AG53" s="1169"/>
      <c r="AH53" s="1169"/>
      <c r="AI53" s="1169"/>
      <c r="AJ53" s="1169"/>
      <c r="AK53" s="1169"/>
      <c r="AL53" s="1169"/>
      <c r="AM53" s="1169"/>
      <c r="AN53" s="1169"/>
      <c r="AO53" s="1169"/>
      <c r="AP53" s="1169"/>
      <c r="AQ53" s="1169"/>
      <c r="AR53" s="1169"/>
      <c r="AS53" s="1169"/>
      <c r="AT53" s="1169"/>
      <c r="AU53" s="1169"/>
      <c r="AV53" s="1169"/>
      <c r="AW53" s="1169"/>
      <c r="AX53" s="1169"/>
      <c r="AY53" s="1169"/>
      <c r="AZ53" s="1169"/>
      <c r="BA53" s="1169"/>
      <c r="BB53" s="1169"/>
      <c r="BC53" s="1169"/>
      <c r="BD53" s="1169"/>
      <c r="BE53" s="1169"/>
      <c r="BF53" s="1169"/>
      <c r="BG53" s="1169"/>
      <c r="BH53" s="1169"/>
      <c r="BI53" s="1169"/>
    </row>
    <row r="54" spans="1:61" ht="14.25" customHeight="1" thickTop="1" x14ac:dyDescent="0.35">
      <c r="A54" s="37"/>
      <c r="B54" s="47"/>
      <c r="C54" s="37"/>
      <c r="D54" s="37"/>
      <c r="E54" s="37"/>
      <c r="F54" s="37"/>
      <c r="G54" s="37"/>
      <c r="H54" s="37"/>
      <c r="I54" s="37"/>
      <c r="J54" s="37"/>
      <c r="K54" s="37"/>
      <c r="L54" s="37"/>
      <c r="M54" s="37"/>
      <c r="N54" s="37"/>
      <c r="O54" s="37"/>
      <c r="P54" s="37"/>
      <c r="Q54" s="37"/>
      <c r="R54" s="37"/>
      <c r="S54" s="37"/>
      <c r="T54" s="37"/>
      <c r="U54" s="37"/>
      <c r="V54" s="37"/>
      <c r="W54" s="33"/>
      <c r="X54" s="33"/>
      <c r="Y54" s="33"/>
      <c r="Z54" s="33"/>
      <c r="AA54" s="33"/>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row>
    <row r="55" spans="1:61" ht="14.25" customHeight="1" x14ac:dyDescent="0.35">
      <c r="A55" s="37"/>
      <c r="B55" s="47"/>
      <c r="C55" s="37"/>
      <c r="D55" s="37"/>
      <c r="E55" s="37"/>
      <c r="F55" s="37"/>
      <c r="G55" s="37"/>
      <c r="H55" s="37"/>
      <c r="I55" s="37"/>
      <c r="J55" s="37"/>
      <c r="K55" s="37"/>
      <c r="L55" s="37"/>
      <c r="M55" s="37"/>
      <c r="N55" s="37"/>
      <c r="O55" s="37"/>
      <c r="P55" s="37"/>
      <c r="Q55" s="37"/>
      <c r="R55" s="37"/>
      <c r="S55" s="37"/>
      <c r="T55" s="37"/>
      <c r="U55" s="37"/>
      <c r="V55" s="37"/>
      <c r="W55" s="33"/>
      <c r="X55" s="33"/>
      <c r="Y55" s="33"/>
      <c r="Z55" s="33"/>
      <c r="AA55" s="33"/>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row>
    <row r="56" spans="1:61" ht="14.25" customHeight="1" x14ac:dyDescent="0.35">
      <c r="A56" s="37"/>
      <c r="B56" s="47"/>
      <c r="C56" s="37"/>
      <c r="D56" s="37"/>
      <c r="E56" s="37"/>
      <c r="F56" s="37"/>
      <c r="G56" s="37"/>
      <c r="H56" s="37"/>
      <c r="I56" s="37"/>
      <c r="J56" s="37"/>
      <c r="K56" s="37"/>
      <c r="L56" s="37"/>
      <c r="M56" s="37"/>
      <c r="N56" s="37"/>
      <c r="O56" s="37"/>
      <c r="P56" s="37"/>
      <c r="Q56" s="37"/>
      <c r="R56" s="37"/>
      <c r="S56" s="37"/>
      <c r="T56" s="37"/>
      <c r="U56" s="37"/>
      <c r="V56" s="37"/>
      <c r="W56" s="33"/>
      <c r="X56" s="33"/>
      <c r="Y56" s="33"/>
      <c r="Z56" s="33"/>
      <c r="AA56" s="33"/>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row>
    <row r="57" spans="1:61" ht="14.25" customHeight="1" x14ac:dyDescent="0.35">
      <c r="A57" s="37"/>
      <c r="B57" s="47"/>
      <c r="C57" s="37"/>
      <c r="D57" s="37"/>
      <c r="E57" s="37"/>
      <c r="F57" s="37"/>
      <c r="G57" s="37"/>
      <c r="H57" s="37"/>
      <c r="I57" s="37"/>
      <c r="J57" s="37"/>
      <c r="K57" s="37"/>
      <c r="L57" s="37"/>
      <c r="M57" s="37"/>
      <c r="N57" s="37"/>
      <c r="O57" s="37"/>
      <c r="P57" s="37"/>
      <c r="Q57" s="37"/>
      <c r="R57" s="37"/>
      <c r="S57" s="37"/>
      <c r="T57" s="37"/>
      <c r="U57" s="37"/>
      <c r="V57" s="37"/>
      <c r="W57" s="33"/>
      <c r="X57" s="33"/>
      <c r="Y57" s="33"/>
      <c r="Z57" s="33"/>
      <c r="AA57" s="33"/>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row>
    <row r="58" spans="1:61" ht="14.25" customHeight="1" x14ac:dyDescent="0.35">
      <c r="A58" s="37"/>
      <c r="B58" s="47"/>
      <c r="C58" s="37"/>
      <c r="D58" s="37"/>
      <c r="E58" s="37"/>
      <c r="F58" s="37"/>
      <c r="G58" s="37"/>
      <c r="H58" s="37"/>
      <c r="I58" s="37"/>
      <c r="J58" s="37"/>
      <c r="K58" s="37"/>
      <c r="L58" s="37"/>
      <c r="M58" s="37"/>
      <c r="N58" s="37"/>
      <c r="O58" s="37"/>
      <c r="P58" s="37"/>
      <c r="Q58" s="37"/>
      <c r="R58" s="37"/>
      <c r="S58" s="37"/>
      <c r="T58" s="37"/>
      <c r="U58" s="37"/>
      <c r="V58" s="37"/>
      <c r="W58" s="33"/>
      <c r="X58" s="33"/>
      <c r="Y58" s="33"/>
      <c r="Z58" s="33"/>
      <c r="AA58" s="33"/>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row>
    <row r="59" spans="1:61" ht="14.25" customHeight="1" x14ac:dyDescent="0.35">
      <c r="A59" s="37"/>
      <c r="B59" s="47"/>
      <c r="C59" s="37"/>
      <c r="D59" s="37"/>
      <c r="E59" s="37"/>
      <c r="F59" s="37"/>
      <c r="G59" s="37"/>
      <c r="H59" s="37"/>
      <c r="I59" s="37"/>
      <c r="J59" s="37"/>
      <c r="K59" s="37"/>
      <c r="L59" s="37"/>
      <c r="M59" s="37"/>
      <c r="N59" s="37"/>
      <c r="O59" s="37"/>
      <c r="P59" s="37"/>
      <c r="Q59" s="37"/>
      <c r="R59" s="37"/>
      <c r="S59" s="37"/>
      <c r="T59" s="37"/>
      <c r="U59" s="37"/>
      <c r="V59" s="37"/>
      <c r="W59" s="33"/>
      <c r="X59" s="33"/>
      <c r="Y59" s="33"/>
      <c r="Z59" s="33"/>
      <c r="AA59" s="33"/>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row>
    <row r="60" spans="1:61" ht="14.25" customHeight="1" x14ac:dyDescent="0.35">
      <c r="A60" s="37"/>
      <c r="B60" s="47"/>
      <c r="C60" s="37"/>
      <c r="D60" s="37"/>
      <c r="E60" s="37"/>
      <c r="F60" s="37"/>
      <c r="G60" s="37"/>
      <c r="H60" s="37"/>
      <c r="I60" s="37"/>
      <c r="J60" s="37"/>
      <c r="K60" s="37"/>
      <c r="L60" s="37"/>
      <c r="M60" s="37"/>
      <c r="N60" s="37"/>
      <c r="O60" s="37"/>
      <c r="P60" s="37"/>
      <c r="Q60" s="37"/>
      <c r="R60" s="37"/>
      <c r="S60" s="37"/>
      <c r="T60" s="37"/>
      <c r="U60" s="37"/>
      <c r="V60" s="37"/>
      <c r="W60" s="33"/>
      <c r="X60" s="33"/>
      <c r="Y60" s="33"/>
      <c r="Z60" s="33"/>
      <c r="AA60" s="33"/>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row>
    <row r="61" spans="1:61" ht="14.25" customHeight="1" x14ac:dyDescent="0.35">
      <c r="A61" s="37"/>
      <c r="B61" s="47"/>
      <c r="C61" s="37"/>
      <c r="D61" s="37"/>
      <c r="E61" s="37"/>
      <c r="F61" s="37"/>
      <c r="G61" s="37"/>
      <c r="H61" s="37"/>
      <c r="I61" s="37"/>
      <c r="J61" s="37"/>
      <c r="K61" s="37"/>
      <c r="L61" s="37"/>
      <c r="M61" s="37"/>
      <c r="N61" s="37"/>
      <c r="O61" s="37"/>
      <c r="P61" s="37"/>
      <c r="Q61" s="37"/>
      <c r="R61" s="37"/>
      <c r="S61" s="37"/>
      <c r="T61" s="37"/>
      <c r="U61" s="37"/>
      <c r="V61" s="37"/>
      <c r="W61" s="33"/>
      <c r="X61" s="33"/>
      <c r="Y61" s="33"/>
      <c r="Z61" s="33"/>
      <c r="AA61" s="33"/>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row>
    <row r="62" spans="1:61" ht="14.25" customHeight="1" x14ac:dyDescent="0.35">
      <c r="A62" s="37"/>
      <c r="B62" s="47"/>
      <c r="C62" s="37"/>
      <c r="D62" s="37"/>
      <c r="E62" s="37"/>
      <c r="F62" s="37"/>
      <c r="G62" s="37"/>
      <c r="H62" s="37"/>
      <c r="I62" s="37"/>
      <c r="J62" s="37"/>
      <c r="K62" s="37"/>
      <c r="L62" s="37"/>
      <c r="M62" s="37"/>
      <c r="N62" s="37"/>
      <c r="O62" s="37"/>
      <c r="P62" s="37"/>
      <c r="Q62" s="37"/>
      <c r="R62" s="37"/>
      <c r="S62" s="37"/>
      <c r="T62" s="37"/>
      <c r="U62" s="37"/>
      <c r="V62" s="37"/>
      <c r="W62" s="33"/>
      <c r="X62" s="33"/>
      <c r="Y62" s="33"/>
      <c r="Z62" s="33"/>
      <c r="AA62" s="33"/>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row>
    <row r="63" spans="1:61" ht="14.25" customHeight="1" x14ac:dyDescent="0.35">
      <c r="A63" s="37"/>
      <c r="B63" s="47"/>
      <c r="C63" s="37"/>
      <c r="D63" s="37"/>
      <c r="E63" s="37"/>
      <c r="F63" s="37"/>
      <c r="G63" s="37"/>
      <c r="H63" s="37"/>
      <c r="I63" s="37"/>
      <c r="J63" s="37"/>
      <c r="K63" s="37"/>
      <c r="L63" s="37"/>
      <c r="M63" s="37"/>
      <c r="N63" s="37"/>
      <c r="O63" s="37"/>
      <c r="P63" s="37"/>
      <c r="Q63" s="37"/>
      <c r="R63" s="37"/>
      <c r="S63" s="37"/>
      <c r="T63" s="37"/>
      <c r="U63" s="37"/>
      <c r="V63" s="37"/>
      <c r="W63" s="33"/>
      <c r="X63" s="33"/>
      <c r="Y63" s="33"/>
      <c r="Z63" s="33"/>
      <c r="AA63" s="33"/>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row>
    <row r="64" spans="1:61" ht="14.25" customHeight="1" x14ac:dyDescent="0.35">
      <c r="A64" s="37"/>
      <c r="B64" s="47"/>
      <c r="C64" s="37"/>
      <c r="D64" s="37"/>
      <c r="E64" s="37"/>
      <c r="F64" s="37"/>
      <c r="G64" s="37"/>
      <c r="H64" s="37"/>
      <c r="I64" s="37"/>
      <c r="J64" s="37"/>
      <c r="K64" s="37"/>
      <c r="L64" s="37"/>
      <c r="M64" s="37"/>
      <c r="N64" s="37"/>
      <c r="O64" s="37"/>
      <c r="P64" s="37"/>
      <c r="Q64" s="37"/>
      <c r="R64" s="37"/>
      <c r="S64" s="37"/>
      <c r="T64" s="37"/>
      <c r="U64" s="37"/>
      <c r="V64" s="37"/>
      <c r="W64" s="33"/>
      <c r="X64" s="33"/>
      <c r="Y64" s="33"/>
      <c r="Z64" s="33"/>
      <c r="AA64" s="33"/>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row>
    <row r="65" spans="1:61" ht="14.25" customHeight="1" x14ac:dyDescent="0.35">
      <c r="A65" s="37"/>
      <c r="B65" s="47"/>
      <c r="C65" s="37"/>
      <c r="D65" s="37"/>
      <c r="E65" s="37"/>
      <c r="F65" s="37"/>
      <c r="G65" s="37"/>
      <c r="H65" s="37"/>
      <c r="I65" s="37"/>
      <c r="J65" s="37"/>
      <c r="K65" s="37"/>
      <c r="L65" s="37"/>
      <c r="M65" s="37"/>
      <c r="N65" s="37"/>
      <c r="O65" s="37"/>
      <c r="P65" s="37"/>
      <c r="Q65" s="37"/>
      <c r="R65" s="37"/>
      <c r="S65" s="37"/>
      <c r="T65" s="37"/>
      <c r="U65" s="37"/>
      <c r="V65" s="37"/>
      <c r="W65" s="33"/>
      <c r="X65" s="33"/>
      <c r="Y65" s="33"/>
      <c r="Z65" s="33"/>
      <c r="AA65" s="33"/>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row>
    <row r="66" spans="1:61" ht="14.25" customHeight="1" x14ac:dyDescent="0.35">
      <c r="A66" s="37"/>
      <c r="B66" s="47"/>
      <c r="C66" s="37"/>
      <c r="D66" s="37"/>
      <c r="E66" s="37"/>
      <c r="F66" s="37"/>
      <c r="G66" s="37"/>
      <c r="H66" s="37"/>
      <c r="I66" s="37"/>
      <c r="J66" s="37"/>
      <c r="K66" s="37"/>
      <c r="L66" s="37"/>
      <c r="M66" s="37"/>
      <c r="N66" s="37"/>
      <c r="O66" s="37"/>
      <c r="P66" s="37"/>
      <c r="Q66" s="37"/>
      <c r="R66" s="37"/>
      <c r="S66" s="37"/>
      <c r="T66" s="37"/>
      <c r="U66" s="37"/>
      <c r="V66" s="37"/>
      <c r="W66" s="33"/>
      <c r="X66" s="33"/>
      <c r="Y66" s="33"/>
      <c r="Z66" s="33"/>
      <c r="AA66" s="33"/>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row>
    <row r="67" spans="1:61" ht="14.25" customHeight="1" x14ac:dyDescent="0.35">
      <c r="A67" s="37"/>
      <c r="B67" s="47"/>
      <c r="C67" s="37"/>
      <c r="D67" s="37"/>
      <c r="E67" s="37"/>
      <c r="F67" s="37"/>
      <c r="G67" s="37"/>
      <c r="H67" s="37"/>
      <c r="I67" s="37"/>
      <c r="J67" s="37"/>
      <c r="K67" s="37"/>
      <c r="L67" s="37"/>
      <c r="M67" s="37"/>
      <c r="N67" s="37"/>
      <c r="O67" s="37"/>
      <c r="P67" s="37"/>
      <c r="Q67" s="37"/>
      <c r="R67" s="37"/>
      <c r="S67" s="37"/>
      <c r="T67" s="37"/>
      <c r="U67" s="37"/>
      <c r="V67" s="37"/>
      <c r="W67" s="33"/>
      <c r="X67" s="33"/>
      <c r="Y67" s="33"/>
      <c r="Z67" s="33"/>
      <c r="AA67" s="33"/>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row>
    <row r="68" spans="1:61" ht="14.25" customHeight="1" x14ac:dyDescent="0.35">
      <c r="A68" s="37"/>
      <c r="B68" s="47"/>
      <c r="C68" s="37"/>
      <c r="D68" s="37"/>
      <c r="E68" s="37"/>
      <c r="F68" s="37"/>
      <c r="G68" s="37"/>
      <c r="H68" s="37"/>
      <c r="I68" s="37"/>
      <c r="J68" s="37"/>
      <c r="K68" s="37"/>
      <c r="L68" s="37"/>
      <c r="M68" s="37"/>
      <c r="N68" s="37"/>
      <c r="O68" s="37"/>
      <c r="P68" s="37"/>
      <c r="Q68" s="37"/>
      <c r="R68" s="37"/>
      <c r="S68" s="37"/>
      <c r="T68" s="37"/>
      <c r="U68" s="37"/>
      <c r="V68" s="37"/>
      <c r="W68" s="33"/>
      <c r="X68" s="33"/>
      <c r="Y68" s="33"/>
      <c r="Z68" s="33"/>
      <c r="AA68" s="33"/>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row>
    <row r="69" spans="1:61" ht="14.25" customHeight="1" x14ac:dyDescent="0.35">
      <c r="A69" s="37"/>
      <c r="B69" s="47"/>
      <c r="C69" s="37"/>
      <c r="D69" s="37"/>
      <c r="E69" s="37"/>
      <c r="F69" s="37"/>
      <c r="G69" s="37"/>
      <c r="H69" s="37"/>
      <c r="I69" s="37"/>
      <c r="J69" s="37"/>
      <c r="K69" s="37"/>
      <c r="L69" s="37"/>
      <c r="M69" s="37"/>
      <c r="N69" s="37"/>
      <c r="O69" s="37"/>
      <c r="P69" s="37"/>
      <c r="Q69" s="37"/>
      <c r="R69" s="37"/>
      <c r="S69" s="37"/>
      <c r="T69" s="37"/>
      <c r="U69" s="37"/>
      <c r="V69" s="37"/>
      <c r="W69" s="33"/>
      <c r="X69" s="33"/>
      <c r="Y69" s="33"/>
      <c r="Z69" s="33"/>
      <c r="AA69" s="33"/>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row>
    <row r="70" spans="1:61" ht="14.25" customHeight="1" x14ac:dyDescent="0.35">
      <c r="A70" s="37"/>
      <c r="B70" s="47"/>
      <c r="C70" s="37"/>
      <c r="D70" s="37"/>
      <c r="E70" s="37"/>
      <c r="F70" s="37"/>
      <c r="G70" s="37"/>
      <c r="H70" s="37"/>
      <c r="I70" s="37"/>
      <c r="J70" s="37"/>
      <c r="K70" s="37"/>
      <c r="L70" s="37"/>
      <c r="M70" s="37"/>
      <c r="N70" s="37"/>
      <c r="O70" s="37"/>
      <c r="P70" s="37"/>
      <c r="Q70" s="37"/>
      <c r="R70" s="37"/>
      <c r="S70" s="37"/>
      <c r="T70" s="37"/>
      <c r="U70" s="37"/>
      <c r="V70" s="37"/>
      <c r="W70" s="33"/>
      <c r="X70" s="33"/>
      <c r="Y70" s="33"/>
      <c r="Z70" s="33"/>
      <c r="AA70" s="33"/>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row>
    <row r="71" spans="1:61" ht="14.25" customHeight="1" x14ac:dyDescent="0.35">
      <c r="A71" s="37"/>
      <c r="B71" s="47"/>
      <c r="C71" s="37"/>
      <c r="D71" s="37"/>
      <c r="E71" s="37"/>
      <c r="F71" s="37"/>
      <c r="G71" s="37"/>
      <c r="H71" s="37"/>
      <c r="I71" s="37"/>
      <c r="J71" s="37"/>
      <c r="K71" s="37"/>
      <c r="L71" s="37"/>
      <c r="M71" s="37"/>
      <c r="N71" s="37"/>
      <c r="O71" s="37"/>
      <c r="P71" s="37"/>
      <c r="Q71" s="37"/>
      <c r="R71" s="37"/>
      <c r="S71" s="37"/>
      <c r="T71" s="37"/>
      <c r="U71" s="37"/>
      <c r="V71" s="37"/>
      <c r="W71" s="33"/>
      <c r="X71" s="33"/>
      <c r="Y71" s="33"/>
      <c r="Z71" s="33"/>
      <c r="AA71" s="33"/>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row>
    <row r="72" spans="1:61" ht="14.25" customHeight="1" x14ac:dyDescent="0.35">
      <c r="A72" s="37"/>
      <c r="B72" s="47"/>
      <c r="C72" s="37"/>
      <c r="D72" s="37"/>
      <c r="E72" s="37"/>
      <c r="F72" s="37"/>
      <c r="G72" s="37"/>
      <c r="H72" s="37"/>
      <c r="I72" s="37"/>
      <c r="J72" s="37"/>
      <c r="K72" s="37"/>
      <c r="L72" s="37"/>
      <c r="M72" s="37"/>
      <c r="N72" s="37"/>
      <c r="O72" s="37"/>
      <c r="P72" s="37"/>
      <c r="Q72" s="37"/>
      <c r="R72" s="37"/>
      <c r="S72" s="37"/>
      <c r="T72" s="37"/>
      <c r="U72" s="37"/>
      <c r="V72" s="37"/>
      <c r="W72" s="33"/>
      <c r="X72" s="33"/>
      <c r="Y72" s="33"/>
      <c r="Z72" s="33"/>
      <c r="AA72" s="33"/>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row>
    <row r="73" spans="1:61" ht="14.25" customHeight="1" x14ac:dyDescent="0.35">
      <c r="A73" s="37"/>
      <c r="B73" s="47"/>
      <c r="C73" s="37"/>
      <c r="D73" s="37"/>
      <c r="E73" s="37"/>
      <c r="F73" s="37"/>
      <c r="G73" s="37"/>
      <c r="H73" s="37"/>
      <c r="I73" s="37"/>
      <c r="J73" s="37"/>
      <c r="K73" s="37"/>
      <c r="L73" s="37"/>
      <c r="M73" s="37"/>
      <c r="N73" s="37"/>
      <c r="O73" s="37"/>
      <c r="P73" s="37"/>
      <c r="Q73" s="37"/>
      <c r="R73" s="37"/>
      <c r="S73" s="37"/>
      <c r="T73" s="37"/>
      <c r="U73" s="37"/>
      <c r="V73" s="37"/>
      <c r="W73" s="33"/>
      <c r="X73" s="33"/>
      <c r="Y73" s="33"/>
      <c r="Z73" s="33"/>
      <c r="AA73" s="33"/>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row>
    <row r="74" spans="1:61" ht="14.25" customHeight="1" x14ac:dyDescent="0.35">
      <c r="A74" s="37"/>
      <c r="B74" s="47"/>
      <c r="C74" s="37"/>
      <c r="D74" s="37"/>
      <c r="E74" s="37"/>
      <c r="F74" s="37"/>
      <c r="G74" s="37"/>
      <c r="H74" s="37"/>
      <c r="I74" s="37"/>
      <c r="J74" s="37"/>
      <c r="K74" s="37"/>
      <c r="L74" s="37"/>
      <c r="M74" s="37"/>
      <c r="N74" s="37"/>
      <c r="O74" s="37"/>
      <c r="P74" s="37"/>
      <c r="Q74" s="37"/>
      <c r="R74" s="37"/>
      <c r="S74" s="37"/>
      <c r="T74" s="37"/>
      <c r="U74" s="37"/>
      <c r="V74" s="37"/>
      <c r="W74" s="33"/>
      <c r="X74" s="33"/>
      <c r="Y74" s="33"/>
      <c r="Z74" s="33"/>
      <c r="AA74" s="33"/>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row>
    <row r="75" spans="1:61" ht="14.25" customHeight="1" x14ac:dyDescent="0.35">
      <c r="A75" s="37"/>
      <c r="B75" s="47"/>
      <c r="C75" s="37"/>
      <c r="D75" s="37"/>
      <c r="E75" s="37"/>
      <c r="F75" s="37"/>
      <c r="G75" s="37"/>
      <c r="H75" s="37"/>
      <c r="I75" s="37"/>
      <c r="J75" s="37"/>
      <c r="K75" s="37"/>
      <c r="L75" s="37"/>
      <c r="M75" s="37"/>
      <c r="N75" s="37"/>
      <c r="O75" s="37"/>
      <c r="P75" s="37"/>
      <c r="Q75" s="37"/>
      <c r="R75" s="37"/>
      <c r="S75" s="37"/>
      <c r="T75" s="37"/>
      <c r="U75" s="37"/>
      <c r="V75" s="37"/>
      <c r="W75" s="33"/>
      <c r="X75" s="33"/>
      <c r="Y75" s="33"/>
      <c r="Z75" s="33"/>
      <c r="AA75" s="33"/>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row>
    <row r="76" spans="1:61" ht="14.25" customHeight="1" x14ac:dyDescent="0.35">
      <c r="A76" s="37"/>
      <c r="B76" s="47"/>
      <c r="C76" s="37"/>
      <c r="D76" s="37"/>
      <c r="E76" s="37"/>
      <c r="F76" s="37"/>
      <c r="G76" s="37"/>
      <c r="H76" s="37"/>
      <c r="I76" s="37"/>
      <c r="J76" s="37"/>
      <c r="K76" s="37"/>
      <c r="L76" s="37"/>
      <c r="M76" s="37"/>
      <c r="N76" s="37"/>
      <c r="O76" s="37"/>
      <c r="P76" s="37"/>
      <c r="Q76" s="37"/>
      <c r="R76" s="37"/>
      <c r="S76" s="37"/>
      <c r="T76" s="37"/>
      <c r="U76" s="37"/>
      <c r="V76" s="37"/>
      <c r="W76" s="33"/>
      <c r="X76" s="33"/>
      <c r="Y76" s="33"/>
      <c r="Z76" s="33"/>
      <c r="AA76" s="33"/>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row>
    <row r="77" spans="1:61" ht="14.25" customHeight="1" x14ac:dyDescent="0.35">
      <c r="A77" s="37"/>
      <c r="B77" s="47"/>
      <c r="C77" s="37"/>
      <c r="D77" s="37"/>
      <c r="E77" s="37"/>
      <c r="F77" s="37"/>
      <c r="G77" s="37"/>
      <c r="H77" s="37"/>
      <c r="I77" s="37"/>
      <c r="J77" s="37"/>
      <c r="K77" s="37"/>
      <c r="L77" s="37"/>
      <c r="M77" s="37"/>
      <c r="N77" s="37"/>
      <c r="O77" s="37"/>
      <c r="P77" s="37"/>
      <c r="Q77" s="37"/>
      <c r="R77" s="37"/>
      <c r="S77" s="37"/>
      <c r="T77" s="37"/>
      <c r="U77" s="37"/>
      <c r="V77" s="37"/>
      <c r="W77" s="33"/>
      <c r="X77" s="33"/>
      <c r="Y77" s="33"/>
      <c r="Z77" s="33"/>
      <c r="AA77" s="33"/>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row>
    <row r="78" spans="1:61" ht="14.25" customHeight="1" x14ac:dyDescent="0.35">
      <c r="A78" s="37"/>
      <c r="B78" s="47"/>
      <c r="C78" s="37"/>
      <c r="D78" s="37"/>
      <c r="E78" s="37"/>
      <c r="F78" s="37"/>
      <c r="G78" s="37"/>
      <c r="H78" s="37"/>
      <c r="I78" s="37"/>
      <c r="J78" s="37"/>
      <c r="K78" s="37"/>
      <c r="L78" s="37"/>
      <c r="M78" s="37"/>
      <c r="N78" s="37"/>
      <c r="O78" s="37"/>
      <c r="P78" s="37"/>
      <c r="Q78" s="37"/>
      <c r="R78" s="37"/>
      <c r="S78" s="37"/>
      <c r="T78" s="37"/>
      <c r="U78" s="37"/>
      <c r="V78" s="37"/>
      <c r="W78" s="33"/>
      <c r="X78" s="33"/>
      <c r="Y78" s="33"/>
      <c r="Z78" s="33"/>
      <c r="AA78" s="33"/>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row>
    <row r="79" spans="1:61" ht="14.25" customHeight="1" x14ac:dyDescent="0.35">
      <c r="A79" s="37"/>
      <c r="B79" s="47"/>
      <c r="C79" s="37"/>
      <c r="D79" s="37"/>
      <c r="E79" s="37"/>
      <c r="F79" s="37"/>
      <c r="G79" s="37"/>
      <c r="H79" s="37"/>
      <c r="I79" s="37"/>
      <c r="J79" s="37"/>
      <c r="K79" s="37"/>
      <c r="L79" s="37"/>
      <c r="M79" s="37"/>
      <c r="N79" s="37"/>
      <c r="O79" s="37"/>
      <c r="P79" s="37"/>
      <c r="Q79" s="37"/>
      <c r="R79" s="37"/>
      <c r="S79" s="37"/>
      <c r="T79" s="37"/>
      <c r="U79" s="37"/>
      <c r="V79" s="37"/>
      <c r="W79" s="33"/>
      <c r="X79" s="33"/>
      <c r="Y79" s="33"/>
      <c r="Z79" s="33"/>
      <c r="AA79" s="33"/>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row>
    <row r="80" spans="1:61" ht="14.25" customHeight="1" x14ac:dyDescent="0.35">
      <c r="A80" s="37"/>
      <c r="B80" s="47"/>
      <c r="C80" s="37"/>
      <c r="D80" s="37"/>
      <c r="E80" s="37"/>
      <c r="F80" s="37"/>
      <c r="G80" s="37"/>
      <c r="H80" s="37"/>
      <c r="I80" s="37"/>
      <c r="J80" s="37"/>
      <c r="K80" s="37"/>
      <c r="L80" s="37"/>
      <c r="M80" s="37"/>
      <c r="N80" s="37"/>
      <c r="O80" s="37"/>
      <c r="P80" s="37"/>
      <c r="Q80" s="37"/>
      <c r="R80" s="37"/>
      <c r="S80" s="37"/>
      <c r="T80" s="37"/>
      <c r="U80" s="37"/>
      <c r="V80" s="37"/>
      <c r="W80" s="33"/>
      <c r="X80" s="33"/>
      <c r="Y80" s="33"/>
      <c r="Z80" s="33"/>
      <c r="AA80" s="33"/>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row>
    <row r="81" spans="1:61" ht="14.25" customHeight="1" x14ac:dyDescent="0.35">
      <c r="A81" s="37"/>
      <c r="B81" s="47"/>
      <c r="C81" s="37"/>
      <c r="D81" s="37"/>
      <c r="E81" s="37"/>
      <c r="F81" s="37"/>
      <c r="G81" s="37"/>
      <c r="H81" s="37"/>
      <c r="I81" s="37"/>
      <c r="J81" s="37"/>
      <c r="K81" s="37"/>
      <c r="L81" s="37"/>
      <c r="M81" s="37"/>
      <c r="N81" s="37"/>
      <c r="O81" s="37"/>
      <c r="P81" s="37"/>
      <c r="Q81" s="37"/>
      <c r="R81" s="37"/>
      <c r="S81" s="37"/>
      <c r="T81" s="37"/>
      <c r="U81" s="37"/>
      <c r="V81" s="37"/>
      <c r="W81" s="33"/>
      <c r="X81" s="33"/>
      <c r="Y81" s="33"/>
      <c r="Z81" s="33"/>
      <c r="AA81" s="33"/>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row>
    <row r="82" spans="1:61" ht="14.25" customHeight="1" x14ac:dyDescent="0.35">
      <c r="A82" s="37"/>
      <c r="B82" s="47"/>
      <c r="C82" s="37"/>
      <c r="D82" s="37"/>
      <c r="E82" s="37"/>
      <c r="F82" s="37"/>
      <c r="G82" s="37"/>
      <c r="H82" s="37"/>
      <c r="I82" s="37"/>
      <c r="J82" s="37"/>
      <c r="K82" s="37"/>
      <c r="L82" s="37"/>
      <c r="M82" s="37"/>
      <c r="N82" s="37"/>
      <c r="O82" s="37"/>
      <c r="P82" s="37"/>
      <c r="Q82" s="37"/>
      <c r="R82" s="37"/>
      <c r="S82" s="37"/>
      <c r="T82" s="37"/>
      <c r="U82" s="37"/>
      <c r="V82" s="37"/>
      <c r="W82" s="33"/>
      <c r="X82" s="33"/>
      <c r="Y82" s="33"/>
      <c r="Z82" s="33"/>
      <c r="AA82" s="33"/>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row>
    <row r="83" spans="1:61" ht="14.25" customHeight="1" x14ac:dyDescent="0.35">
      <c r="A83" s="37"/>
      <c r="B83" s="47"/>
      <c r="C83" s="37"/>
      <c r="D83" s="37"/>
      <c r="E83" s="37"/>
      <c r="F83" s="37"/>
      <c r="G83" s="37"/>
      <c r="H83" s="37"/>
      <c r="I83" s="37"/>
      <c r="J83" s="37"/>
      <c r="K83" s="37"/>
      <c r="L83" s="37"/>
      <c r="M83" s="37"/>
      <c r="N83" s="37"/>
      <c r="O83" s="37"/>
      <c r="P83" s="37"/>
      <c r="Q83" s="37"/>
      <c r="R83" s="37"/>
      <c r="S83" s="37"/>
      <c r="T83" s="37"/>
      <c r="U83" s="37"/>
      <c r="V83" s="37"/>
      <c r="W83" s="33"/>
      <c r="X83" s="33"/>
      <c r="Y83" s="33"/>
      <c r="Z83" s="33"/>
      <c r="AA83" s="33"/>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row>
    <row r="84" spans="1:61" ht="14.25" customHeight="1" x14ac:dyDescent="0.35">
      <c r="A84" s="37"/>
      <c r="B84" s="47"/>
      <c r="C84" s="37"/>
      <c r="D84" s="37"/>
      <c r="E84" s="37"/>
      <c r="F84" s="37"/>
      <c r="G84" s="37"/>
      <c r="H84" s="37"/>
      <c r="I84" s="37"/>
      <c r="J84" s="37"/>
      <c r="K84" s="37"/>
      <c r="L84" s="37"/>
      <c r="M84" s="37"/>
      <c r="N84" s="37"/>
      <c r="O84" s="37"/>
      <c r="P84" s="37"/>
      <c r="Q84" s="37"/>
      <c r="R84" s="37"/>
      <c r="S84" s="37"/>
      <c r="T84" s="37"/>
      <c r="U84" s="37"/>
      <c r="V84" s="37"/>
      <c r="W84" s="33"/>
      <c r="X84" s="33"/>
      <c r="Y84" s="33"/>
      <c r="Z84" s="33"/>
      <c r="AA84" s="33"/>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row>
    <row r="85" spans="1:61" ht="14.25" customHeight="1" x14ac:dyDescent="0.35">
      <c r="A85" s="37"/>
      <c r="B85" s="47"/>
      <c r="C85" s="37"/>
      <c r="D85" s="37"/>
      <c r="E85" s="37"/>
      <c r="F85" s="37"/>
      <c r="G85" s="37"/>
      <c r="H85" s="37"/>
      <c r="I85" s="37"/>
      <c r="J85" s="37"/>
      <c r="K85" s="37"/>
      <c r="L85" s="37"/>
      <c r="M85" s="37"/>
      <c r="N85" s="37"/>
      <c r="O85" s="37"/>
      <c r="P85" s="37"/>
      <c r="Q85" s="37"/>
      <c r="R85" s="37"/>
      <c r="S85" s="37"/>
      <c r="T85" s="37"/>
      <c r="U85" s="37"/>
      <c r="V85" s="37"/>
      <c r="W85" s="33"/>
      <c r="X85" s="33"/>
      <c r="Y85" s="33"/>
      <c r="Z85" s="33"/>
      <c r="AA85" s="33"/>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row>
    <row r="86" spans="1:61" ht="14.25" customHeight="1" x14ac:dyDescent="0.35">
      <c r="A86" s="37"/>
      <c r="B86" s="47"/>
      <c r="C86" s="37"/>
      <c r="D86" s="37"/>
      <c r="E86" s="37"/>
      <c r="F86" s="37"/>
      <c r="G86" s="37"/>
      <c r="H86" s="37"/>
      <c r="I86" s="37"/>
      <c r="J86" s="37"/>
      <c r="K86" s="37"/>
      <c r="L86" s="37"/>
      <c r="M86" s="37"/>
      <c r="N86" s="37"/>
      <c r="O86" s="37"/>
      <c r="P86" s="37"/>
      <c r="Q86" s="37"/>
      <c r="R86" s="37"/>
      <c r="S86" s="37"/>
      <c r="T86" s="37"/>
      <c r="U86" s="37"/>
      <c r="V86" s="37"/>
      <c r="W86" s="33"/>
      <c r="X86" s="33"/>
      <c r="Y86" s="33"/>
      <c r="Z86" s="33"/>
      <c r="AA86" s="33"/>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row>
    <row r="87" spans="1:61" ht="14.25" customHeight="1" x14ac:dyDescent="0.35">
      <c r="A87" s="37"/>
      <c r="B87" s="47"/>
      <c r="C87" s="37"/>
      <c r="D87" s="37"/>
      <c r="E87" s="37"/>
      <c r="F87" s="37"/>
      <c r="G87" s="37"/>
      <c r="H87" s="37"/>
      <c r="I87" s="37"/>
      <c r="J87" s="37"/>
      <c r="K87" s="37"/>
      <c r="L87" s="37"/>
      <c r="M87" s="37"/>
      <c r="N87" s="37"/>
      <c r="O87" s="37"/>
      <c r="P87" s="37"/>
      <c r="Q87" s="37"/>
      <c r="R87" s="37"/>
      <c r="S87" s="37"/>
      <c r="T87" s="37"/>
      <c r="U87" s="37"/>
      <c r="V87" s="37"/>
      <c r="W87" s="33"/>
      <c r="X87" s="33"/>
      <c r="Y87" s="33"/>
      <c r="Z87" s="33"/>
      <c r="AA87" s="33"/>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row>
    <row r="88" spans="1:61" ht="14.25" customHeight="1" x14ac:dyDescent="0.35">
      <c r="A88" s="37"/>
      <c r="B88" s="47"/>
      <c r="C88" s="37"/>
      <c r="D88" s="37"/>
      <c r="E88" s="37"/>
      <c r="F88" s="37"/>
      <c r="G88" s="37"/>
      <c r="H88" s="37"/>
      <c r="I88" s="37"/>
      <c r="J88" s="37"/>
      <c r="K88" s="37"/>
      <c r="L88" s="37"/>
      <c r="M88" s="37"/>
      <c r="N88" s="37"/>
      <c r="O88" s="37"/>
      <c r="P88" s="37"/>
      <c r="Q88" s="37"/>
      <c r="R88" s="37"/>
      <c r="S88" s="37"/>
      <c r="T88" s="37"/>
      <c r="U88" s="37"/>
      <c r="V88" s="37"/>
      <c r="W88" s="33"/>
      <c r="X88" s="33"/>
      <c r="Y88" s="33"/>
      <c r="Z88" s="33"/>
      <c r="AA88" s="33"/>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row>
    <row r="89" spans="1:61" ht="14.25" customHeight="1" x14ac:dyDescent="0.35">
      <c r="A89" s="37"/>
      <c r="B89" s="47"/>
      <c r="C89" s="37"/>
      <c r="D89" s="37"/>
      <c r="E89" s="37"/>
      <c r="F89" s="37"/>
      <c r="G89" s="37"/>
      <c r="H89" s="37"/>
      <c r="I89" s="37"/>
      <c r="J89" s="37"/>
      <c r="K89" s="37"/>
      <c r="L89" s="37"/>
      <c r="M89" s="37"/>
      <c r="N89" s="37"/>
      <c r="O89" s="37"/>
      <c r="P89" s="37"/>
      <c r="Q89" s="37"/>
      <c r="R89" s="37"/>
      <c r="S89" s="37"/>
      <c r="T89" s="37"/>
      <c r="U89" s="37"/>
      <c r="V89" s="37"/>
      <c r="W89" s="33"/>
      <c r="X89" s="33"/>
      <c r="Y89" s="33"/>
      <c r="Z89" s="33"/>
      <c r="AA89" s="33"/>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row>
    <row r="90" spans="1:61" ht="14.25" customHeight="1" x14ac:dyDescent="0.35">
      <c r="A90" s="37"/>
      <c r="B90" s="47"/>
      <c r="C90" s="37"/>
      <c r="D90" s="37"/>
      <c r="E90" s="37"/>
      <c r="F90" s="37"/>
      <c r="G90" s="37"/>
      <c r="H90" s="37"/>
      <c r="I90" s="37"/>
      <c r="J90" s="37"/>
      <c r="K90" s="37"/>
      <c r="L90" s="37"/>
      <c r="M90" s="37"/>
      <c r="N90" s="37"/>
      <c r="O90" s="37"/>
      <c r="P90" s="37"/>
      <c r="Q90" s="37"/>
      <c r="R90" s="37"/>
      <c r="S90" s="37"/>
      <c r="T90" s="37"/>
      <c r="U90" s="37"/>
      <c r="V90" s="37"/>
      <c r="W90" s="33"/>
      <c r="X90" s="33"/>
      <c r="Y90" s="33"/>
      <c r="Z90" s="33"/>
      <c r="AA90" s="33"/>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row>
    <row r="91" spans="1:61" ht="14.25" customHeight="1" x14ac:dyDescent="0.35">
      <c r="A91" s="37"/>
      <c r="B91" s="47"/>
      <c r="C91" s="37"/>
      <c r="D91" s="37"/>
      <c r="E91" s="37"/>
      <c r="F91" s="37"/>
      <c r="G91" s="37"/>
      <c r="H91" s="37"/>
      <c r="I91" s="37"/>
      <c r="J91" s="37"/>
      <c r="K91" s="37"/>
      <c r="L91" s="37"/>
      <c r="M91" s="37"/>
      <c r="N91" s="37"/>
      <c r="O91" s="37"/>
      <c r="P91" s="37"/>
      <c r="Q91" s="37"/>
      <c r="R91" s="37"/>
      <c r="S91" s="37"/>
      <c r="T91" s="37"/>
      <c r="U91" s="37"/>
      <c r="V91" s="37"/>
      <c r="W91" s="33"/>
      <c r="X91" s="33"/>
      <c r="Y91" s="33"/>
      <c r="Z91" s="33"/>
      <c r="AA91" s="33"/>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row>
    <row r="92" spans="1:61" ht="14.25" customHeight="1" x14ac:dyDescent="0.35">
      <c r="A92" s="37"/>
      <c r="B92" s="47"/>
      <c r="C92" s="37"/>
      <c r="D92" s="37"/>
      <c r="E92" s="37"/>
      <c r="F92" s="37"/>
      <c r="G92" s="37"/>
      <c r="H92" s="37"/>
      <c r="I92" s="37"/>
      <c r="J92" s="37"/>
      <c r="K92" s="37"/>
      <c r="L92" s="37"/>
      <c r="M92" s="37"/>
      <c r="N92" s="37"/>
      <c r="O92" s="37"/>
      <c r="P92" s="37"/>
      <c r="Q92" s="37"/>
      <c r="R92" s="37"/>
      <c r="S92" s="37"/>
      <c r="T92" s="37"/>
      <c r="U92" s="37"/>
      <c r="V92" s="37"/>
      <c r="W92" s="33"/>
      <c r="X92" s="33"/>
      <c r="Y92" s="33"/>
      <c r="Z92" s="33"/>
      <c r="AA92" s="33"/>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row>
    <row r="93" spans="1:61" ht="14.25" customHeight="1" x14ac:dyDescent="0.35">
      <c r="A93" s="37"/>
      <c r="B93" s="47"/>
      <c r="C93" s="37"/>
      <c r="D93" s="37"/>
      <c r="E93" s="37"/>
      <c r="F93" s="37"/>
      <c r="G93" s="37"/>
      <c r="H93" s="37"/>
      <c r="I93" s="37"/>
      <c r="J93" s="37"/>
      <c r="K93" s="37"/>
      <c r="L93" s="37"/>
      <c r="M93" s="37"/>
      <c r="N93" s="37"/>
      <c r="O93" s="37"/>
      <c r="P93" s="37"/>
      <c r="Q93" s="37"/>
      <c r="R93" s="37"/>
      <c r="S93" s="37"/>
      <c r="T93" s="37"/>
      <c r="U93" s="37"/>
      <c r="V93" s="37"/>
      <c r="W93" s="33"/>
      <c r="X93" s="33"/>
      <c r="Y93" s="33"/>
      <c r="Z93" s="33"/>
      <c r="AA93" s="33"/>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row>
    <row r="94" spans="1:61" ht="14.25" customHeight="1" x14ac:dyDescent="0.35">
      <c r="A94" s="37"/>
      <c r="B94" s="47"/>
      <c r="C94" s="37"/>
      <c r="D94" s="37"/>
      <c r="E94" s="37"/>
      <c r="F94" s="37"/>
      <c r="G94" s="37"/>
      <c r="H94" s="37"/>
      <c r="I94" s="37"/>
      <c r="J94" s="37"/>
      <c r="K94" s="37"/>
      <c r="L94" s="37"/>
      <c r="M94" s="37"/>
      <c r="N94" s="37"/>
      <c r="O94" s="37"/>
      <c r="P94" s="37"/>
      <c r="Q94" s="37"/>
      <c r="R94" s="37"/>
      <c r="S94" s="37"/>
      <c r="T94" s="37"/>
      <c r="U94" s="37"/>
      <c r="V94" s="37"/>
      <c r="W94" s="33"/>
      <c r="X94" s="33"/>
      <c r="Y94" s="33"/>
      <c r="Z94" s="33"/>
      <c r="AA94" s="33"/>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row>
    <row r="95" spans="1:61" ht="14.25" customHeight="1" x14ac:dyDescent="0.35">
      <c r="A95" s="37"/>
      <c r="B95" s="47"/>
      <c r="C95" s="37"/>
      <c r="D95" s="37"/>
      <c r="E95" s="37"/>
      <c r="F95" s="37"/>
      <c r="G95" s="37"/>
      <c r="H95" s="37"/>
      <c r="I95" s="37"/>
      <c r="J95" s="37"/>
      <c r="K95" s="37"/>
      <c r="L95" s="37"/>
      <c r="M95" s="37"/>
      <c r="N95" s="37"/>
      <c r="O95" s="37"/>
      <c r="P95" s="37"/>
      <c r="Q95" s="37"/>
      <c r="R95" s="37"/>
      <c r="S95" s="37"/>
      <c r="T95" s="37"/>
      <c r="U95" s="37"/>
      <c r="V95" s="37"/>
      <c r="W95" s="33"/>
      <c r="X95" s="33"/>
      <c r="Y95" s="33"/>
      <c r="Z95" s="33"/>
      <c r="AA95" s="33"/>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row>
    <row r="96" spans="1:61" ht="14.25" customHeight="1" x14ac:dyDescent="0.35">
      <c r="A96" s="37"/>
      <c r="B96" s="47"/>
      <c r="C96" s="37"/>
      <c r="D96" s="37"/>
      <c r="E96" s="37"/>
      <c r="F96" s="37"/>
      <c r="G96" s="37"/>
      <c r="H96" s="37"/>
      <c r="I96" s="37"/>
      <c r="J96" s="37"/>
      <c r="K96" s="37"/>
      <c r="L96" s="37"/>
      <c r="M96" s="37"/>
      <c r="N96" s="37"/>
      <c r="O96" s="37"/>
      <c r="P96" s="37"/>
      <c r="Q96" s="37"/>
      <c r="R96" s="37"/>
      <c r="S96" s="37"/>
      <c r="T96" s="37"/>
      <c r="U96" s="37"/>
      <c r="V96" s="37"/>
      <c r="W96" s="33"/>
      <c r="X96" s="33"/>
      <c r="Y96" s="33"/>
      <c r="Z96" s="33"/>
      <c r="AA96" s="33"/>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row>
    <row r="97" spans="1:61" ht="14.25" customHeight="1" x14ac:dyDescent="0.35">
      <c r="A97" s="37"/>
      <c r="B97" s="47"/>
      <c r="C97" s="37"/>
      <c r="D97" s="37"/>
      <c r="E97" s="37"/>
      <c r="F97" s="37"/>
      <c r="G97" s="37"/>
      <c r="H97" s="37"/>
      <c r="I97" s="37"/>
      <c r="J97" s="37"/>
      <c r="K97" s="37"/>
      <c r="L97" s="37"/>
      <c r="M97" s="37"/>
      <c r="N97" s="37"/>
      <c r="O97" s="37"/>
      <c r="P97" s="37"/>
      <c r="Q97" s="37"/>
      <c r="R97" s="37"/>
      <c r="S97" s="37"/>
      <c r="T97" s="37"/>
      <c r="U97" s="37"/>
      <c r="V97" s="37"/>
      <c r="W97" s="33"/>
      <c r="X97" s="33"/>
      <c r="Y97" s="33"/>
      <c r="Z97" s="33"/>
      <c r="AA97" s="33"/>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row>
    <row r="98" spans="1:61" ht="14.25" customHeight="1" x14ac:dyDescent="0.35">
      <c r="A98" s="37"/>
      <c r="B98" s="47"/>
      <c r="C98" s="37"/>
      <c r="D98" s="37"/>
      <c r="E98" s="37"/>
      <c r="F98" s="37"/>
      <c r="G98" s="37"/>
      <c r="H98" s="37"/>
      <c r="I98" s="37"/>
      <c r="J98" s="37"/>
      <c r="K98" s="37"/>
      <c r="L98" s="37"/>
      <c r="M98" s="37"/>
      <c r="N98" s="37"/>
      <c r="O98" s="37"/>
      <c r="P98" s="37"/>
      <c r="Q98" s="37"/>
      <c r="R98" s="37"/>
      <c r="S98" s="37"/>
      <c r="T98" s="37"/>
      <c r="U98" s="37"/>
      <c r="V98" s="37"/>
      <c r="W98" s="33"/>
      <c r="X98" s="33"/>
      <c r="Y98" s="33"/>
      <c r="Z98" s="33"/>
      <c r="AA98" s="33"/>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row>
    <row r="99" spans="1:61" ht="14.25" customHeight="1" x14ac:dyDescent="0.35">
      <c r="A99" s="37"/>
      <c r="B99" s="47"/>
      <c r="C99" s="37"/>
      <c r="D99" s="37"/>
      <c r="E99" s="37"/>
      <c r="F99" s="37"/>
      <c r="G99" s="37"/>
      <c r="H99" s="37"/>
      <c r="I99" s="37"/>
      <c r="J99" s="37"/>
      <c r="K99" s="37"/>
      <c r="L99" s="37"/>
      <c r="M99" s="37"/>
      <c r="N99" s="37"/>
      <c r="O99" s="37"/>
      <c r="P99" s="37"/>
      <c r="Q99" s="37"/>
      <c r="R99" s="37"/>
      <c r="S99" s="37"/>
      <c r="T99" s="37"/>
      <c r="U99" s="37"/>
      <c r="V99" s="37"/>
      <c r="W99" s="33"/>
      <c r="X99" s="33"/>
      <c r="Y99" s="33"/>
      <c r="Z99" s="33"/>
      <c r="AA99" s="33"/>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row>
    <row r="100" spans="1:61" ht="14.25" customHeight="1" x14ac:dyDescent="0.35">
      <c r="A100" s="37"/>
      <c r="B100" s="47"/>
      <c r="C100" s="37"/>
      <c r="D100" s="37"/>
      <c r="E100" s="37"/>
      <c r="F100" s="37"/>
      <c r="G100" s="37"/>
      <c r="H100" s="37"/>
      <c r="I100" s="37"/>
      <c r="J100" s="37"/>
      <c r="K100" s="37"/>
      <c r="L100" s="37"/>
      <c r="M100" s="37"/>
      <c r="N100" s="37"/>
      <c r="O100" s="37"/>
      <c r="P100" s="37"/>
      <c r="Q100" s="37"/>
      <c r="R100" s="37"/>
      <c r="S100" s="37"/>
      <c r="T100" s="37"/>
      <c r="U100" s="37"/>
      <c r="V100" s="37"/>
      <c r="W100" s="33"/>
      <c r="X100" s="33"/>
      <c r="Y100" s="33"/>
      <c r="Z100" s="33"/>
      <c r="AA100" s="33"/>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row>
    <row r="101" spans="1:61" ht="14.25" customHeight="1" x14ac:dyDescent="0.35">
      <c r="A101" s="37"/>
      <c r="B101" s="47"/>
      <c r="C101" s="37"/>
      <c r="D101" s="37"/>
      <c r="E101" s="37"/>
      <c r="F101" s="37"/>
      <c r="G101" s="37"/>
      <c r="H101" s="37"/>
      <c r="I101" s="37"/>
      <c r="J101" s="37"/>
      <c r="K101" s="37"/>
      <c r="L101" s="37"/>
      <c r="M101" s="37"/>
      <c r="N101" s="37"/>
      <c r="O101" s="37"/>
      <c r="P101" s="37"/>
      <c r="Q101" s="37"/>
      <c r="R101" s="37"/>
      <c r="S101" s="37"/>
      <c r="T101" s="37"/>
      <c r="U101" s="37"/>
      <c r="V101" s="37"/>
      <c r="W101" s="33"/>
      <c r="X101" s="33"/>
      <c r="Y101" s="33"/>
      <c r="Z101" s="33"/>
      <c r="AA101" s="33"/>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row>
    <row r="102" spans="1:61" ht="14.25" customHeight="1" x14ac:dyDescent="0.35">
      <c r="A102" s="37"/>
      <c r="B102" s="47"/>
      <c r="C102" s="37"/>
      <c r="D102" s="37"/>
      <c r="E102" s="37"/>
      <c r="F102" s="37"/>
      <c r="G102" s="37"/>
      <c r="H102" s="37"/>
      <c r="I102" s="37"/>
      <c r="J102" s="37"/>
      <c r="K102" s="37"/>
      <c r="L102" s="37"/>
      <c r="M102" s="37"/>
      <c r="N102" s="37"/>
      <c r="O102" s="37"/>
      <c r="P102" s="37"/>
      <c r="Q102" s="37"/>
      <c r="R102" s="37"/>
      <c r="S102" s="37"/>
      <c r="T102" s="37"/>
      <c r="U102" s="37"/>
      <c r="V102" s="37"/>
      <c r="W102" s="33"/>
      <c r="X102" s="33"/>
      <c r="Y102" s="33"/>
      <c r="Z102" s="33"/>
      <c r="AA102" s="33"/>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row>
    <row r="103" spans="1:61" ht="14.25" customHeight="1" x14ac:dyDescent="0.35">
      <c r="A103" s="37"/>
      <c r="B103" s="47"/>
      <c r="C103" s="37"/>
      <c r="D103" s="37"/>
      <c r="E103" s="37"/>
      <c r="F103" s="37"/>
      <c r="G103" s="37"/>
      <c r="H103" s="37"/>
      <c r="I103" s="37"/>
      <c r="J103" s="37"/>
      <c r="K103" s="37"/>
      <c r="L103" s="37"/>
      <c r="M103" s="37"/>
      <c r="N103" s="37"/>
      <c r="O103" s="37"/>
      <c r="P103" s="37"/>
      <c r="Q103" s="37"/>
      <c r="R103" s="37"/>
      <c r="S103" s="37"/>
      <c r="T103" s="37"/>
      <c r="U103" s="37"/>
      <c r="V103" s="37"/>
      <c r="W103" s="33"/>
      <c r="X103" s="33"/>
      <c r="Y103" s="33"/>
      <c r="Z103" s="33"/>
      <c r="AA103" s="33"/>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row>
    <row r="104" spans="1:61" ht="14.25" customHeight="1" x14ac:dyDescent="0.35">
      <c r="A104" s="37"/>
      <c r="B104" s="47"/>
      <c r="C104" s="37"/>
      <c r="D104" s="37"/>
      <c r="E104" s="37"/>
      <c r="F104" s="37"/>
      <c r="G104" s="37"/>
      <c r="H104" s="37"/>
      <c r="I104" s="37"/>
      <c r="J104" s="37"/>
      <c r="K104" s="37"/>
      <c r="L104" s="37"/>
      <c r="M104" s="37"/>
      <c r="N104" s="37"/>
      <c r="O104" s="37"/>
      <c r="P104" s="37"/>
      <c r="Q104" s="37"/>
      <c r="R104" s="37"/>
      <c r="S104" s="37"/>
      <c r="T104" s="37"/>
      <c r="U104" s="37"/>
      <c r="V104" s="37"/>
      <c r="W104" s="33"/>
      <c r="X104" s="33"/>
      <c r="Y104" s="33"/>
      <c r="Z104" s="33"/>
      <c r="AA104" s="33"/>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row>
    <row r="105" spans="1:61" ht="14.25" customHeight="1" x14ac:dyDescent="0.35">
      <c r="A105" s="37"/>
      <c r="B105" s="47"/>
      <c r="C105" s="37"/>
      <c r="D105" s="37"/>
      <c r="E105" s="37"/>
      <c r="F105" s="37"/>
      <c r="G105" s="37"/>
      <c r="H105" s="37"/>
      <c r="I105" s="37"/>
      <c r="J105" s="37"/>
      <c r="K105" s="37"/>
      <c r="L105" s="37"/>
      <c r="M105" s="37"/>
      <c r="N105" s="37"/>
      <c r="O105" s="37"/>
      <c r="P105" s="37"/>
      <c r="Q105" s="37"/>
      <c r="R105" s="37"/>
      <c r="S105" s="37"/>
      <c r="T105" s="37"/>
      <c r="U105" s="37"/>
      <c r="V105" s="37"/>
      <c r="W105" s="33"/>
      <c r="X105" s="33"/>
      <c r="Y105" s="33"/>
      <c r="Z105" s="33"/>
      <c r="AA105" s="33"/>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row>
  </sheetData>
  <sheetProtection algorithmName="SHA-512" hashValue="ZD2hlr4BWK1sdhxDLY+Euda/dLz8sIJWAj/imhxTC4266fBCrlVIxZlq6UiJQeCD2Ombo4wF2yz5H/bDMKQwHA==" saltValue="jrECG2zSNYFSBt3Yj+0kCQ==" spinCount="100000" sheet="1" formatRows="0"/>
  <mergeCells count="5">
    <mergeCell ref="B9:B11"/>
    <mergeCell ref="D9:V9"/>
    <mergeCell ref="Q2:R2"/>
    <mergeCell ref="U2:V2"/>
    <mergeCell ref="B1:B3"/>
  </mergeCells>
  <conditionalFormatting sqref="U51">
    <cfRule type="expression" dxfId="88" priority="320">
      <formula>$P$34</formula>
    </cfRule>
  </conditionalFormatting>
  <conditionalFormatting sqref="E37 I37 U37 M37 E44 E40 Q37 I40 M40 Q40 U40 I50:I53 Q50:Q53 E50:E53 M50:M53 U50:U53 I44 M44 Q44 U44">
    <cfRule type="expression" dxfId="87" priority="321">
      <formula>E$7="NÃO"</formula>
    </cfRule>
  </conditionalFormatting>
  <conditionalFormatting sqref="E37 I37 U37 M37 E44 E40 Q37 I40 M40 Q40 U40 U50 I50:I53 Q50:Q53 E50:E53 M50:M53 U52:U53 I44 M44 Q44 U44">
    <cfRule type="expression" dxfId="86" priority="322">
      <formula>E$7= "SIM"</formula>
    </cfRule>
  </conditionalFormatting>
  <conditionalFormatting sqref="I7 E7 M7 Q7 U7">
    <cfRule type="expression" dxfId="85" priority="57">
      <formula>E$7="NÃO"</formula>
    </cfRule>
  </conditionalFormatting>
  <conditionalFormatting sqref="I7 E7 M7 Q7 U7">
    <cfRule type="expression" dxfId="84" priority="58">
      <formula>E$7= "SIM"</formula>
    </cfRule>
  </conditionalFormatting>
  <conditionalFormatting sqref="L2">
    <cfRule type="expression" dxfId="83" priority="55">
      <formula>L$2="NÃO"</formula>
    </cfRule>
  </conditionalFormatting>
  <conditionalFormatting sqref="L2">
    <cfRule type="expression" dxfId="82" priority="56">
      <formula>L$2= "SIM"</formula>
    </cfRule>
  </conditionalFormatting>
  <conditionalFormatting sqref="D2">
    <cfRule type="expression" dxfId="81" priority="59">
      <formula>AND($L$2="Sim",$D$2&lt;$D$11)</formula>
    </cfRule>
  </conditionalFormatting>
  <conditionalFormatting sqref="D2">
    <cfRule type="expression" dxfId="80" priority="60">
      <formula>AND($L$2="Sim",$D$2&gt;$V$11)</formula>
    </cfRule>
  </conditionalFormatting>
  <conditionalFormatting sqref="U51">
    <cfRule type="expression" dxfId="79" priority="61">
      <formula>U$7= "SIM"</formula>
    </cfRule>
  </conditionalFormatting>
  <conditionalFormatting sqref="E29:E30 M29:M30 I29:I30 Q29:Q30 U29:U30 E34 I34 M34 Q34 U34">
    <cfRule type="expression" dxfId="78" priority="3">
      <formula>E$7="NÃO"</formula>
    </cfRule>
  </conditionalFormatting>
  <conditionalFormatting sqref="U18">
    <cfRule type="expression" dxfId="77" priority="47">
      <formula>U$7="NÃO"</formula>
    </cfRule>
  </conditionalFormatting>
  <conditionalFormatting sqref="U18">
    <cfRule type="expression" dxfId="76" priority="48">
      <formula>U$7= "SIM"</formula>
    </cfRule>
  </conditionalFormatting>
  <conditionalFormatting sqref="U19">
    <cfRule type="expression" dxfId="75" priority="45">
      <formula>U$7="NÃO"</formula>
    </cfRule>
  </conditionalFormatting>
  <conditionalFormatting sqref="U19">
    <cfRule type="expression" dxfId="74" priority="46">
      <formula>U$7= "SIM"</formula>
    </cfRule>
  </conditionalFormatting>
  <conditionalFormatting sqref="Q15">
    <cfRule type="expression" dxfId="73" priority="43">
      <formula>Q$7="NÃO"</formula>
    </cfRule>
  </conditionalFormatting>
  <conditionalFormatting sqref="Q15">
    <cfRule type="expression" dxfId="72" priority="44">
      <formula>Q$7= "SIM"</formula>
    </cfRule>
  </conditionalFormatting>
  <conditionalFormatting sqref="Q16">
    <cfRule type="expression" dxfId="71" priority="41">
      <formula>Q$7="NÃO"</formula>
    </cfRule>
  </conditionalFormatting>
  <conditionalFormatting sqref="Q16">
    <cfRule type="expression" dxfId="70" priority="42">
      <formula>Q$7= "SIM"</formula>
    </cfRule>
  </conditionalFormatting>
  <conditionalFormatting sqref="Q17">
    <cfRule type="expression" dxfId="69" priority="39">
      <formula>Q$7="NÃO"</formula>
    </cfRule>
  </conditionalFormatting>
  <conditionalFormatting sqref="Q17">
    <cfRule type="expression" dxfId="68" priority="40">
      <formula>Q$7= "SIM"</formula>
    </cfRule>
  </conditionalFormatting>
  <conditionalFormatting sqref="Q18">
    <cfRule type="expression" dxfId="67" priority="37">
      <formula>Q$7="NÃO"</formula>
    </cfRule>
  </conditionalFormatting>
  <conditionalFormatting sqref="Q18">
    <cfRule type="expression" dxfId="66" priority="38">
      <formula>Q$7= "SIM"</formula>
    </cfRule>
  </conditionalFormatting>
  <conditionalFormatting sqref="Q19">
    <cfRule type="expression" dxfId="65" priority="35">
      <formula>Q$7="NÃO"</formula>
    </cfRule>
  </conditionalFormatting>
  <conditionalFormatting sqref="Q19">
    <cfRule type="expression" dxfId="64" priority="36">
      <formula>Q$7= "SIM"</formula>
    </cfRule>
  </conditionalFormatting>
  <conditionalFormatting sqref="M15">
    <cfRule type="expression" dxfId="63" priority="33">
      <formula>M$7="NÃO"</formula>
    </cfRule>
  </conditionalFormatting>
  <conditionalFormatting sqref="M15">
    <cfRule type="expression" dxfId="62" priority="34">
      <formula>M$7= "SIM"</formula>
    </cfRule>
  </conditionalFormatting>
  <conditionalFormatting sqref="M16">
    <cfRule type="expression" dxfId="61" priority="31">
      <formula>M$7="NÃO"</formula>
    </cfRule>
  </conditionalFormatting>
  <conditionalFormatting sqref="M16">
    <cfRule type="expression" dxfId="60" priority="32">
      <formula>M$7= "SIM"</formula>
    </cfRule>
  </conditionalFormatting>
  <conditionalFormatting sqref="M17">
    <cfRule type="expression" dxfId="59" priority="29">
      <formula>M$7="NÃO"</formula>
    </cfRule>
  </conditionalFormatting>
  <conditionalFormatting sqref="M17">
    <cfRule type="expression" dxfId="58" priority="30">
      <formula>M$7= "SIM"</formula>
    </cfRule>
  </conditionalFormatting>
  <conditionalFormatting sqref="M18">
    <cfRule type="expression" dxfId="57" priority="27">
      <formula>M$7="NÃO"</formula>
    </cfRule>
  </conditionalFormatting>
  <conditionalFormatting sqref="M18">
    <cfRule type="expression" dxfId="56" priority="28">
      <formula>M$7= "SIM"</formula>
    </cfRule>
  </conditionalFormatting>
  <conditionalFormatting sqref="M19">
    <cfRule type="expression" dxfId="55" priority="25">
      <formula>M$7="NÃO"</formula>
    </cfRule>
  </conditionalFormatting>
  <conditionalFormatting sqref="M19">
    <cfRule type="expression" dxfId="54" priority="26">
      <formula>M$7= "SIM"</formula>
    </cfRule>
  </conditionalFormatting>
  <conditionalFormatting sqref="I15">
    <cfRule type="expression" dxfId="53" priority="23">
      <formula>I$7="NÃO"</formula>
    </cfRule>
  </conditionalFormatting>
  <conditionalFormatting sqref="I15">
    <cfRule type="expression" dxfId="52" priority="24">
      <formula>I$7= "SIM"</formula>
    </cfRule>
  </conditionalFormatting>
  <conditionalFormatting sqref="I16">
    <cfRule type="expression" dxfId="51" priority="21">
      <formula>I$7="NÃO"</formula>
    </cfRule>
  </conditionalFormatting>
  <conditionalFormatting sqref="I16">
    <cfRule type="expression" dxfId="50" priority="22">
      <formula>I$7= "SIM"</formula>
    </cfRule>
  </conditionalFormatting>
  <conditionalFormatting sqref="I17">
    <cfRule type="expression" dxfId="49" priority="19">
      <formula>I$7="NÃO"</formula>
    </cfRule>
  </conditionalFormatting>
  <conditionalFormatting sqref="I17">
    <cfRule type="expression" dxfId="48" priority="20">
      <formula>I$7= "SIM"</formula>
    </cfRule>
  </conditionalFormatting>
  <conditionalFormatting sqref="I18">
    <cfRule type="expression" dxfId="47" priority="17">
      <formula>I$7="NÃO"</formula>
    </cfRule>
  </conditionalFormatting>
  <conditionalFormatting sqref="I18">
    <cfRule type="expression" dxfId="46" priority="18">
      <formula>I$7= "SIM"</formula>
    </cfRule>
  </conditionalFormatting>
  <conditionalFormatting sqref="I19">
    <cfRule type="expression" dxfId="45" priority="15">
      <formula>I$7="NÃO"</formula>
    </cfRule>
  </conditionalFormatting>
  <conditionalFormatting sqref="I19">
    <cfRule type="expression" dxfId="44" priority="16">
      <formula>I$7= "SIM"</formula>
    </cfRule>
  </conditionalFormatting>
  <conditionalFormatting sqref="E15">
    <cfRule type="expression" dxfId="43" priority="13">
      <formula>E$7="NÃO"</formula>
    </cfRule>
  </conditionalFormatting>
  <conditionalFormatting sqref="E15">
    <cfRule type="expression" dxfId="42" priority="14">
      <formula>E$7= "SIM"</formula>
    </cfRule>
  </conditionalFormatting>
  <conditionalFormatting sqref="E16">
    <cfRule type="expression" dxfId="41" priority="11">
      <formula>E$7="NÃO"</formula>
    </cfRule>
  </conditionalFormatting>
  <conditionalFormatting sqref="E16">
    <cfRule type="expression" dxfId="40" priority="12">
      <formula>E$7= "SIM"</formula>
    </cfRule>
  </conditionalFormatting>
  <conditionalFormatting sqref="E17">
    <cfRule type="expression" dxfId="39" priority="9">
      <formula>E$7="NÃO"</formula>
    </cfRule>
  </conditionalFormatting>
  <conditionalFormatting sqref="E17">
    <cfRule type="expression" dxfId="38" priority="10">
      <formula>E$7= "SIM"</formula>
    </cfRule>
  </conditionalFormatting>
  <conditionalFormatting sqref="E18">
    <cfRule type="expression" dxfId="37" priority="7">
      <formula>E$7="NÃO"</formula>
    </cfRule>
  </conditionalFormatting>
  <conditionalFormatting sqref="E18">
    <cfRule type="expression" dxfId="36" priority="8">
      <formula>E$7= "SIM"</formula>
    </cfRule>
  </conditionalFormatting>
  <conditionalFormatting sqref="E19">
    <cfRule type="expression" dxfId="35" priority="5">
      <formula>E$7="NÃO"</formula>
    </cfRule>
  </conditionalFormatting>
  <conditionalFormatting sqref="E19">
    <cfRule type="expression" dxfId="34" priority="6">
      <formula>E$7= "SIM"</formula>
    </cfRule>
  </conditionalFormatting>
  <conditionalFormatting sqref="U15">
    <cfRule type="expression" dxfId="33" priority="53">
      <formula>U$7="NÃO"</formula>
    </cfRule>
  </conditionalFormatting>
  <conditionalFormatting sqref="U15">
    <cfRule type="expression" dxfId="32" priority="54">
      <formula>U$7= "SIM"</formula>
    </cfRule>
  </conditionalFormatting>
  <conditionalFormatting sqref="U16">
    <cfRule type="expression" dxfId="31" priority="51">
      <formula>U$7="NÃO"</formula>
    </cfRule>
  </conditionalFormatting>
  <conditionalFormatting sqref="U16">
    <cfRule type="expression" dxfId="30" priority="52">
      <formula>U$7= "SIM"</formula>
    </cfRule>
  </conditionalFormatting>
  <conditionalFormatting sqref="U17">
    <cfRule type="expression" dxfId="29" priority="49">
      <formula>U$7="NÃO"</formula>
    </cfRule>
  </conditionalFormatting>
  <conditionalFormatting sqref="U17">
    <cfRule type="expression" dxfId="28" priority="50">
      <formula>U$7= "SIM"</formula>
    </cfRule>
  </conditionalFormatting>
  <conditionalFormatting sqref="E29:E30 M29:M30 I29:I30 Q29:Q30 U29:U30 E34 I34 M34 Q34 U34">
    <cfRule type="expression" dxfId="27" priority="4">
      <formula>E$7= "SIM"</formula>
    </cfRule>
  </conditionalFormatting>
  <conditionalFormatting sqref="D7">
    <cfRule type="expression" dxfId="26" priority="1">
      <formula>AND($L$2="Sim",$D$7&lt; 65%)</formula>
    </cfRule>
  </conditionalFormatting>
  <pageMargins left="0.511811024" right="0.511811024" top="0.78740157499999996" bottom="0.78740157499999996"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C5E0B3"/>
  </sheetPr>
  <dimension ref="A1:Y122"/>
  <sheetViews>
    <sheetView defaultGridColor="0" colorId="55" zoomScale="70" zoomScaleNormal="70" workbookViewId="0">
      <selection activeCell="D3" sqref="D3:F3"/>
    </sheetView>
  </sheetViews>
  <sheetFormatPr defaultColWidth="14.453125" defaultRowHeight="15" customHeight="1" x14ac:dyDescent="0.35"/>
  <cols>
    <col min="1" max="1" width="0.26953125" style="84" customWidth="1"/>
    <col min="2" max="2" width="1" style="84" customWidth="1"/>
    <col min="3" max="3" width="36.26953125" style="84" customWidth="1"/>
    <col min="4" max="4" width="14.453125" style="84" customWidth="1"/>
    <col min="5" max="5" width="12.453125" style="84" customWidth="1"/>
    <col min="6" max="6" width="11.453125" style="84" customWidth="1"/>
    <col min="7" max="7" width="16.7265625" style="84" customWidth="1"/>
    <col min="8" max="8" width="11.26953125" style="84" customWidth="1"/>
    <col min="9" max="9" width="12.26953125" style="84" customWidth="1"/>
    <col min="10" max="10" width="13.26953125" style="84" customWidth="1"/>
    <col min="11" max="11" width="15.453125" style="84" customWidth="1"/>
    <col min="12" max="13" width="13.26953125" style="84" customWidth="1"/>
    <col min="14" max="14" width="10.453125" style="84" customWidth="1"/>
    <col min="15" max="15" width="3.26953125" style="84" customWidth="1"/>
    <col min="16" max="16" width="9.7265625" style="84" hidden="1" customWidth="1"/>
    <col min="17" max="17" width="11.453125" style="84" customWidth="1"/>
    <col min="18" max="18" width="10.26953125" style="82" customWidth="1"/>
    <col min="19" max="19" width="10" customWidth="1"/>
    <col min="20" max="20" width="9.7265625" customWidth="1"/>
    <col min="21" max="21" width="9.453125" customWidth="1"/>
    <col min="22" max="22" width="10.453125" customWidth="1"/>
    <col min="23" max="25" width="8.7265625" customWidth="1"/>
  </cols>
  <sheetData>
    <row r="1" spans="1:25" ht="12.75" customHeight="1" x14ac:dyDescent="0.35">
      <c r="A1" s="83"/>
      <c r="B1" s="388"/>
      <c r="C1" s="388"/>
      <c r="D1" s="388"/>
      <c r="E1" s="388"/>
      <c r="F1" s="388"/>
      <c r="G1" s="388"/>
      <c r="H1" s="388"/>
      <c r="I1" s="388"/>
      <c r="J1" s="388"/>
      <c r="K1" s="487"/>
      <c r="L1" s="388"/>
      <c r="M1" s="388"/>
      <c r="N1" s="388"/>
      <c r="O1" s="929"/>
      <c r="P1" s="929"/>
      <c r="Q1" s="929"/>
      <c r="R1" s="929"/>
      <c r="S1" s="929"/>
      <c r="T1" s="929"/>
      <c r="U1" s="929"/>
      <c r="V1" s="3"/>
      <c r="W1" s="3"/>
      <c r="X1" s="3"/>
      <c r="Y1" s="3"/>
    </row>
    <row r="2" spans="1:25" ht="18" customHeight="1" x14ac:dyDescent="0.35">
      <c r="A2" s="83"/>
      <c r="B2" s="388"/>
      <c r="C2" s="486" t="s">
        <v>493</v>
      </c>
      <c r="D2" s="1926" t="s">
        <v>1</v>
      </c>
      <c r="E2" s="1927"/>
      <c r="F2" s="1928"/>
      <c r="G2" s="388"/>
      <c r="H2" s="1929" t="s">
        <v>2</v>
      </c>
      <c r="I2" s="1930"/>
      <c r="J2" s="1931"/>
      <c r="K2" s="388"/>
      <c r="L2" s="388"/>
      <c r="M2" s="388"/>
      <c r="N2" s="388"/>
      <c r="O2" s="929"/>
      <c r="P2" s="929" t="s">
        <v>3</v>
      </c>
      <c r="Q2" s="929"/>
      <c r="R2" s="929"/>
      <c r="S2" s="929"/>
      <c r="T2" s="929"/>
      <c r="U2" s="929"/>
      <c r="V2" s="3"/>
      <c r="W2" s="3"/>
      <c r="X2" s="3"/>
      <c r="Y2" s="3"/>
    </row>
    <row r="3" spans="1:25" ht="18" customHeight="1" x14ac:dyDescent="0.35">
      <c r="A3" s="83"/>
      <c r="B3" s="388"/>
      <c r="C3" s="486" t="s">
        <v>494</v>
      </c>
      <c r="D3" s="1926" t="s">
        <v>4</v>
      </c>
      <c r="E3" s="1927"/>
      <c r="F3" s="1928"/>
      <c r="G3" s="388"/>
      <c r="H3" s="1932"/>
      <c r="I3" s="1933"/>
      <c r="J3" s="1934"/>
      <c r="K3" s="388"/>
      <c r="L3" s="388"/>
      <c r="M3" s="388"/>
      <c r="N3" s="388"/>
      <c r="O3" s="929"/>
      <c r="P3" s="929" t="s">
        <v>5</v>
      </c>
      <c r="Q3" s="929"/>
      <c r="R3" s="929"/>
      <c r="S3" s="929"/>
      <c r="T3" s="929"/>
      <c r="U3" s="929"/>
      <c r="V3" s="3"/>
      <c r="W3" s="3"/>
      <c r="X3" s="3"/>
      <c r="Y3" s="3"/>
    </row>
    <row r="4" spans="1:25" ht="18" customHeight="1" x14ac:dyDescent="0.45">
      <c r="A4" s="83"/>
      <c r="B4" s="388"/>
      <c r="C4" s="388"/>
      <c r="D4" s="388"/>
      <c r="E4" s="388"/>
      <c r="F4" s="388"/>
      <c r="G4" s="388"/>
      <c r="H4" s="388"/>
      <c r="I4" s="388"/>
      <c r="J4" s="388"/>
      <c r="K4" s="388"/>
      <c r="L4" s="1939" t="s">
        <v>474</v>
      </c>
      <c r="M4" s="1940"/>
      <c r="N4" s="1940"/>
      <c r="O4" s="929"/>
      <c r="P4" s="929"/>
      <c r="Q4" s="929"/>
      <c r="R4" s="929"/>
      <c r="S4" s="929"/>
      <c r="T4" s="929"/>
      <c r="U4" s="929"/>
      <c r="V4" s="3"/>
      <c r="W4" s="3"/>
      <c r="X4" s="3"/>
      <c r="Y4" s="3"/>
    </row>
    <row r="5" spans="1:25" ht="18" customHeight="1" x14ac:dyDescent="0.45">
      <c r="A5" s="481"/>
      <c r="B5" s="88"/>
      <c r="C5" s="91" t="s">
        <v>6</v>
      </c>
      <c r="D5" s="89"/>
      <c r="E5" s="89"/>
      <c r="F5" s="388"/>
      <c r="G5" s="388"/>
      <c r="H5" s="209" t="s">
        <v>507</v>
      </c>
      <c r="I5" s="377"/>
      <c r="J5" s="378"/>
      <c r="K5" s="83"/>
      <c r="L5" s="1941" t="s">
        <v>1062</v>
      </c>
      <c r="M5" s="1941"/>
      <c r="N5" s="1941"/>
      <c r="O5" s="929"/>
      <c r="P5" s="929"/>
      <c r="Q5" s="929"/>
      <c r="R5" s="929"/>
      <c r="S5" s="929"/>
      <c r="T5" s="929"/>
      <c r="U5" s="929"/>
      <c r="V5" s="3"/>
      <c r="W5" s="3"/>
      <c r="X5" s="3"/>
      <c r="Y5" s="3"/>
    </row>
    <row r="6" spans="1:25" s="67" customFormat="1" ht="4.4000000000000004" customHeight="1" x14ac:dyDescent="0.35">
      <c r="A6" s="83"/>
      <c r="B6" s="388"/>
      <c r="C6" s="388"/>
      <c r="D6" s="388"/>
      <c r="E6" s="388"/>
      <c r="F6" s="388"/>
      <c r="G6" s="388"/>
      <c r="H6" s="488"/>
      <c r="I6" s="388"/>
      <c r="J6" s="388"/>
      <c r="K6" s="388"/>
      <c r="L6" s="388"/>
      <c r="M6" s="388"/>
      <c r="N6" s="388"/>
      <c r="O6" s="929"/>
      <c r="P6" s="929"/>
      <c r="Q6" s="929"/>
      <c r="R6" s="929"/>
      <c r="S6" s="929"/>
      <c r="T6" s="929"/>
      <c r="U6" s="929"/>
      <c r="V6" s="3"/>
      <c r="W6" s="3"/>
      <c r="X6" s="3"/>
      <c r="Y6" s="3"/>
    </row>
    <row r="7" spans="1:25" ht="18" customHeight="1" x14ac:dyDescent="0.35">
      <c r="A7" s="83"/>
      <c r="B7" s="388"/>
      <c r="C7" s="388"/>
      <c r="D7" s="484"/>
      <c r="E7" s="484"/>
      <c r="F7" s="484"/>
      <c r="G7" s="388"/>
      <c r="H7" s="511"/>
      <c r="I7" s="387" t="s">
        <v>727</v>
      </c>
      <c r="J7" s="388"/>
      <c r="K7" s="388"/>
      <c r="L7" s="388"/>
      <c r="M7" s="388"/>
      <c r="N7" s="388"/>
      <c r="O7" s="929"/>
      <c r="P7" s="929"/>
      <c r="Q7" s="929"/>
      <c r="R7" s="929"/>
      <c r="S7" s="929"/>
      <c r="T7" s="929"/>
      <c r="U7" s="929"/>
      <c r="V7" s="3"/>
      <c r="W7" s="3"/>
      <c r="X7" s="3"/>
      <c r="Y7" s="3"/>
    </row>
    <row r="8" spans="1:25" ht="18" customHeight="1" x14ac:dyDescent="0.35">
      <c r="A8" s="83"/>
      <c r="B8" s="388"/>
      <c r="C8" s="116"/>
      <c r="D8" s="110" t="s">
        <v>7</v>
      </c>
      <c r="E8" s="489">
        <v>2500000</v>
      </c>
      <c r="F8" s="388"/>
      <c r="G8" s="388"/>
      <c r="H8" s="512"/>
      <c r="I8" s="387" t="s">
        <v>728</v>
      </c>
      <c r="J8" s="388"/>
      <c r="K8" s="388"/>
      <c r="L8" s="388"/>
      <c r="M8" s="388"/>
      <c r="N8" s="388"/>
      <c r="O8" s="929"/>
      <c r="P8" s="929" t="s">
        <v>8</v>
      </c>
      <c r="Q8" s="929"/>
      <c r="R8" s="929"/>
      <c r="S8" s="929"/>
      <c r="T8" s="929"/>
      <c r="U8" s="929"/>
      <c r="V8" s="3"/>
      <c r="W8" s="3"/>
      <c r="X8" s="3"/>
      <c r="Y8" s="3"/>
    </row>
    <row r="9" spans="1:25" ht="18" customHeight="1" x14ac:dyDescent="0.35">
      <c r="A9" s="83"/>
      <c r="B9" s="388"/>
      <c r="C9" s="390"/>
      <c r="D9" s="516" t="s">
        <v>826</v>
      </c>
      <c r="E9" s="490">
        <v>1.2</v>
      </c>
      <c r="F9" s="388"/>
      <c r="G9" s="388"/>
      <c r="H9" s="513"/>
      <c r="I9" s="387" t="s">
        <v>733</v>
      </c>
      <c r="J9" s="388"/>
      <c r="K9" s="388"/>
      <c r="L9" s="388"/>
      <c r="M9" s="388"/>
      <c r="N9" s="388"/>
      <c r="O9" s="929"/>
      <c r="P9" s="929" t="s">
        <v>9</v>
      </c>
      <c r="Q9" s="929"/>
      <c r="R9" s="929"/>
      <c r="S9" s="929"/>
      <c r="T9" s="929"/>
      <c r="U9" s="929"/>
      <c r="V9" s="3"/>
      <c r="W9" s="3"/>
      <c r="X9" s="3"/>
      <c r="Y9" s="3"/>
    </row>
    <row r="10" spans="1:25" ht="16.399999999999999" customHeight="1" x14ac:dyDescent="0.35">
      <c r="A10" s="83"/>
      <c r="B10" s="388"/>
      <c r="C10" s="390"/>
      <c r="D10" s="516" t="s">
        <v>10</v>
      </c>
      <c r="E10" s="489"/>
      <c r="F10" s="388"/>
      <c r="G10" s="388"/>
      <c r="H10" s="129"/>
      <c r="I10" s="387" t="s">
        <v>734</v>
      </c>
      <c r="J10" s="388"/>
      <c r="K10" s="388"/>
      <c r="L10" s="388"/>
      <c r="M10" s="388"/>
      <c r="N10" s="388"/>
      <c r="O10" s="929"/>
      <c r="P10" s="929"/>
      <c r="Q10" s="929"/>
      <c r="R10" s="929"/>
      <c r="S10" s="929"/>
      <c r="T10" s="929"/>
      <c r="U10" s="929"/>
      <c r="V10" s="3"/>
      <c r="W10" s="3"/>
      <c r="X10" s="3"/>
      <c r="Y10" s="3"/>
    </row>
    <row r="11" spans="1:25" ht="3" customHeight="1" x14ac:dyDescent="0.35">
      <c r="A11" s="83"/>
      <c r="B11" s="388"/>
      <c r="C11" s="517"/>
      <c r="D11" s="517"/>
      <c r="E11" s="485"/>
      <c r="F11" s="388"/>
      <c r="G11" s="388"/>
      <c r="H11" s="488"/>
      <c r="I11" s="388"/>
      <c r="J11" s="388"/>
      <c r="K11" s="388"/>
      <c r="L11" s="388"/>
      <c r="M11" s="388"/>
      <c r="N11" s="388"/>
      <c r="O11" s="929"/>
      <c r="P11" s="929"/>
      <c r="Q11" s="929"/>
      <c r="R11" s="929"/>
      <c r="S11" s="929"/>
      <c r="T11" s="929"/>
      <c r="U11" s="929"/>
      <c r="V11" s="3"/>
      <c r="W11" s="3"/>
      <c r="X11" s="3"/>
      <c r="Y11" s="3"/>
    </row>
    <row r="12" spans="1:25" ht="18" customHeight="1" x14ac:dyDescent="0.35">
      <c r="A12" s="83"/>
      <c r="B12" s="388"/>
      <c r="C12" s="517"/>
      <c r="D12" s="518" t="s">
        <v>827</v>
      </c>
      <c r="E12" s="491" t="s">
        <v>8</v>
      </c>
      <c r="F12" s="388"/>
      <c r="G12" s="388"/>
      <c r="H12" s="488"/>
      <c r="I12" s="388"/>
      <c r="J12" s="388"/>
      <c r="K12" s="388"/>
      <c r="L12" s="388"/>
      <c r="M12" s="388"/>
      <c r="N12" s="388"/>
      <c r="O12" s="929"/>
      <c r="P12" s="929"/>
      <c r="Q12" s="929"/>
      <c r="R12" s="929"/>
      <c r="S12" s="929"/>
      <c r="T12" s="929"/>
      <c r="U12" s="929"/>
      <c r="V12" s="3"/>
      <c r="W12" s="3"/>
      <c r="X12" s="3"/>
      <c r="Y12" s="3"/>
    </row>
    <row r="13" spans="1:25" ht="3.65" customHeight="1" x14ac:dyDescent="0.35">
      <c r="A13" s="83"/>
      <c r="B13" s="388"/>
      <c r="C13" s="517"/>
      <c r="D13" s="517"/>
      <c r="E13" s="485"/>
      <c r="F13" s="388"/>
      <c r="G13" s="388"/>
      <c r="H13" s="388"/>
      <c r="I13" s="388"/>
      <c r="J13" s="388"/>
      <c r="K13" s="388"/>
      <c r="L13" s="388"/>
      <c r="M13" s="388"/>
      <c r="N13" s="388"/>
      <c r="O13" s="929"/>
      <c r="P13" s="929"/>
      <c r="Q13" s="929"/>
      <c r="R13" s="929"/>
      <c r="S13" s="929"/>
      <c r="T13" s="929"/>
      <c r="U13" s="929"/>
      <c r="V13" s="3"/>
      <c r="W13" s="3"/>
      <c r="X13" s="3"/>
      <c r="Y13" s="3"/>
    </row>
    <row r="14" spans="1:25" ht="18" customHeight="1" x14ac:dyDescent="0.35">
      <c r="A14" s="83"/>
      <c r="B14" s="388"/>
      <c r="C14" s="517"/>
      <c r="D14" s="518" t="s">
        <v>508</v>
      </c>
      <c r="E14" s="515">
        <f>IF(E12="per capita",E9*E8/1000,E10)</f>
        <v>3000</v>
      </c>
      <c r="F14" s="388"/>
      <c r="G14" s="388"/>
      <c r="H14" s="388"/>
      <c r="I14" s="388"/>
      <c r="J14" s="388"/>
      <c r="K14" s="388"/>
      <c r="L14" s="388"/>
      <c r="M14" s="388"/>
      <c r="N14" s="388"/>
      <c r="O14" s="929"/>
      <c r="P14" s="929"/>
      <c r="Q14" s="929"/>
      <c r="R14" s="929"/>
      <c r="S14" s="929"/>
      <c r="T14" s="929"/>
      <c r="U14" s="929"/>
      <c r="V14" s="3"/>
      <c r="W14" s="3"/>
      <c r="X14" s="3"/>
      <c r="Y14" s="3"/>
    </row>
    <row r="15" spans="1:25" ht="18" customHeight="1" x14ac:dyDescent="0.35">
      <c r="A15" s="83"/>
      <c r="B15" s="388"/>
      <c r="C15" s="388"/>
      <c r="D15" s="388"/>
      <c r="E15" s="388"/>
      <c r="F15" s="388"/>
      <c r="G15" s="388"/>
      <c r="H15" s="388"/>
      <c r="I15" s="388"/>
      <c r="J15" s="388"/>
      <c r="K15" s="388"/>
      <c r="L15" s="388"/>
      <c r="M15" s="388"/>
      <c r="N15" s="388"/>
      <c r="O15" s="929"/>
      <c r="P15" s="929"/>
      <c r="Q15" s="929"/>
      <c r="R15" s="929"/>
      <c r="S15" s="929"/>
      <c r="T15" s="929"/>
      <c r="U15" s="929"/>
      <c r="V15" s="3"/>
      <c r="W15" s="3"/>
      <c r="X15" s="3"/>
      <c r="Y15" s="3"/>
    </row>
    <row r="16" spans="1:25" ht="25.4" customHeight="1" x14ac:dyDescent="0.35">
      <c r="A16" s="83"/>
      <c r="B16" s="388"/>
      <c r="C16" s="1949" t="s">
        <v>951</v>
      </c>
      <c r="D16" s="1950"/>
      <c r="E16" s="1950"/>
      <c r="F16" s="1950"/>
      <c r="G16" s="1950"/>
      <c r="H16" s="1950"/>
      <c r="I16" s="1950"/>
      <c r="J16" s="388"/>
      <c r="K16" s="388"/>
      <c r="L16" s="388"/>
      <c r="M16" s="388"/>
      <c r="N16" s="388"/>
      <c r="O16" s="929"/>
      <c r="P16" s="929"/>
      <c r="Q16" s="929"/>
      <c r="R16" s="929"/>
      <c r="S16" s="929"/>
      <c r="T16" s="929"/>
      <c r="U16" s="929"/>
      <c r="V16" s="3"/>
      <c r="W16" s="3"/>
      <c r="X16" s="3"/>
      <c r="Y16" s="3"/>
    </row>
    <row r="17" spans="1:25" ht="18" customHeight="1" x14ac:dyDescent="0.35">
      <c r="A17" s="83"/>
      <c r="B17" s="388"/>
      <c r="C17" s="514" t="s">
        <v>11</v>
      </c>
      <c r="D17" s="387"/>
      <c r="E17" s="387"/>
      <c r="F17" s="387"/>
      <c r="G17" s="387"/>
      <c r="H17" s="387"/>
      <c r="I17" s="388"/>
      <c r="J17" s="388"/>
      <c r="K17" s="388"/>
      <c r="L17" s="388"/>
      <c r="M17" s="388"/>
      <c r="N17" s="388"/>
      <c r="O17" s="929"/>
      <c r="P17" s="929"/>
      <c r="Q17" s="929"/>
      <c r="R17" s="929"/>
      <c r="S17" s="929"/>
      <c r="T17" s="929"/>
      <c r="U17" s="929"/>
      <c r="V17" s="3"/>
      <c r="W17" s="3"/>
      <c r="X17" s="3"/>
      <c r="Y17" s="3"/>
    </row>
    <row r="18" spans="1:25" ht="18" customHeight="1" x14ac:dyDescent="0.35">
      <c r="A18" s="85"/>
      <c r="B18" s="484"/>
      <c r="C18" s="514" t="s">
        <v>509</v>
      </c>
      <c r="D18" s="387"/>
      <c r="E18" s="387"/>
      <c r="F18" s="387"/>
      <c r="G18" s="391"/>
      <c r="H18" s="391"/>
      <c r="I18" s="484"/>
      <c r="J18" s="484"/>
      <c r="K18" s="484"/>
      <c r="L18" s="501"/>
      <c r="M18" s="484"/>
      <c r="N18" s="388"/>
      <c r="O18" s="929"/>
      <c r="P18" s="929"/>
      <c r="Q18" s="929"/>
      <c r="R18" s="929"/>
      <c r="S18" s="929"/>
      <c r="T18" s="929"/>
      <c r="U18" s="929"/>
      <c r="V18" s="3"/>
      <c r="W18" s="7"/>
      <c r="X18" s="7"/>
      <c r="Y18" s="8"/>
    </row>
    <row r="19" spans="1:25" ht="6" customHeight="1" x14ac:dyDescent="0.35">
      <c r="A19" s="85"/>
      <c r="B19" s="484"/>
      <c r="C19" s="487"/>
      <c r="D19" s="388"/>
      <c r="E19" s="388"/>
      <c r="F19" s="388"/>
      <c r="G19" s="484"/>
      <c r="H19" s="484"/>
      <c r="I19" s="484"/>
      <c r="J19" s="484"/>
      <c r="K19" s="484"/>
      <c r="L19" s="501"/>
      <c r="M19" s="487"/>
      <c r="N19" s="388"/>
      <c r="O19" s="929"/>
      <c r="P19" s="929"/>
      <c r="Q19" s="929"/>
      <c r="R19" s="929"/>
      <c r="S19" s="929"/>
      <c r="T19" s="929"/>
      <c r="U19" s="929"/>
      <c r="V19" s="3"/>
      <c r="W19" s="7"/>
      <c r="X19" s="7"/>
      <c r="Y19" s="8"/>
    </row>
    <row r="20" spans="1:25" ht="18" customHeight="1" x14ac:dyDescent="0.35">
      <c r="A20" s="85"/>
      <c r="B20" s="484"/>
      <c r="C20" s="388"/>
      <c r="D20" s="484"/>
      <c r="E20" s="484"/>
      <c r="F20" s="504" t="s">
        <v>12</v>
      </c>
      <c r="G20" s="492" t="s">
        <v>3</v>
      </c>
      <c r="H20" s="561" t="str">
        <f>IF(AND(G20="Sim",E40=0),"     Atenção: Você deve inserir os","")</f>
        <v/>
      </c>
      <c r="I20" s="484"/>
      <c r="J20" s="484"/>
      <c r="K20" s="928" t="str">
        <f>IF($G$21="Sim","          confirma a utilização de gravimetria 'padrão Brasil'?","")</f>
        <v/>
      </c>
      <c r="L20" s="484"/>
      <c r="M20" s="484"/>
      <c r="N20" s="388"/>
      <c r="O20" s="929"/>
      <c r="P20" s="929"/>
      <c r="Q20" s="929"/>
      <c r="R20" s="929"/>
      <c r="S20" s="929"/>
      <c r="T20" s="929"/>
      <c r="U20" s="929"/>
      <c r="V20" s="3"/>
      <c r="W20" s="7"/>
      <c r="X20" s="7"/>
      <c r="Y20" s="8"/>
    </row>
    <row r="21" spans="1:25" ht="18" customHeight="1" x14ac:dyDescent="0.35">
      <c r="A21" s="85"/>
      <c r="B21" s="484"/>
      <c r="C21" s="388"/>
      <c r="D21" s="484"/>
      <c r="E21" s="484"/>
      <c r="F21" s="504" t="s">
        <v>13</v>
      </c>
      <c r="G21" s="493" t="str">
        <f>IF(G20="Não","Sim","Não")</f>
        <v>Não</v>
      </c>
      <c r="H21" s="561" t="str">
        <f>IF(AND(G20="Sim",E40=0),"  valores nas células D em verde!","")</f>
        <v/>
      </c>
      <c r="I21" s="484"/>
      <c r="J21" s="484"/>
      <c r="K21" s="929" t="str">
        <f>IF($G$21="Sim","          Se sim, continue alimentando os dados solicitados.","")</f>
        <v/>
      </c>
      <c r="L21" s="484"/>
      <c r="M21" s="484"/>
      <c r="N21" s="388"/>
      <c r="O21" s="929"/>
      <c r="P21" s="929"/>
      <c r="Q21" s="929"/>
      <c r="R21" s="929"/>
      <c r="S21" s="929"/>
      <c r="T21" s="929"/>
      <c r="U21" s="929"/>
      <c r="V21" s="3"/>
      <c r="W21" s="7"/>
      <c r="X21" s="7"/>
      <c r="Y21" s="8"/>
    </row>
    <row r="22" spans="1:25" ht="14.15" customHeight="1" x14ac:dyDescent="0.35">
      <c r="A22" s="85"/>
      <c r="B22" s="484"/>
      <c r="C22" s="388"/>
      <c r="D22" s="484"/>
      <c r="E22" s="484"/>
      <c r="F22" s="499"/>
      <c r="G22" s="87"/>
      <c r="H22" s="484"/>
      <c r="I22" s="484"/>
      <c r="J22" s="484"/>
      <c r="K22" s="929" t="str">
        <f>IF($G$21="Sim","          Se não, volte em G20 escolha 'Sim' para 'dados do usuário'.","")</f>
        <v/>
      </c>
      <c r="L22" s="484"/>
      <c r="M22" s="484"/>
      <c r="N22" s="388"/>
      <c r="O22" s="929"/>
      <c r="P22" s="929"/>
      <c r="Q22" s="929"/>
      <c r="R22" s="929"/>
      <c r="S22" s="929"/>
      <c r="T22" s="929"/>
      <c r="U22" s="929"/>
      <c r="V22" s="3"/>
      <c r="W22" s="7"/>
      <c r="X22" s="7"/>
      <c r="Y22" s="8"/>
    </row>
    <row r="23" spans="1:25" ht="21" customHeight="1" x14ac:dyDescent="0.35">
      <c r="A23" s="85"/>
      <c r="B23" s="484"/>
      <c r="C23" s="1935" t="s">
        <v>14</v>
      </c>
      <c r="D23" s="1938" t="s">
        <v>741</v>
      </c>
      <c r="E23" s="1936"/>
      <c r="F23" s="1936"/>
      <c r="G23" s="1944" t="s">
        <v>842</v>
      </c>
      <c r="H23" s="1944" t="s">
        <v>15</v>
      </c>
      <c r="I23" s="1936"/>
      <c r="J23" s="484"/>
      <c r="K23" s="484"/>
      <c r="L23" s="484"/>
      <c r="M23" s="484"/>
      <c r="N23" s="388"/>
      <c r="O23" s="929"/>
      <c r="P23" s="929"/>
      <c r="Q23" s="929"/>
      <c r="R23" s="929"/>
      <c r="S23" s="929"/>
      <c r="T23" s="929"/>
      <c r="U23" s="929"/>
      <c r="V23" s="3"/>
      <c r="W23" s="7"/>
      <c r="X23" s="7"/>
      <c r="Y23" s="8"/>
    </row>
    <row r="24" spans="1:25" ht="18.649999999999999" hidden="1" customHeight="1" x14ac:dyDescent="0.35">
      <c r="A24" s="85"/>
      <c r="B24" s="484"/>
      <c r="C24" s="1936"/>
      <c r="D24" s="1937" t="s">
        <v>16</v>
      </c>
      <c r="E24" s="1937" t="s">
        <v>17</v>
      </c>
      <c r="F24" s="1937" t="s">
        <v>18</v>
      </c>
      <c r="G24" s="1936"/>
      <c r="H24" s="1936"/>
      <c r="I24" s="1936"/>
      <c r="J24" s="484"/>
      <c r="K24" s="502"/>
      <c r="L24" s="484"/>
      <c r="M24" s="484"/>
      <c r="N24" s="388"/>
      <c r="O24" s="929"/>
      <c r="P24" s="929"/>
      <c r="Q24" s="929"/>
      <c r="R24" s="929"/>
      <c r="S24" s="929"/>
      <c r="T24" s="929"/>
      <c r="U24" s="929"/>
      <c r="V24" s="3"/>
      <c r="W24" s="7"/>
      <c r="X24" s="7"/>
      <c r="Y24" s="7"/>
    </row>
    <row r="25" spans="1:25" ht="30.65" customHeight="1" x14ac:dyDescent="0.35">
      <c r="A25" s="83"/>
      <c r="B25" s="388"/>
      <c r="C25" s="1936"/>
      <c r="D25" s="1936"/>
      <c r="E25" s="1936"/>
      <c r="F25" s="1936"/>
      <c r="G25" s="460" t="s">
        <v>19</v>
      </c>
      <c r="H25" s="454" t="s">
        <v>20</v>
      </c>
      <c r="I25" s="454" t="s">
        <v>21</v>
      </c>
      <c r="J25" s="484"/>
      <c r="K25" s="502"/>
      <c r="L25" s="484"/>
      <c r="M25" s="388"/>
      <c r="N25" s="388"/>
      <c r="O25" s="929"/>
      <c r="P25" s="929"/>
      <c r="Q25" s="929"/>
      <c r="R25" s="929"/>
      <c r="S25" s="929"/>
      <c r="T25" s="929"/>
      <c r="U25" s="929"/>
      <c r="V25" s="3"/>
      <c r="W25" s="3"/>
      <c r="X25" s="3"/>
      <c r="Y25" s="3"/>
    </row>
    <row r="26" spans="1:25" ht="18" customHeight="1" x14ac:dyDescent="0.35">
      <c r="A26" s="83"/>
      <c r="B26" s="388"/>
      <c r="C26" s="494" t="s">
        <v>22</v>
      </c>
      <c r="D26" s="927">
        <v>48.4</v>
      </c>
      <c r="E26" s="458">
        <f t="shared" ref="E26:E39" si="0">IF($G$21&lt;&gt;"Não",F26,D26)</f>
        <v>48.4</v>
      </c>
      <c r="F26" s="93">
        <v>48.4</v>
      </c>
      <c r="G26" s="96">
        <f t="shared" ref="G26:G39" si="1">$E$14*E26/100</f>
        <v>1452</v>
      </c>
      <c r="H26" s="1945">
        <f>E26+E27</f>
        <v>51.4</v>
      </c>
      <c r="I26" s="1947" t="s">
        <v>23</v>
      </c>
      <c r="J26" s="388"/>
      <c r="K26" s="388"/>
      <c r="L26" s="388"/>
      <c r="M26" s="388"/>
      <c r="N26" s="388"/>
      <c r="O26" s="929"/>
      <c r="P26" s="929"/>
      <c r="Q26" s="929"/>
      <c r="R26" s="929"/>
      <c r="S26" s="929"/>
      <c r="T26" s="929"/>
      <c r="U26" s="929"/>
      <c r="V26" s="3"/>
      <c r="W26" s="3"/>
      <c r="X26" s="3"/>
      <c r="Y26" s="3"/>
    </row>
    <row r="27" spans="1:25" ht="18" customHeight="1" x14ac:dyDescent="0.35">
      <c r="A27" s="83"/>
      <c r="B27" s="388"/>
      <c r="C27" s="494" t="s">
        <v>24</v>
      </c>
      <c r="D27" s="927">
        <v>3</v>
      </c>
      <c r="E27" s="458">
        <f t="shared" si="0"/>
        <v>3</v>
      </c>
      <c r="F27" s="93">
        <v>3</v>
      </c>
      <c r="G27" s="96">
        <f t="shared" si="1"/>
        <v>90</v>
      </c>
      <c r="H27" s="1946"/>
      <c r="I27" s="1948"/>
      <c r="J27" s="388"/>
      <c r="K27" s="388"/>
      <c r="L27" s="388"/>
      <c r="M27" s="388"/>
      <c r="N27" s="388"/>
      <c r="O27" s="929"/>
      <c r="P27" s="929"/>
      <c r="Q27" s="929"/>
      <c r="R27" s="929"/>
      <c r="S27" s="929"/>
      <c r="T27" s="929"/>
      <c r="U27" s="929"/>
      <c r="V27" s="3"/>
      <c r="W27" s="3"/>
      <c r="X27" s="3"/>
      <c r="Y27" s="3"/>
    </row>
    <row r="28" spans="1:25" ht="18" customHeight="1" x14ac:dyDescent="0.35">
      <c r="A28" s="83"/>
      <c r="B28" s="388"/>
      <c r="C28" s="494" t="s">
        <v>25</v>
      </c>
      <c r="D28" s="927">
        <v>13.1</v>
      </c>
      <c r="E28" s="458">
        <f t="shared" si="0"/>
        <v>13.1</v>
      </c>
      <c r="F28" s="93">
        <v>13.1</v>
      </c>
      <c r="G28" s="96">
        <f t="shared" si="1"/>
        <v>393</v>
      </c>
      <c r="H28" s="1945">
        <f>SUM(E28:E33)</f>
        <v>31.900000000000002</v>
      </c>
      <c r="I28" s="1947" t="s">
        <v>26</v>
      </c>
      <c r="J28" s="388"/>
      <c r="K28" s="388"/>
      <c r="L28" s="499"/>
      <c r="M28" s="388"/>
      <c r="N28" s="388"/>
      <c r="O28" s="929"/>
      <c r="P28" s="929"/>
      <c r="Q28" s="929"/>
      <c r="R28" s="929"/>
      <c r="S28" s="929"/>
      <c r="T28" s="929"/>
      <c r="U28" s="929"/>
      <c r="V28" s="3"/>
      <c r="W28" s="3"/>
      <c r="X28" s="3"/>
      <c r="Y28" s="3"/>
    </row>
    <row r="29" spans="1:25" ht="18" customHeight="1" x14ac:dyDescent="0.35">
      <c r="A29" s="83"/>
      <c r="B29" s="388"/>
      <c r="C29" s="494" t="s">
        <v>27</v>
      </c>
      <c r="D29" s="927">
        <v>8.9</v>
      </c>
      <c r="E29" s="458">
        <f t="shared" si="0"/>
        <v>8.9</v>
      </c>
      <c r="F29" s="93">
        <v>8.9</v>
      </c>
      <c r="G29" s="96">
        <f t="shared" si="1"/>
        <v>267</v>
      </c>
      <c r="H29" s="1946"/>
      <c r="I29" s="1948"/>
      <c r="J29" s="388"/>
      <c r="K29" s="388"/>
      <c r="L29" s="388"/>
      <c r="M29" s="388"/>
      <c r="N29" s="388"/>
      <c r="O29" s="929"/>
      <c r="P29" s="929"/>
      <c r="Q29" s="929"/>
      <c r="R29" s="929"/>
      <c r="S29" s="929"/>
      <c r="T29" s="929"/>
      <c r="U29" s="929"/>
      <c r="V29" s="3"/>
      <c r="W29" s="3"/>
      <c r="X29" s="3"/>
      <c r="Y29" s="3"/>
    </row>
    <row r="30" spans="1:25" ht="18" customHeight="1" x14ac:dyDescent="0.35">
      <c r="A30" s="83"/>
      <c r="B30" s="388"/>
      <c r="C30" s="494" t="s">
        <v>28</v>
      </c>
      <c r="D30" s="927">
        <v>4.5999999999999996</v>
      </c>
      <c r="E30" s="458">
        <f t="shared" si="0"/>
        <v>4.5999999999999996</v>
      </c>
      <c r="F30" s="93">
        <v>4.5999999999999996</v>
      </c>
      <c r="G30" s="96">
        <f t="shared" si="1"/>
        <v>137.99999999999997</v>
      </c>
      <c r="H30" s="1946"/>
      <c r="I30" s="1948"/>
      <c r="J30" s="388"/>
      <c r="K30" s="388"/>
      <c r="L30" s="388"/>
      <c r="M30" s="388"/>
      <c r="N30" s="388"/>
      <c r="O30" s="929"/>
      <c r="P30" s="929"/>
      <c r="Q30" s="929"/>
      <c r="R30" s="929"/>
      <c r="S30" s="929"/>
      <c r="T30" s="929"/>
      <c r="U30" s="929"/>
      <c r="V30" s="3"/>
      <c r="W30" s="3"/>
      <c r="X30" s="3"/>
      <c r="Y30" s="3"/>
    </row>
    <row r="31" spans="1:25" ht="18" customHeight="1" x14ac:dyDescent="0.35">
      <c r="A31" s="83"/>
      <c r="B31" s="388"/>
      <c r="C31" s="494" t="s">
        <v>29</v>
      </c>
      <c r="D31" s="927">
        <v>2.4</v>
      </c>
      <c r="E31" s="458">
        <f t="shared" si="0"/>
        <v>2.4</v>
      </c>
      <c r="F31" s="93">
        <v>2.4</v>
      </c>
      <c r="G31" s="96">
        <f t="shared" si="1"/>
        <v>72</v>
      </c>
      <c r="H31" s="1946"/>
      <c r="I31" s="1948"/>
      <c r="J31" s="388"/>
      <c r="K31" s="388"/>
      <c r="L31" s="388"/>
      <c r="M31" s="388"/>
      <c r="N31" s="388"/>
      <c r="O31" s="929"/>
      <c r="P31" s="929"/>
      <c r="Q31" s="929"/>
      <c r="R31" s="929"/>
      <c r="S31" s="929"/>
      <c r="T31" s="929"/>
      <c r="U31" s="929"/>
      <c r="V31" s="3"/>
      <c r="W31" s="3"/>
      <c r="X31" s="3"/>
      <c r="Y31" s="3"/>
    </row>
    <row r="32" spans="1:25" ht="18" customHeight="1" x14ac:dyDescent="0.35">
      <c r="A32" s="83"/>
      <c r="B32" s="388"/>
      <c r="C32" s="494" t="s">
        <v>30</v>
      </c>
      <c r="D32" s="927">
        <v>2.2999999999999998</v>
      </c>
      <c r="E32" s="458">
        <f t="shared" si="0"/>
        <v>2.2999999999999998</v>
      </c>
      <c r="F32" s="93">
        <v>2.2999999999999998</v>
      </c>
      <c r="G32" s="96">
        <f t="shared" si="1"/>
        <v>68.999999999999986</v>
      </c>
      <c r="H32" s="1946"/>
      <c r="I32" s="1948"/>
      <c r="J32" s="388"/>
      <c r="K32" s="388"/>
      <c r="L32" s="388"/>
      <c r="M32" s="388"/>
      <c r="N32" s="388"/>
      <c r="O32" s="929"/>
      <c r="P32" s="929"/>
      <c r="Q32" s="929"/>
      <c r="R32" s="929"/>
      <c r="S32" s="929"/>
      <c r="T32" s="929"/>
      <c r="U32" s="929"/>
      <c r="V32" s="3"/>
      <c r="W32" s="3"/>
      <c r="X32" s="3"/>
      <c r="Y32" s="3"/>
    </row>
    <row r="33" spans="1:25" ht="18" customHeight="1" x14ac:dyDescent="0.35">
      <c r="A33" s="83"/>
      <c r="B33" s="388"/>
      <c r="C33" s="494" t="s">
        <v>31</v>
      </c>
      <c r="D33" s="927">
        <v>0.6</v>
      </c>
      <c r="E33" s="458">
        <f t="shared" si="0"/>
        <v>0.6</v>
      </c>
      <c r="F33" s="93">
        <v>0.6</v>
      </c>
      <c r="G33" s="96">
        <f t="shared" si="1"/>
        <v>18</v>
      </c>
      <c r="H33" s="1946"/>
      <c r="I33" s="1948"/>
      <c r="J33" s="388"/>
      <c r="K33" s="388"/>
      <c r="L33" s="388"/>
      <c r="M33" s="388"/>
      <c r="N33" s="388"/>
      <c r="O33" s="929"/>
      <c r="P33" s="929"/>
      <c r="Q33" s="929"/>
      <c r="R33" s="929"/>
      <c r="S33" s="929"/>
      <c r="T33" s="929"/>
      <c r="U33" s="929"/>
      <c r="V33" s="3"/>
      <c r="W33" s="3"/>
      <c r="X33" s="3"/>
      <c r="Y33" s="3"/>
    </row>
    <row r="34" spans="1:25" ht="18" customHeight="1" x14ac:dyDescent="0.35">
      <c r="A34" s="83"/>
      <c r="B34" s="388"/>
      <c r="C34" s="494" t="s">
        <v>32</v>
      </c>
      <c r="D34" s="927">
        <v>2.6</v>
      </c>
      <c r="E34" s="458">
        <f t="shared" si="0"/>
        <v>2.6</v>
      </c>
      <c r="F34" s="93">
        <v>2.6</v>
      </c>
      <c r="G34" s="96">
        <f t="shared" si="1"/>
        <v>78</v>
      </c>
      <c r="H34" s="1945">
        <f>SUM(E34:E37)</f>
        <v>12</v>
      </c>
      <c r="I34" s="1952" t="s">
        <v>33</v>
      </c>
      <c r="J34" s="388"/>
      <c r="K34" s="388"/>
      <c r="L34" s="388"/>
      <c r="M34" s="388"/>
      <c r="N34" s="388"/>
      <c r="O34" s="929"/>
      <c r="P34" s="929"/>
      <c r="Q34" s="929"/>
      <c r="R34" s="929"/>
      <c r="S34" s="929"/>
      <c r="T34" s="929"/>
      <c r="U34" s="929"/>
      <c r="V34" s="3"/>
      <c r="W34" s="3"/>
      <c r="X34" s="3"/>
      <c r="Y34" s="3"/>
    </row>
    <row r="35" spans="1:25" ht="18" customHeight="1" x14ac:dyDescent="0.35">
      <c r="A35" s="83"/>
      <c r="B35" s="388"/>
      <c r="C35" s="494" t="s">
        <v>34</v>
      </c>
      <c r="D35" s="927">
        <v>0.7</v>
      </c>
      <c r="E35" s="458">
        <f t="shared" si="0"/>
        <v>0.7</v>
      </c>
      <c r="F35" s="93">
        <v>0.7</v>
      </c>
      <c r="G35" s="96">
        <f t="shared" si="1"/>
        <v>21</v>
      </c>
      <c r="H35" s="1946"/>
      <c r="I35" s="1948"/>
      <c r="J35" s="388"/>
      <c r="K35" s="388"/>
      <c r="L35" s="388"/>
      <c r="M35" s="503"/>
      <c r="N35" s="388"/>
      <c r="O35" s="929"/>
      <c r="P35" s="929"/>
      <c r="Q35" s="929"/>
      <c r="R35" s="929"/>
      <c r="S35" s="929"/>
      <c r="T35" s="929"/>
      <c r="U35" s="929"/>
      <c r="V35" s="3"/>
      <c r="W35" s="3"/>
      <c r="X35" s="3"/>
      <c r="Y35" s="3"/>
    </row>
    <row r="36" spans="1:25" ht="18" customHeight="1" x14ac:dyDescent="0.35">
      <c r="A36" s="83"/>
      <c r="B36" s="388"/>
      <c r="C36" s="494" t="s">
        <v>35</v>
      </c>
      <c r="D36" s="927">
        <v>4</v>
      </c>
      <c r="E36" s="458">
        <f t="shared" si="0"/>
        <v>4</v>
      </c>
      <c r="F36" s="93">
        <v>4</v>
      </c>
      <c r="G36" s="96">
        <f t="shared" si="1"/>
        <v>120</v>
      </c>
      <c r="H36" s="1946"/>
      <c r="I36" s="1948"/>
      <c r="J36" s="388"/>
      <c r="K36" s="388"/>
      <c r="L36" s="388"/>
      <c r="M36" s="388"/>
      <c r="N36" s="388"/>
      <c r="O36" s="929"/>
      <c r="P36" s="929"/>
      <c r="Q36" s="929"/>
      <c r="R36" s="929"/>
      <c r="S36" s="929"/>
      <c r="T36" s="929"/>
      <c r="U36" s="929"/>
      <c r="V36" s="3"/>
      <c r="W36" s="3"/>
      <c r="X36" s="3"/>
      <c r="Y36" s="3"/>
    </row>
    <row r="37" spans="1:25" ht="18" customHeight="1" x14ac:dyDescent="0.35">
      <c r="A37" s="83"/>
      <c r="B37" s="388"/>
      <c r="C37" s="494" t="s">
        <v>36</v>
      </c>
      <c r="D37" s="927">
        <v>4.7</v>
      </c>
      <c r="E37" s="458">
        <f t="shared" si="0"/>
        <v>4.7</v>
      </c>
      <c r="F37" s="93">
        <v>4.7</v>
      </c>
      <c r="G37" s="96">
        <f t="shared" si="1"/>
        <v>141</v>
      </c>
      <c r="H37" s="1946"/>
      <c r="I37" s="1948"/>
      <c r="J37" s="388"/>
      <c r="K37" s="388"/>
      <c r="L37" s="388"/>
      <c r="M37" s="388"/>
      <c r="N37" s="388"/>
      <c r="O37" s="929"/>
      <c r="P37" s="929"/>
      <c r="Q37" s="929"/>
      <c r="R37" s="929"/>
      <c r="S37" s="929"/>
      <c r="T37" s="929"/>
      <c r="U37" s="929"/>
      <c r="V37" s="3"/>
      <c r="W37" s="3"/>
      <c r="X37" s="3"/>
      <c r="Y37" s="3"/>
    </row>
    <row r="38" spans="1:25" ht="18" customHeight="1" x14ac:dyDescent="0.35">
      <c r="A38" s="83"/>
      <c r="B38" s="388"/>
      <c r="C38" s="494" t="s">
        <v>37</v>
      </c>
      <c r="D38" s="927">
        <v>0</v>
      </c>
      <c r="E38" s="458">
        <f t="shared" si="0"/>
        <v>0</v>
      </c>
      <c r="F38" s="93">
        <v>0</v>
      </c>
      <c r="G38" s="96">
        <f t="shared" si="1"/>
        <v>0</v>
      </c>
      <c r="H38" s="1945">
        <f>SUM(E38:E39)</f>
        <v>4.7</v>
      </c>
      <c r="I38" s="1952" t="s">
        <v>38</v>
      </c>
      <c r="J38" s="388"/>
      <c r="K38" s="388"/>
      <c r="L38" s="388"/>
      <c r="M38" s="388"/>
      <c r="N38" s="388"/>
      <c r="O38" s="929"/>
      <c r="P38" s="929"/>
      <c r="Q38" s="929"/>
      <c r="R38" s="929"/>
      <c r="S38" s="929"/>
      <c r="T38" s="929"/>
      <c r="U38" s="929"/>
      <c r="V38" s="3"/>
      <c r="W38" s="3"/>
      <c r="X38" s="3"/>
      <c r="Y38" s="3"/>
    </row>
    <row r="39" spans="1:25" ht="18" customHeight="1" x14ac:dyDescent="0.35">
      <c r="A39" s="83"/>
      <c r="B39" s="388"/>
      <c r="C39" s="494" t="s">
        <v>39</v>
      </c>
      <c r="D39" s="927">
        <v>4.7</v>
      </c>
      <c r="E39" s="458">
        <f t="shared" si="0"/>
        <v>4.7</v>
      </c>
      <c r="F39" s="93">
        <v>4.7</v>
      </c>
      <c r="G39" s="96">
        <f t="shared" si="1"/>
        <v>141</v>
      </c>
      <c r="H39" s="1946"/>
      <c r="I39" s="1948"/>
      <c r="J39" s="388"/>
      <c r="K39" s="388"/>
      <c r="L39" s="388"/>
      <c r="M39" s="388"/>
      <c r="N39" s="388"/>
      <c r="O39" s="929"/>
      <c r="P39" s="929"/>
      <c r="Q39" s="929"/>
      <c r="R39" s="929"/>
      <c r="S39" s="929"/>
      <c r="T39" s="929"/>
      <c r="U39" s="929"/>
      <c r="V39" s="3"/>
      <c r="W39" s="3"/>
      <c r="X39" s="3"/>
      <c r="Y39" s="3"/>
    </row>
    <row r="40" spans="1:25" ht="17.899999999999999" customHeight="1" x14ac:dyDescent="0.35">
      <c r="A40" s="83"/>
      <c r="B40" s="388"/>
      <c r="C40" s="495" t="s">
        <v>40</v>
      </c>
      <c r="D40" s="94">
        <f t="shared" ref="D40:H40" si="2">SUM(D26:D39)</f>
        <v>100</v>
      </c>
      <c r="E40" s="94">
        <f t="shared" si="2"/>
        <v>100</v>
      </c>
      <c r="F40" s="94">
        <f t="shared" si="2"/>
        <v>100</v>
      </c>
      <c r="G40" s="95">
        <f t="shared" si="2"/>
        <v>3000</v>
      </c>
      <c r="H40" s="97">
        <f t="shared" si="2"/>
        <v>100</v>
      </c>
      <c r="I40" s="90"/>
      <c r="J40" s="388"/>
      <c r="K40" s="388"/>
      <c r="L40" s="388"/>
      <c r="M40" s="388"/>
      <c r="N40" s="388"/>
      <c r="O40" s="929"/>
      <c r="P40" s="929"/>
      <c r="Q40" s="929"/>
      <c r="R40" s="929"/>
      <c r="S40" s="929"/>
      <c r="T40" s="929"/>
      <c r="U40" s="929"/>
      <c r="V40" s="3"/>
      <c r="W40" s="3"/>
      <c r="X40" s="3"/>
      <c r="Y40" s="3"/>
    </row>
    <row r="41" spans="1:25" ht="25.4" customHeight="1" x14ac:dyDescent="0.35">
      <c r="A41" s="83"/>
      <c r="B41" s="388"/>
      <c r="C41" s="388"/>
      <c r="D41" s="926" t="str">
        <f>IF(AND(AND(G20="Sim",SUM(D26:D39)&lt;&gt;100)*(SUM(D26:D39)&lt;&gt;0))," Atenção: O total deve fechar 100%"," ")</f>
        <v xml:space="preserve"> </v>
      </c>
      <c r="E41" s="388"/>
      <c r="F41" s="388"/>
      <c r="G41" s="388"/>
      <c r="H41" s="388"/>
      <c r="I41" s="388"/>
      <c r="J41" s="388"/>
      <c r="K41" s="388"/>
      <c r="L41" s="487"/>
      <c r="M41" s="388"/>
      <c r="N41" s="388"/>
      <c r="O41" s="929"/>
      <c r="P41" s="929"/>
      <c r="Q41" s="929"/>
      <c r="R41" s="929"/>
      <c r="S41" s="929"/>
      <c r="T41" s="929"/>
      <c r="U41" s="929"/>
      <c r="V41" s="3"/>
      <c r="W41" s="3"/>
      <c r="X41" s="3"/>
      <c r="Y41" s="3"/>
    </row>
    <row r="42" spans="1:25" ht="24.65" customHeight="1" x14ac:dyDescent="0.35">
      <c r="A42" s="482"/>
      <c r="B42" s="482"/>
      <c r="C42" s="496" t="s">
        <v>41</v>
      </c>
      <c r="D42" s="497"/>
      <c r="E42" s="498"/>
      <c r="F42" s="388"/>
      <c r="G42" s="388"/>
      <c r="H42" s="388"/>
      <c r="I42" s="388"/>
      <c r="J42" s="388"/>
      <c r="K42" s="388"/>
      <c r="L42" s="487"/>
      <c r="M42" s="388"/>
      <c r="N42" s="388"/>
      <c r="O42" s="929"/>
      <c r="P42" s="929"/>
      <c r="Q42" s="929"/>
      <c r="R42" s="929"/>
      <c r="S42" s="929"/>
      <c r="T42" s="929"/>
      <c r="U42" s="929"/>
      <c r="V42" s="3"/>
      <c r="W42" s="3"/>
      <c r="X42" s="3"/>
      <c r="Y42" s="3"/>
    </row>
    <row r="43" spans="1:25" ht="18" customHeight="1" x14ac:dyDescent="0.35">
      <c r="A43" s="83"/>
      <c r="B43" s="388"/>
      <c r="C43" s="505"/>
      <c r="D43" s="460" t="s">
        <v>42</v>
      </c>
      <c r="E43" s="460" t="s">
        <v>19</v>
      </c>
      <c r="F43" s="388"/>
      <c r="G43" s="388"/>
      <c r="H43" s="388"/>
      <c r="I43" s="388"/>
      <c r="J43" s="388"/>
      <c r="K43" s="388"/>
      <c r="L43" s="487"/>
      <c r="M43" s="388"/>
      <c r="N43" s="388"/>
      <c r="O43" s="929"/>
      <c r="P43" s="929"/>
      <c r="Q43" s="929"/>
      <c r="R43" s="929"/>
      <c r="S43" s="929"/>
      <c r="T43" s="929"/>
      <c r="U43" s="929"/>
      <c r="V43" s="3"/>
      <c r="W43" s="3"/>
      <c r="X43" s="3"/>
      <c r="Y43" s="3"/>
    </row>
    <row r="44" spans="1:25" ht="17.149999999999999" customHeight="1" x14ac:dyDescent="0.35">
      <c r="A44" s="83"/>
      <c r="B44" s="388"/>
      <c r="C44" s="230" t="s">
        <v>43</v>
      </c>
      <c r="D44" s="99">
        <v>15</v>
      </c>
      <c r="E44" s="506">
        <f>E14*D44/100</f>
        <v>450</v>
      </c>
      <c r="F44" s="930" t="str">
        <f>IF(D44&gt;H28,"    Rever este valor que está maior que recicláveis disponíveis em H28.","")</f>
        <v/>
      </c>
      <c r="G44" s="388"/>
      <c r="H44" s="388"/>
      <c r="I44" s="500"/>
      <c r="J44" s="388"/>
      <c r="K44" s="388"/>
      <c r="L44" s="487"/>
      <c r="M44" s="388"/>
      <c r="N44" s="388"/>
      <c r="O44" s="929"/>
      <c r="P44" s="929"/>
      <c r="Q44" s="929"/>
      <c r="R44" s="929"/>
      <c r="S44" s="929"/>
      <c r="T44" s="929"/>
      <c r="U44" s="929"/>
      <c r="V44" s="3"/>
      <c r="W44" s="3"/>
      <c r="X44" s="3"/>
      <c r="Y44" s="3"/>
    </row>
    <row r="45" spans="1:25" ht="17.149999999999999" customHeight="1" x14ac:dyDescent="0.35">
      <c r="A45" s="83"/>
      <c r="B45" s="388"/>
      <c r="C45" s="230" t="s">
        <v>44</v>
      </c>
      <c r="D45" s="99">
        <v>5</v>
      </c>
      <c r="E45" s="506">
        <f>E14*D45/100</f>
        <v>150</v>
      </c>
      <c r="F45" s="930" t="str">
        <f>IF(D45&gt;H26,"    Rever este valor que está maior que orgânicos disponíveis em H26.","")</f>
        <v/>
      </c>
      <c r="G45" s="388"/>
      <c r="H45" s="388"/>
      <c r="I45" s="500"/>
      <c r="J45" s="388"/>
      <c r="K45" s="388"/>
      <c r="L45" s="487"/>
      <c r="M45" s="388"/>
      <c r="N45" s="388"/>
      <c r="O45" s="929"/>
      <c r="P45" s="929"/>
      <c r="Q45" s="929"/>
      <c r="R45" s="929"/>
      <c r="S45" s="929"/>
      <c r="T45" s="929"/>
      <c r="U45" s="929"/>
      <c r="V45" s="3"/>
      <c r="W45" s="3"/>
      <c r="X45" s="3"/>
      <c r="Y45" s="3"/>
    </row>
    <row r="46" spans="1:25" ht="17.149999999999999" customHeight="1" x14ac:dyDescent="0.35">
      <c r="A46" s="83"/>
      <c r="B46" s="388"/>
      <c r="C46" s="230" t="s">
        <v>45</v>
      </c>
      <c r="D46" s="458">
        <f>100-(D44+D45)</f>
        <v>80</v>
      </c>
      <c r="E46" s="506">
        <f>E14*D46/100</f>
        <v>2400</v>
      </c>
      <c r="F46" s="388"/>
      <c r="G46" s="388"/>
      <c r="H46" s="388"/>
      <c r="I46" s="388"/>
      <c r="J46" s="388"/>
      <c r="K46" s="388"/>
      <c r="L46" s="487"/>
      <c r="M46" s="388"/>
      <c r="N46" s="388"/>
      <c r="O46" s="929"/>
      <c r="P46" s="929"/>
      <c r="Q46" s="929"/>
      <c r="R46" s="929"/>
      <c r="S46" s="929"/>
      <c r="T46" s="929"/>
      <c r="U46" s="929"/>
      <c r="V46" s="3"/>
      <c r="W46" s="3"/>
      <c r="X46" s="3"/>
      <c r="Y46" s="3"/>
    </row>
    <row r="47" spans="1:25" ht="17.149999999999999" customHeight="1" x14ac:dyDescent="0.35">
      <c r="A47" s="83"/>
      <c r="B47" s="388"/>
      <c r="C47" s="230" t="s">
        <v>510</v>
      </c>
      <c r="D47" s="92">
        <f t="shared" ref="D47:E47" si="3">SUM(D44:D46)</f>
        <v>100</v>
      </c>
      <c r="E47" s="506">
        <f t="shared" si="3"/>
        <v>3000</v>
      </c>
      <c r="F47" s="388"/>
      <c r="G47" s="388"/>
      <c r="H47" s="388"/>
      <c r="I47" s="388"/>
      <c r="J47" s="388"/>
      <c r="K47" s="388"/>
      <c r="L47" s="487"/>
      <c r="M47" s="388"/>
      <c r="N47" s="388"/>
      <c r="O47" s="929"/>
      <c r="P47" s="929"/>
      <c r="Q47" s="929"/>
      <c r="R47" s="929"/>
      <c r="S47" s="929"/>
      <c r="T47" s="929"/>
      <c r="U47" s="929"/>
      <c r="V47" s="3"/>
      <c r="W47" s="3"/>
      <c r="X47" s="3"/>
      <c r="Y47" s="3"/>
    </row>
    <row r="48" spans="1:25" ht="25.4" customHeight="1" x14ac:dyDescent="0.35">
      <c r="A48" s="83"/>
      <c r="B48" s="388"/>
      <c r="C48" s="388"/>
      <c r="D48" s="485"/>
      <c r="E48" s="485"/>
      <c r="F48" s="388"/>
      <c r="G48" s="388"/>
      <c r="H48" s="388"/>
      <c r="I48" s="388"/>
      <c r="J48" s="388"/>
      <c r="K48" s="388"/>
      <c r="L48" s="487"/>
      <c r="M48" s="388"/>
      <c r="N48" s="388"/>
      <c r="O48" s="929"/>
      <c r="P48" s="929"/>
      <c r="Q48" s="929"/>
      <c r="R48" s="929"/>
      <c r="S48" s="929"/>
      <c r="T48" s="929"/>
      <c r="U48" s="929"/>
      <c r="V48" s="3"/>
      <c r="W48" s="3"/>
      <c r="X48" s="3"/>
      <c r="Y48" s="3"/>
    </row>
    <row r="49" spans="1:25" ht="25.4" customHeight="1" x14ac:dyDescent="0.35">
      <c r="A49" s="483"/>
      <c r="B49" s="483"/>
      <c r="C49" s="496" t="s">
        <v>511</v>
      </c>
      <c r="D49" s="507"/>
      <c r="E49" s="507"/>
      <c r="F49" s="507"/>
      <c r="G49" s="507"/>
      <c r="H49" s="507"/>
      <c r="I49" s="507"/>
      <c r="J49" s="507"/>
      <c r="K49" s="507"/>
      <c r="L49" s="507"/>
      <c r="M49" s="507"/>
      <c r="N49" s="508"/>
      <c r="O49" s="929"/>
      <c r="P49" s="929"/>
      <c r="Q49" s="929"/>
      <c r="R49" s="929"/>
      <c r="S49" s="929"/>
      <c r="T49" s="929"/>
      <c r="U49" s="929"/>
      <c r="V49" s="3"/>
      <c r="W49" s="3"/>
      <c r="X49" s="3"/>
      <c r="Y49" s="3"/>
    </row>
    <row r="50" spans="1:25" ht="6" customHeight="1" x14ac:dyDescent="0.35">
      <c r="A50" s="388"/>
      <c r="B50" s="388"/>
      <c r="C50" s="509"/>
      <c r="D50" s="379"/>
      <c r="E50" s="379"/>
      <c r="F50" s="379"/>
      <c r="G50" s="379"/>
      <c r="H50" s="380"/>
      <c r="I50" s="379"/>
      <c r="J50" s="379"/>
      <c r="K50" s="379"/>
      <c r="L50" s="379"/>
      <c r="M50" s="381"/>
      <c r="N50" s="510"/>
      <c r="O50" s="929"/>
      <c r="P50" s="929"/>
      <c r="Q50" s="929"/>
      <c r="R50" s="929"/>
      <c r="S50" s="929"/>
      <c r="T50" s="929"/>
      <c r="U50" s="929"/>
      <c r="V50" s="3"/>
      <c r="W50" s="3"/>
      <c r="X50" s="3"/>
      <c r="Y50" s="3"/>
    </row>
    <row r="51" spans="1:25" ht="22.5" customHeight="1" x14ac:dyDescent="0.35">
      <c r="A51" s="83"/>
      <c r="B51" s="388"/>
      <c r="C51" s="1956" t="s">
        <v>46</v>
      </c>
      <c r="D51" s="1954" t="s">
        <v>512</v>
      </c>
      <c r="E51" s="1955"/>
      <c r="F51" s="1955"/>
      <c r="G51" s="1955"/>
      <c r="H51" s="1955"/>
      <c r="I51" s="1955"/>
      <c r="J51" s="1955"/>
      <c r="K51" s="1955"/>
      <c r="L51" s="1955"/>
      <c r="M51" s="1955"/>
      <c r="N51" s="1955"/>
      <c r="O51" s="929"/>
      <c r="P51" s="929"/>
      <c r="Q51" s="929"/>
      <c r="R51" s="929"/>
      <c r="S51" s="929"/>
      <c r="T51" s="929"/>
      <c r="U51" s="929"/>
      <c r="V51" s="3"/>
      <c r="W51" s="3"/>
      <c r="X51" s="3"/>
      <c r="Y51" s="3"/>
    </row>
    <row r="52" spans="1:25" ht="18" customHeight="1" x14ac:dyDescent="0.35">
      <c r="A52" s="83"/>
      <c r="B52" s="388"/>
      <c r="C52" s="1943"/>
      <c r="D52" s="1942" t="s">
        <v>23</v>
      </c>
      <c r="E52" s="1943"/>
      <c r="F52" s="1957" t="s">
        <v>47</v>
      </c>
      <c r="G52" s="1942" t="s">
        <v>476</v>
      </c>
      <c r="H52" s="1943"/>
      <c r="I52" s="1942" t="s">
        <v>477</v>
      </c>
      <c r="J52" s="1942" t="s">
        <v>50</v>
      </c>
      <c r="K52" s="1943"/>
      <c r="L52" s="1942" t="s">
        <v>478</v>
      </c>
      <c r="M52" s="1953"/>
      <c r="N52" s="1951" t="s">
        <v>51</v>
      </c>
      <c r="O52" s="929"/>
      <c r="P52" s="929"/>
      <c r="Q52" s="929"/>
      <c r="R52" s="929"/>
      <c r="S52" s="929"/>
      <c r="T52" s="929"/>
      <c r="U52" s="929"/>
      <c r="V52" s="3"/>
      <c r="W52" s="3"/>
      <c r="X52" s="3"/>
      <c r="Y52" s="3"/>
    </row>
    <row r="53" spans="1:25" ht="31.4" customHeight="1" x14ac:dyDescent="0.35">
      <c r="A53" s="83"/>
      <c r="B53" s="388"/>
      <c r="C53" s="1943"/>
      <c r="D53" s="456" t="s">
        <v>52</v>
      </c>
      <c r="E53" s="456" t="s">
        <v>53</v>
      </c>
      <c r="F53" s="1943"/>
      <c r="G53" s="456" t="s">
        <v>54</v>
      </c>
      <c r="H53" s="456" t="s">
        <v>55</v>
      </c>
      <c r="I53" s="1943"/>
      <c r="J53" s="456" t="s">
        <v>56</v>
      </c>
      <c r="K53" s="456" t="s">
        <v>514</v>
      </c>
      <c r="L53" s="456" t="s">
        <v>479</v>
      </c>
      <c r="M53" s="457" t="s">
        <v>513</v>
      </c>
      <c r="N53" s="1943"/>
      <c r="O53" s="929"/>
      <c r="P53" s="929"/>
      <c r="Q53" s="929"/>
      <c r="R53" s="929"/>
      <c r="S53" s="929"/>
      <c r="T53" s="929"/>
      <c r="U53" s="929"/>
      <c r="V53" s="3"/>
      <c r="W53" s="3"/>
      <c r="X53" s="3"/>
      <c r="Y53" s="3"/>
    </row>
    <row r="54" spans="1:25" ht="18" customHeight="1" x14ac:dyDescent="0.35">
      <c r="A54" s="83"/>
      <c r="B54" s="388"/>
      <c r="C54" s="230" t="s">
        <v>196</v>
      </c>
      <c r="D54" s="100"/>
      <c r="E54" s="100"/>
      <c r="F54" s="102">
        <f>IF($H$28&gt;0,E28/$H$28*$E$44,0)</f>
        <v>184.79623824451409</v>
      </c>
      <c r="G54" s="102">
        <f>IF($H$28&gt;0,E29/$H$28*$E$44,0)</f>
        <v>125.54858934169279</v>
      </c>
      <c r="H54" s="102">
        <f>IF($H$28&gt;0,E30/$H$28*$E$44,0)</f>
        <v>64.890282131661436</v>
      </c>
      <c r="I54" s="102">
        <f>IF($H$28&gt;0,E31/$H$28*$E$44,0)</f>
        <v>33.855799373040746</v>
      </c>
      <c r="J54" s="102">
        <f>IF($H$28&gt;0,E32/$H$28*$E$44,0)</f>
        <v>32.445141065830718</v>
      </c>
      <c r="K54" s="102">
        <f>IF($H$28&gt;0,E33/$H$28*$E$44,0)</f>
        <v>8.4639498432601865</v>
      </c>
      <c r="L54" s="100"/>
      <c r="M54" s="100"/>
      <c r="N54" s="102">
        <f>SUM(F54:K54)</f>
        <v>449.99999999999994</v>
      </c>
      <c r="O54" s="929"/>
      <c r="P54" s="929"/>
      <c r="Q54" s="929"/>
      <c r="R54" s="929"/>
      <c r="S54" s="929"/>
      <c r="T54" s="929"/>
      <c r="U54" s="929"/>
      <c r="V54" s="3"/>
      <c r="W54" s="3"/>
      <c r="X54" s="3"/>
      <c r="Y54" s="3"/>
    </row>
    <row r="55" spans="1:25" ht="18" customHeight="1" x14ac:dyDescent="0.35">
      <c r="A55" s="83"/>
      <c r="B55" s="388"/>
      <c r="C55" s="230" t="s">
        <v>57</v>
      </c>
      <c r="D55" s="102">
        <f>IF(E26&gt;0,E45*E26/(E26+E27),0)</f>
        <v>141.24513618677042</v>
      </c>
      <c r="E55" s="102">
        <f>IF(E27&gt;0,E45*E27/(E26+E27),0)</f>
        <v>8.7548638132295729</v>
      </c>
      <c r="F55" s="100"/>
      <c r="G55" s="100"/>
      <c r="H55" s="100"/>
      <c r="I55" s="100"/>
      <c r="J55" s="100"/>
      <c r="K55" s="100"/>
      <c r="L55" s="100"/>
      <c r="M55" s="101"/>
      <c r="N55" s="102">
        <f>SUM(D55:E55)</f>
        <v>150</v>
      </c>
      <c r="O55" s="929"/>
      <c r="P55" s="929"/>
      <c r="Q55" s="929"/>
      <c r="R55" s="929"/>
      <c r="S55" s="929"/>
      <c r="T55" s="929"/>
      <c r="U55" s="929"/>
      <c r="V55" s="3"/>
      <c r="W55" s="3"/>
      <c r="X55" s="3"/>
      <c r="Y55" s="3"/>
    </row>
    <row r="56" spans="1:25" ht="18" customHeight="1" x14ac:dyDescent="0.35">
      <c r="A56" s="83"/>
      <c r="B56" s="388"/>
      <c r="C56" s="230" t="s">
        <v>475</v>
      </c>
      <c r="D56" s="102">
        <f>G26-D55</f>
        <v>1310.7548638132296</v>
      </c>
      <c r="E56" s="102">
        <f>G27-E55</f>
        <v>81.245136186770424</v>
      </c>
      <c r="F56" s="102">
        <f>G28-F54</f>
        <v>208.20376175548591</v>
      </c>
      <c r="G56" s="102">
        <f>G29-G54</f>
        <v>141.45141065830722</v>
      </c>
      <c r="H56" s="102">
        <f>G30-H54</f>
        <v>73.109717868338535</v>
      </c>
      <c r="I56" s="102">
        <f>G31-I54</f>
        <v>38.144200626959254</v>
      </c>
      <c r="J56" s="102">
        <f>G32-J54</f>
        <v>36.554858934169268</v>
      </c>
      <c r="K56" s="102">
        <f>G33-K54</f>
        <v>9.5360501567398135</v>
      </c>
      <c r="L56" s="102">
        <f>SUM(G34:G37)</f>
        <v>360</v>
      </c>
      <c r="M56" s="102">
        <f>SUM(G38:G39)</f>
        <v>141</v>
      </c>
      <c r="N56" s="102">
        <f>SUM(D56:M56)</f>
        <v>2400</v>
      </c>
      <c r="O56" s="929"/>
      <c r="P56" s="929"/>
      <c r="Q56" s="929"/>
      <c r="R56" s="929"/>
      <c r="S56" s="929"/>
      <c r="T56" s="929"/>
      <c r="U56" s="929"/>
      <c r="V56" s="3"/>
      <c r="W56" s="3"/>
      <c r="X56" s="3"/>
      <c r="Y56" s="3"/>
    </row>
    <row r="57" spans="1:25" ht="18" customHeight="1" x14ac:dyDescent="0.35">
      <c r="A57" s="83"/>
      <c r="B57" s="388"/>
      <c r="C57" s="230" t="s">
        <v>51</v>
      </c>
      <c r="D57" s="102">
        <f t="shared" ref="D57:E57" si="4">SUM(D55:D56)</f>
        <v>1452</v>
      </c>
      <c r="E57" s="102">
        <f t="shared" si="4"/>
        <v>90</v>
      </c>
      <c r="F57" s="102">
        <f t="shared" ref="F57:L57" si="5">SUM(F54:F56)</f>
        <v>393</v>
      </c>
      <c r="G57" s="102">
        <f t="shared" si="5"/>
        <v>267</v>
      </c>
      <c r="H57" s="102">
        <f t="shared" si="5"/>
        <v>137.99999999999997</v>
      </c>
      <c r="I57" s="102">
        <f t="shared" si="5"/>
        <v>72</v>
      </c>
      <c r="J57" s="102">
        <f t="shared" si="5"/>
        <v>68.999999999999986</v>
      </c>
      <c r="K57" s="102">
        <f t="shared" si="5"/>
        <v>18</v>
      </c>
      <c r="L57" s="102">
        <f t="shared" si="5"/>
        <v>360</v>
      </c>
      <c r="M57" s="102">
        <f>M56</f>
        <v>141</v>
      </c>
      <c r="N57" s="102">
        <f>SUM(N54:N56)</f>
        <v>3000</v>
      </c>
      <c r="O57" s="929"/>
      <c r="P57" s="929"/>
      <c r="Q57" s="929"/>
      <c r="R57" s="929"/>
      <c r="S57" s="929"/>
      <c r="T57" s="929"/>
      <c r="U57" s="929"/>
      <c r="V57" s="3"/>
      <c r="W57" s="3"/>
      <c r="X57" s="3"/>
      <c r="Y57" s="3"/>
    </row>
    <row r="58" spans="1:25" ht="12.75" customHeight="1" x14ac:dyDescent="0.35">
      <c r="A58" s="929"/>
      <c r="B58" s="929"/>
      <c r="C58" s="929"/>
      <c r="D58" s="929"/>
      <c r="E58" s="929"/>
      <c r="F58" s="929"/>
      <c r="G58" s="929"/>
      <c r="H58" s="929"/>
      <c r="I58" s="929"/>
      <c r="J58" s="929"/>
      <c r="K58" s="929"/>
      <c r="L58" s="929"/>
      <c r="M58" s="929"/>
      <c r="N58" s="929"/>
      <c r="O58" s="929"/>
      <c r="P58" s="929"/>
      <c r="Q58" s="929"/>
      <c r="R58" s="929"/>
      <c r="S58" s="929"/>
      <c r="T58" s="929"/>
      <c r="U58" s="929"/>
      <c r="V58" s="3"/>
      <c r="W58" s="3"/>
      <c r="X58" s="3"/>
      <c r="Y58" s="3"/>
    </row>
    <row r="59" spans="1:25" ht="12.75" customHeight="1" x14ac:dyDescent="0.35">
      <c r="A59" s="929"/>
      <c r="B59" s="929"/>
      <c r="C59" s="929"/>
      <c r="D59" s="929"/>
      <c r="E59" s="929"/>
      <c r="F59" s="929"/>
      <c r="G59" s="929"/>
      <c r="H59" s="929"/>
      <c r="I59" s="929"/>
      <c r="J59" s="929"/>
      <c r="K59" s="929"/>
      <c r="L59" s="929"/>
      <c r="M59" s="929"/>
      <c r="N59" s="929"/>
      <c r="O59" s="929"/>
      <c r="P59" s="929"/>
      <c r="Q59" s="929"/>
      <c r="R59" s="929"/>
      <c r="S59" s="929"/>
      <c r="T59" s="929"/>
      <c r="U59" s="929"/>
      <c r="V59" s="3"/>
      <c r="W59" s="3"/>
      <c r="X59" s="3"/>
      <c r="Y59" s="3"/>
    </row>
    <row r="60" spans="1:25" ht="12.75" customHeight="1" x14ac:dyDescent="0.35">
      <c r="A60" s="929"/>
      <c r="B60" s="929"/>
      <c r="C60" s="929"/>
      <c r="D60" s="929"/>
      <c r="E60" s="929"/>
      <c r="F60" s="929"/>
      <c r="G60" s="929"/>
      <c r="H60" s="929"/>
      <c r="I60" s="929"/>
      <c r="J60" s="929"/>
      <c r="K60" s="929"/>
      <c r="L60" s="929"/>
      <c r="M60" s="929"/>
      <c r="N60" s="929"/>
      <c r="O60" s="929"/>
      <c r="P60" s="929"/>
      <c r="Q60" s="929"/>
      <c r="R60" s="929"/>
      <c r="S60" s="929"/>
      <c r="T60" s="929"/>
      <c r="U60" s="929"/>
      <c r="V60" s="3"/>
      <c r="W60" s="3"/>
      <c r="X60" s="3"/>
      <c r="Y60" s="3"/>
    </row>
    <row r="61" spans="1:25" ht="12.75" customHeight="1" x14ac:dyDescent="0.35">
      <c r="A61" s="929"/>
      <c r="B61" s="929"/>
      <c r="C61" s="929"/>
      <c r="D61" s="929"/>
      <c r="E61" s="929"/>
      <c r="F61" s="929"/>
      <c r="G61" s="929"/>
      <c r="H61" s="929"/>
      <c r="I61" s="929"/>
      <c r="J61" s="929"/>
      <c r="K61" s="929"/>
      <c r="L61" s="929"/>
      <c r="M61" s="929"/>
      <c r="N61" s="929"/>
      <c r="O61" s="929"/>
      <c r="P61" s="929"/>
      <c r="Q61" s="929"/>
      <c r="R61" s="929"/>
      <c r="S61" s="929"/>
      <c r="T61" s="929"/>
      <c r="U61" s="929"/>
      <c r="V61" s="3"/>
      <c r="W61" s="3"/>
      <c r="X61" s="3"/>
      <c r="Y61" s="3"/>
    </row>
    <row r="62" spans="1:25" ht="12.75" customHeight="1" x14ac:dyDescent="0.35">
      <c r="A62" s="929"/>
      <c r="B62" s="929"/>
      <c r="C62" s="929"/>
      <c r="D62" s="929"/>
      <c r="E62" s="929"/>
      <c r="F62" s="929"/>
      <c r="G62" s="929"/>
      <c r="H62" s="929"/>
      <c r="I62" s="929"/>
      <c r="J62" s="929"/>
      <c r="K62" s="929"/>
      <c r="L62" s="929"/>
      <c r="M62" s="929"/>
      <c r="N62" s="929"/>
      <c r="O62" s="929"/>
      <c r="P62" s="929"/>
      <c r="Q62" s="929"/>
      <c r="R62" s="929"/>
      <c r="S62" s="929"/>
      <c r="T62" s="929"/>
      <c r="U62" s="929"/>
      <c r="V62" s="3"/>
      <c r="W62" s="3"/>
      <c r="X62" s="3"/>
      <c r="Y62" s="3"/>
    </row>
    <row r="63" spans="1:25" ht="12.75" customHeight="1" x14ac:dyDescent="0.35">
      <c r="A63" s="929"/>
      <c r="B63" s="929"/>
      <c r="C63" s="929"/>
      <c r="D63" s="929"/>
      <c r="E63" s="929"/>
      <c r="F63" s="929"/>
      <c r="G63" s="929"/>
      <c r="H63" s="929"/>
      <c r="I63" s="929"/>
      <c r="J63" s="929"/>
      <c r="K63" s="929"/>
      <c r="L63" s="929"/>
      <c r="M63" s="929"/>
      <c r="N63" s="929"/>
      <c r="O63" s="929"/>
      <c r="P63" s="929"/>
      <c r="Q63" s="929"/>
      <c r="R63" s="929"/>
      <c r="S63" s="929"/>
      <c r="T63" s="929"/>
      <c r="U63" s="929"/>
      <c r="V63" s="3"/>
      <c r="W63" s="3"/>
      <c r="X63" s="3"/>
      <c r="Y63" s="3"/>
    </row>
    <row r="64" spans="1:25" ht="12.75" customHeight="1" x14ac:dyDescent="0.35">
      <c r="A64" s="929"/>
      <c r="B64" s="929"/>
      <c r="C64" s="929"/>
      <c r="D64" s="929"/>
      <c r="E64" s="929"/>
      <c r="F64" s="929"/>
      <c r="G64" s="929"/>
      <c r="H64" s="929"/>
      <c r="I64" s="929"/>
      <c r="J64" s="929"/>
      <c r="K64" s="929"/>
      <c r="L64" s="929"/>
      <c r="M64" s="929"/>
      <c r="N64" s="929"/>
      <c r="O64" s="929"/>
      <c r="P64" s="929"/>
      <c r="Q64" s="929"/>
      <c r="R64" s="929"/>
      <c r="S64" s="929"/>
      <c r="T64" s="929"/>
      <c r="U64" s="929"/>
      <c r="V64" s="3"/>
      <c r="W64" s="3"/>
      <c r="X64" s="3"/>
      <c r="Y64" s="3"/>
    </row>
    <row r="65" spans="1:25" ht="12.75" customHeight="1" x14ac:dyDescent="0.35">
      <c r="A65" s="929"/>
      <c r="B65" s="929"/>
      <c r="C65" s="929"/>
      <c r="D65" s="929"/>
      <c r="E65" s="929"/>
      <c r="F65" s="929"/>
      <c r="G65" s="929"/>
      <c r="H65" s="929"/>
      <c r="I65" s="929"/>
      <c r="J65" s="929"/>
      <c r="K65" s="929"/>
      <c r="L65" s="929"/>
      <c r="M65" s="929"/>
      <c r="N65" s="929"/>
      <c r="O65" s="929"/>
      <c r="P65" s="929"/>
      <c r="Q65" s="929"/>
      <c r="R65" s="929"/>
      <c r="S65" s="929"/>
      <c r="T65" s="929"/>
      <c r="U65" s="929"/>
      <c r="V65" s="3"/>
      <c r="W65" s="3"/>
      <c r="X65" s="3"/>
      <c r="Y65" s="3"/>
    </row>
    <row r="66" spans="1:25" ht="12.75" customHeight="1" x14ac:dyDescent="0.35">
      <c r="A66" s="929"/>
      <c r="B66" s="929"/>
      <c r="C66" s="929"/>
      <c r="D66" s="929"/>
      <c r="E66" s="929"/>
      <c r="F66" s="929"/>
      <c r="G66" s="929"/>
      <c r="H66" s="929"/>
      <c r="I66" s="929"/>
      <c r="J66" s="929"/>
      <c r="K66" s="929"/>
      <c r="L66" s="929"/>
      <c r="M66" s="929"/>
      <c r="N66" s="929"/>
      <c r="O66" s="929"/>
      <c r="P66" s="929"/>
      <c r="Q66" s="929"/>
      <c r="R66" s="929"/>
      <c r="S66" s="929"/>
      <c r="T66" s="929"/>
      <c r="U66" s="929"/>
      <c r="V66" s="3"/>
      <c r="W66" s="3"/>
      <c r="X66" s="3"/>
      <c r="Y66" s="3"/>
    </row>
    <row r="67" spans="1:25" ht="14.25" customHeight="1" x14ac:dyDescent="0.35">
      <c r="A67" s="929"/>
      <c r="B67" s="929"/>
      <c r="C67" s="929"/>
      <c r="D67" s="929"/>
      <c r="E67" s="929"/>
      <c r="F67" s="929"/>
      <c r="G67" s="929"/>
      <c r="H67" s="929"/>
      <c r="I67" s="929"/>
      <c r="J67" s="929"/>
      <c r="K67" s="929"/>
      <c r="L67" s="929"/>
      <c r="M67" s="929"/>
      <c r="N67" s="929"/>
      <c r="O67" s="929"/>
      <c r="P67" s="929"/>
      <c r="Q67" s="929"/>
      <c r="R67" s="929"/>
      <c r="S67" s="929"/>
      <c r="T67" s="929"/>
      <c r="U67" s="929"/>
      <c r="V67" s="3"/>
      <c r="W67" s="3"/>
      <c r="X67" s="3"/>
      <c r="Y67" s="3"/>
    </row>
    <row r="68" spans="1:25" ht="12.75" customHeight="1" x14ac:dyDescent="0.35">
      <c r="A68" s="929"/>
      <c r="B68" s="929"/>
      <c r="C68" s="929"/>
      <c r="D68" s="929"/>
      <c r="E68" s="929"/>
      <c r="F68" s="929"/>
      <c r="G68" s="929"/>
      <c r="H68" s="929"/>
      <c r="I68" s="929"/>
      <c r="J68" s="929"/>
      <c r="K68" s="929"/>
      <c r="L68" s="929"/>
      <c r="M68" s="929"/>
      <c r="N68" s="929"/>
      <c r="O68" s="929"/>
      <c r="P68" s="929"/>
      <c r="Q68" s="929"/>
      <c r="R68" s="929"/>
      <c r="S68" s="929"/>
      <c r="T68" s="929"/>
      <c r="U68" s="929"/>
      <c r="V68" s="3"/>
      <c r="W68" s="3"/>
      <c r="X68" s="3"/>
      <c r="Y68" s="3"/>
    </row>
    <row r="69" spans="1:25" ht="12.75" customHeight="1" x14ac:dyDescent="0.35">
      <c r="A69" s="929"/>
      <c r="B69" s="929"/>
      <c r="C69" s="929"/>
      <c r="D69" s="929"/>
      <c r="E69" s="929"/>
      <c r="F69" s="929"/>
      <c r="G69" s="929"/>
      <c r="H69" s="929"/>
      <c r="I69" s="929"/>
      <c r="J69" s="929"/>
      <c r="K69" s="929"/>
      <c r="L69" s="929"/>
      <c r="M69" s="929"/>
      <c r="N69" s="929"/>
      <c r="O69" s="929"/>
      <c r="P69" s="929"/>
      <c r="Q69" s="929"/>
      <c r="R69" s="929"/>
      <c r="S69" s="929"/>
      <c r="T69" s="929"/>
      <c r="U69" s="929"/>
      <c r="V69" s="3"/>
      <c r="W69" s="3"/>
      <c r="X69" s="3"/>
      <c r="Y69" s="3"/>
    </row>
    <row r="70" spans="1:25" ht="12.75" customHeight="1" x14ac:dyDescent="0.35">
      <c r="A70" s="83"/>
      <c r="B70" s="83"/>
      <c r="C70" s="83"/>
      <c r="D70" s="83"/>
      <c r="E70" s="83"/>
      <c r="F70" s="83"/>
      <c r="G70" s="83"/>
      <c r="H70" s="83"/>
      <c r="I70" s="83"/>
      <c r="J70" s="83"/>
      <c r="K70" s="83"/>
      <c r="L70" s="83"/>
      <c r="M70" s="83"/>
      <c r="N70" s="83"/>
      <c r="O70" s="86"/>
      <c r="P70" s="85"/>
      <c r="Q70" s="85"/>
      <c r="R70" s="81"/>
      <c r="S70" s="3"/>
      <c r="T70" s="3"/>
      <c r="U70" s="3"/>
      <c r="V70" s="3"/>
      <c r="W70" s="3"/>
      <c r="X70" s="3"/>
      <c r="Y70" s="3"/>
    </row>
    <row r="71" spans="1:25" ht="12.75" customHeight="1" x14ac:dyDescent="0.35">
      <c r="A71" s="83"/>
      <c r="B71" s="83"/>
      <c r="C71" s="83"/>
      <c r="D71" s="83"/>
      <c r="E71" s="83"/>
      <c r="F71" s="83"/>
      <c r="G71" s="83"/>
      <c r="H71" s="83"/>
      <c r="I71" s="83"/>
      <c r="J71" s="83"/>
      <c r="K71" s="83"/>
      <c r="L71" s="83"/>
      <c r="M71" s="83"/>
      <c r="N71" s="83"/>
      <c r="O71" s="83"/>
      <c r="P71" s="83"/>
      <c r="Q71" s="83"/>
      <c r="R71" s="81"/>
      <c r="S71" s="3"/>
      <c r="T71" s="3"/>
      <c r="U71" s="3"/>
      <c r="V71" s="3"/>
      <c r="W71" s="3"/>
      <c r="X71" s="3"/>
      <c r="Y71" s="3"/>
    </row>
    <row r="72" spans="1:25" ht="12.75" customHeight="1" x14ac:dyDescent="0.35">
      <c r="A72" s="83"/>
      <c r="B72" s="83"/>
      <c r="C72" s="83"/>
      <c r="D72" s="83"/>
      <c r="E72" s="83"/>
      <c r="F72" s="83"/>
      <c r="G72" s="83"/>
      <c r="H72" s="83"/>
      <c r="I72" s="83"/>
      <c r="J72" s="83"/>
      <c r="K72" s="83"/>
      <c r="L72" s="83"/>
      <c r="M72" s="83"/>
      <c r="N72" s="83"/>
      <c r="O72" s="83"/>
      <c r="P72" s="83"/>
      <c r="Q72" s="83"/>
      <c r="R72" s="81"/>
      <c r="S72" s="3"/>
      <c r="T72" s="3"/>
      <c r="U72" s="3"/>
      <c r="V72" s="3"/>
      <c r="W72" s="3"/>
      <c r="X72" s="3"/>
      <c r="Y72" s="3"/>
    </row>
    <row r="73" spans="1:25" ht="12.75" customHeight="1" x14ac:dyDescent="0.35">
      <c r="A73" s="83"/>
      <c r="B73" s="83"/>
      <c r="C73" s="83"/>
      <c r="D73" s="83"/>
      <c r="E73" s="83"/>
      <c r="F73" s="83"/>
      <c r="G73" s="83"/>
      <c r="H73" s="83"/>
      <c r="I73" s="83"/>
      <c r="J73" s="83"/>
      <c r="K73" s="83"/>
      <c r="L73" s="83"/>
      <c r="M73" s="83"/>
      <c r="N73" s="83"/>
      <c r="O73" s="83"/>
      <c r="P73" s="83"/>
      <c r="Q73" s="83"/>
      <c r="R73" s="81"/>
      <c r="S73" s="3"/>
      <c r="T73" s="3"/>
      <c r="U73" s="3"/>
      <c r="V73" s="3"/>
      <c r="W73" s="3"/>
      <c r="X73" s="3"/>
      <c r="Y73" s="3"/>
    </row>
    <row r="74" spans="1:25" ht="12.75" customHeight="1" x14ac:dyDescent="0.35">
      <c r="A74" s="83"/>
      <c r="B74" s="83"/>
      <c r="C74" s="83"/>
      <c r="D74" s="83"/>
      <c r="E74" s="83"/>
      <c r="F74" s="83"/>
      <c r="G74" s="83"/>
      <c r="H74" s="83"/>
      <c r="I74" s="83"/>
      <c r="J74" s="83"/>
      <c r="K74" s="83"/>
      <c r="L74" s="83"/>
      <c r="M74" s="83"/>
      <c r="N74" s="83"/>
      <c r="O74" s="83"/>
      <c r="P74" s="83"/>
      <c r="Q74" s="83"/>
      <c r="R74" s="81"/>
      <c r="S74" s="3"/>
      <c r="T74" s="3"/>
      <c r="U74" s="3"/>
      <c r="V74" s="3"/>
      <c r="W74" s="3"/>
      <c r="X74" s="3"/>
      <c r="Y74" s="3"/>
    </row>
    <row r="75" spans="1:25" ht="12.75" customHeight="1" x14ac:dyDescent="0.35">
      <c r="A75" s="83"/>
      <c r="B75" s="83"/>
      <c r="C75" s="83"/>
      <c r="D75" s="83"/>
      <c r="E75" s="83"/>
      <c r="F75" s="83"/>
      <c r="G75" s="83"/>
      <c r="H75" s="83"/>
      <c r="I75" s="83"/>
      <c r="J75" s="83"/>
      <c r="K75" s="83"/>
      <c r="L75" s="83"/>
      <c r="M75" s="83"/>
      <c r="N75" s="83"/>
      <c r="O75" s="83"/>
      <c r="P75" s="83"/>
      <c r="Q75" s="83"/>
      <c r="R75" s="81"/>
      <c r="S75" s="3"/>
      <c r="T75" s="3"/>
      <c r="U75" s="3"/>
      <c r="V75" s="3"/>
      <c r="W75" s="3"/>
      <c r="X75" s="3"/>
      <c r="Y75" s="3"/>
    </row>
    <row r="76" spans="1:25" ht="12.75" customHeight="1" x14ac:dyDescent="0.35">
      <c r="A76" s="83"/>
      <c r="B76" s="83"/>
      <c r="C76" s="83"/>
      <c r="D76" s="83"/>
      <c r="E76" s="83"/>
      <c r="F76" s="83"/>
      <c r="G76" s="83"/>
      <c r="H76" s="83"/>
      <c r="I76" s="83"/>
      <c r="J76" s="83"/>
      <c r="K76" s="83"/>
      <c r="L76" s="83"/>
      <c r="M76" s="83"/>
      <c r="N76" s="83"/>
      <c r="O76" s="83"/>
      <c r="P76" s="83"/>
      <c r="Q76" s="83"/>
      <c r="R76" s="81"/>
      <c r="S76" s="3"/>
      <c r="T76" s="3"/>
      <c r="U76" s="3"/>
      <c r="V76" s="3"/>
      <c r="W76" s="3"/>
      <c r="X76" s="3"/>
      <c r="Y76" s="3"/>
    </row>
    <row r="77" spans="1:25" ht="12.75" customHeight="1" x14ac:dyDescent="0.35">
      <c r="A77" s="83"/>
      <c r="B77" s="83"/>
      <c r="C77" s="83"/>
      <c r="D77" s="83"/>
      <c r="E77" s="83"/>
      <c r="F77" s="83"/>
      <c r="G77" s="83"/>
      <c r="H77" s="83"/>
      <c r="I77" s="83"/>
      <c r="J77" s="83"/>
      <c r="K77" s="83"/>
      <c r="L77" s="83"/>
      <c r="M77" s="83"/>
      <c r="N77" s="83"/>
      <c r="O77" s="83"/>
      <c r="P77" s="83"/>
      <c r="Q77" s="83"/>
      <c r="R77" s="81"/>
      <c r="S77" s="3"/>
      <c r="T77" s="3"/>
      <c r="U77" s="3"/>
      <c r="V77" s="3"/>
      <c r="W77" s="3"/>
      <c r="X77" s="3"/>
      <c r="Y77" s="3"/>
    </row>
    <row r="78" spans="1:25" ht="12.75" customHeight="1" x14ac:dyDescent="0.35">
      <c r="A78" s="83"/>
      <c r="B78" s="83"/>
      <c r="C78" s="83"/>
      <c r="D78" s="83"/>
      <c r="E78" s="83"/>
      <c r="F78" s="83"/>
      <c r="G78" s="83"/>
      <c r="H78" s="83"/>
      <c r="I78" s="83"/>
      <c r="J78" s="83"/>
      <c r="K78" s="83"/>
      <c r="L78" s="83"/>
      <c r="M78" s="83"/>
      <c r="N78" s="83"/>
      <c r="O78" s="83"/>
      <c r="P78" s="83"/>
      <c r="Q78" s="83"/>
      <c r="R78" s="81"/>
      <c r="S78" s="3"/>
      <c r="T78" s="3"/>
      <c r="U78" s="3"/>
      <c r="V78" s="3"/>
      <c r="W78" s="3"/>
      <c r="X78" s="3"/>
      <c r="Y78" s="3"/>
    </row>
    <row r="79" spans="1:25" ht="12.75" customHeight="1" x14ac:dyDescent="0.35">
      <c r="A79" s="83"/>
      <c r="B79" s="83"/>
      <c r="C79" s="83"/>
      <c r="D79" s="83"/>
      <c r="E79" s="83"/>
      <c r="F79" s="83"/>
      <c r="G79" s="83"/>
      <c r="H79" s="83"/>
      <c r="I79" s="83"/>
      <c r="J79" s="83"/>
      <c r="K79" s="83"/>
      <c r="L79" s="83"/>
      <c r="M79" s="83"/>
      <c r="N79" s="83"/>
      <c r="O79" s="83"/>
      <c r="P79" s="83"/>
      <c r="Q79" s="83"/>
      <c r="R79" s="81"/>
      <c r="S79" s="3"/>
      <c r="T79" s="3"/>
      <c r="U79" s="3"/>
      <c r="V79" s="3"/>
      <c r="W79" s="3"/>
      <c r="X79" s="3"/>
      <c r="Y79" s="3"/>
    </row>
    <row r="80" spans="1:25" ht="12.75" customHeight="1" x14ac:dyDescent="0.35">
      <c r="A80" s="83"/>
      <c r="B80" s="83"/>
      <c r="C80" s="83"/>
      <c r="D80" s="83"/>
      <c r="E80" s="83"/>
      <c r="F80" s="83"/>
      <c r="G80" s="83"/>
      <c r="H80" s="83"/>
      <c r="I80" s="83"/>
      <c r="J80" s="83"/>
      <c r="K80" s="83"/>
      <c r="L80" s="83"/>
      <c r="M80" s="83"/>
      <c r="N80" s="83"/>
      <c r="O80" s="83"/>
      <c r="P80" s="83"/>
      <c r="Q80" s="83"/>
      <c r="R80" s="81"/>
      <c r="S80" s="3"/>
      <c r="T80" s="3"/>
      <c r="U80" s="3"/>
      <c r="V80" s="3"/>
      <c r="W80" s="3"/>
      <c r="X80" s="3"/>
      <c r="Y80" s="3"/>
    </row>
    <row r="81" spans="1:25" ht="12.75" customHeight="1" x14ac:dyDescent="0.35">
      <c r="A81" s="83"/>
      <c r="B81" s="83"/>
      <c r="C81" s="83"/>
      <c r="D81" s="83"/>
      <c r="E81" s="83"/>
      <c r="F81" s="83"/>
      <c r="G81" s="83"/>
      <c r="H81" s="83"/>
      <c r="I81" s="83"/>
      <c r="J81" s="83"/>
      <c r="K81" s="83"/>
      <c r="L81" s="83"/>
      <c r="M81" s="83"/>
      <c r="N81" s="83"/>
      <c r="O81" s="83"/>
      <c r="P81" s="83"/>
      <c r="Q81" s="83"/>
      <c r="R81" s="81"/>
      <c r="S81" s="3"/>
      <c r="T81" s="3"/>
      <c r="U81" s="3"/>
      <c r="V81" s="3"/>
      <c r="W81" s="3"/>
      <c r="X81" s="3"/>
      <c r="Y81" s="3"/>
    </row>
    <row r="82" spans="1:25" ht="12.75" customHeight="1" x14ac:dyDescent="0.35">
      <c r="A82" s="83"/>
      <c r="B82" s="83"/>
      <c r="C82" s="83"/>
      <c r="D82" s="83"/>
      <c r="E82" s="83"/>
      <c r="F82" s="83"/>
      <c r="G82" s="83"/>
      <c r="H82" s="83"/>
      <c r="I82" s="83"/>
      <c r="J82" s="83"/>
      <c r="K82" s="83"/>
      <c r="L82" s="83"/>
      <c r="M82" s="83"/>
      <c r="N82" s="83"/>
      <c r="O82" s="83"/>
      <c r="P82" s="83"/>
      <c r="Q82" s="83"/>
      <c r="R82" s="81"/>
      <c r="S82" s="3"/>
      <c r="T82" s="3"/>
      <c r="U82" s="3"/>
      <c r="V82" s="3"/>
      <c r="W82" s="3"/>
      <c r="X82" s="3"/>
      <c r="Y82" s="3"/>
    </row>
    <row r="83" spans="1:25" ht="12.75" customHeight="1" x14ac:dyDescent="0.35">
      <c r="A83" s="83"/>
      <c r="B83" s="83"/>
      <c r="C83" s="83"/>
      <c r="D83" s="83"/>
      <c r="E83" s="83"/>
      <c r="F83" s="83"/>
      <c r="G83" s="83"/>
      <c r="H83" s="83"/>
      <c r="I83" s="83"/>
      <c r="J83" s="83"/>
      <c r="K83" s="83"/>
      <c r="L83" s="83"/>
      <c r="M83" s="83"/>
      <c r="N83" s="83"/>
      <c r="O83" s="83"/>
      <c r="P83" s="83"/>
      <c r="Q83" s="83"/>
      <c r="R83" s="81"/>
      <c r="S83" s="3"/>
      <c r="T83" s="3"/>
      <c r="U83" s="3"/>
      <c r="V83" s="3"/>
      <c r="W83" s="3"/>
      <c r="X83" s="3"/>
      <c r="Y83" s="3"/>
    </row>
    <row r="84" spans="1:25" ht="13.5" customHeight="1" x14ac:dyDescent="0.35">
      <c r="A84" s="83"/>
      <c r="B84" s="83"/>
      <c r="C84" s="83"/>
      <c r="D84" s="83"/>
      <c r="E84" s="83"/>
      <c r="F84" s="83"/>
      <c r="G84" s="83"/>
      <c r="H84" s="83"/>
      <c r="I84" s="83"/>
      <c r="J84" s="83"/>
      <c r="K84" s="83"/>
      <c r="L84" s="83"/>
      <c r="M84" s="83"/>
      <c r="N84" s="83"/>
      <c r="O84" s="83"/>
      <c r="P84" s="83"/>
      <c r="Q84" s="83"/>
      <c r="R84" s="81"/>
      <c r="S84" s="3"/>
      <c r="T84" s="3"/>
      <c r="U84" s="3"/>
      <c r="V84" s="3"/>
      <c r="W84" s="3"/>
      <c r="X84" s="3"/>
      <c r="Y84" s="3"/>
    </row>
    <row r="85" spans="1:25" ht="12.75" customHeight="1" x14ac:dyDescent="0.35">
      <c r="A85" s="83"/>
      <c r="B85" s="83"/>
      <c r="C85" s="83"/>
      <c r="D85" s="83"/>
      <c r="E85" s="83"/>
      <c r="F85" s="83"/>
      <c r="G85" s="83"/>
      <c r="H85" s="83"/>
      <c r="I85" s="83"/>
      <c r="J85" s="83"/>
      <c r="K85" s="83"/>
      <c r="L85" s="83"/>
      <c r="M85" s="83"/>
      <c r="N85" s="83"/>
      <c r="O85" s="83"/>
      <c r="P85" s="83"/>
      <c r="Q85" s="83"/>
      <c r="R85" s="81"/>
      <c r="S85" s="3"/>
      <c r="T85" s="3"/>
      <c r="U85" s="3"/>
      <c r="V85" s="3"/>
      <c r="W85" s="3"/>
      <c r="X85" s="3"/>
      <c r="Y85" s="3"/>
    </row>
    <row r="86" spans="1:25" ht="12.75" customHeight="1" x14ac:dyDescent="0.35">
      <c r="A86" s="83"/>
      <c r="B86" s="83"/>
      <c r="C86" s="83"/>
      <c r="D86" s="83"/>
      <c r="E86" s="83"/>
      <c r="F86" s="83"/>
      <c r="G86" s="83"/>
      <c r="H86" s="83"/>
      <c r="I86" s="83"/>
      <c r="J86" s="83"/>
      <c r="K86" s="83"/>
      <c r="L86" s="83"/>
      <c r="M86" s="83"/>
      <c r="N86" s="83"/>
      <c r="O86" s="83"/>
      <c r="P86" s="83"/>
      <c r="Q86" s="83"/>
      <c r="R86" s="81"/>
      <c r="S86" s="3"/>
      <c r="T86" s="3"/>
      <c r="U86" s="3"/>
      <c r="V86" s="3"/>
      <c r="W86" s="3"/>
      <c r="X86" s="3"/>
      <c r="Y86" s="3"/>
    </row>
    <row r="87" spans="1:25" ht="12.75" customHeight="1" x14ac:dyDescent="0.35">
      <c r="A87" s="83"/>
      <c r="B87" s="83"/>
      <c r="C87" s="83"/>
      <c r="D87" s="83"/>
      <c r="E87" s="83"/>
      <c r="F87" s="83"/>
      <c r="G87" s="83"/>
      <c r="H87" s="83"/>
      <c r="I87" s="83"/>
      <c r="J87" s="83"/>
      <c r="K87" s="83"/>
      <c r="L87" s="83"/>
      <c r="M87" s="83"/>
      <c r="N87" s="83"/>
      <c r="O87" s="83"/>
      <c r="P87" s="83"/>
      <c r="Q87" s="83"/>
      <c r="R87" s="81"/>
      <c r="S87" s="3"/>
      <c r="T87" s="3"/>
      <c r="U87" s="3"/>
      <c r="V87" s="3"/>
      <c r="W87" s="3"/>
      <c r="X87" s="3"/>
      <c r="Y87" s="3"/>
    </row>
    <row r="88" spans="1:25" ht="12.75" customHeight="1" x14ac:dyDescent="0.35">
      <c r="A88" s="83"/>
      <c r="B88" s="83"/>
      <c r="C88" s="83"/>
      <c r="D88" s="83"/>
      <c r="E88" s="83"/>
      <c r="F88" s="83"/>
      <c r="G88" s="83"/>
      <c r="H88" s="83"/>
      <c r="I88" s="83"/>
      <c r="J88" s="83"/>
      <c r="K88" s="83"/>
      <c r="L88" s="83"/>
      <c r="M88" s="83"/>
      <c r="N88" s="83"/>
      <c r="O88" s="83"/>
      <c r="P88" s="83"/>
      <c r="Q88" s="83"/>
      <c r="R88" s="81"/>
      <c r="S88" s="3"/>
      <c r="T88" s="3"/>
      <c r="U88" s="3"/>
      <c r="V88" s="3"/>
      <c r="W88" s="3"/>
      <c r="X88" s="3"/>
      <c r="Y88" s="3"/>
    </row>
    <row r="89" spans="1:25" ht="12.75" customHeight="1" x14ac:dyDescent="0.35">
      <c r="A89" s="83"/>
      <c r="B89" s="83"/>
      <c r="C89" s="83"/>
      <c r="D89" s="83"/>
      <c r="E89" s="83"/>
      <c r="F89" s="83"/>
      <c r="G89" s="83"/>
      <c r="H89" s="83"/>
      <c r="I89" s="83"/>
      <c r="J89" s="83"/>
      <c r="K89" s="83"/>
      <c r="L89" s="83"/>
      <c r="M89" s="83"/>
      <c r="N89" s="83"/>
      <c r="O89" s="83"/>
      <c r="P89" s="83"/>
      <c r="Q89" s="83"/>
      <c r="R89" s="81"/>
      <c r="S89" s="3"/>
      <c r="T89" s="3"/>
      <c r="U89" s="3"/>
      <c r="V89" s="3"/>
      <c r="W89" s="3"/>
      <c r="X89" s="3"/>
      <c r="Y89" s="3"/>
    </row>
    <row r="90" spans="1:25" ht="12.75" customHeight="1" x14ac:dyDescent="0.35">
      <c r="A90" s="83"/>
      <c r="B90" s="83"/>
      <c r="C90" s="83"/>
      <c r="D90" s="83"/>
      <c r="E90" s="83"/>
      <c r="F90" s="83"/>
      <c r="G90" s="83"/>
      <c r="H90" s="83"/>
      <c r="I90" s="83"/>
      <c r="J90" s="83"/>
      <c r="K90" s="83"/>
      <c r="L90" s="83"/>
      <c r="M90" s="83"/>
      <c r="N90" s="83"/>
      <c r="O90" s="83"/>
      <c r="P90" s="83"/>
      <c r="Q90" s="83"/>
      <c r="R90" s="81"/>
      <c r="S90" s="3"/>
      <c r="T90" s="3"/>
      <c r="U90" s="3"/>
      <c r="V90" s="3"/>
      <c r="W90" s="3"/>
      <c r="X90" s="3"/>
      <c r="Y90" s="3"/>
    </row>
    <row r="91" spans="1:25" ht="12.75" customHeight="1" x14ac:dyDescent="0.35">
      <c r="A91" s="83"/>
      <c r="B91" s="83"/>
      <c r="C91" s="83"/>
      <c r="D91" s="83"/>
      <c r="E91" s="83"/>
      <c r="F91" s="83"/>
      <c r="G91" s="83"/>
      <c r="H91" s="83"/>
      <c r="I91" s="83"/>
      <c r="J91" s="83"/>
      <c r="K91" s="83"/>
      <c r="L91" s="83"/>
      <c r="M91" s="83"/>
      <c r="N91" s="83"/>
      <c r="O91" s="83"/>
      <c r="P91" s="83"/>
      <c r="Q91" s="83"/>
      <c r="R91" s="81"/>
      <c r="S91" s="3"/>
      <c r="T91" s="3"/>
      <c r="U91" s="3"/>
      <c r="V91" s="3"/>
      <c r="W91" s="3"/>
      <c r="X91" s="3"/>
      <c r="Y91" s="3"/>
    </row>
    <row r="92" spans="1:25" ht="12.75" customHeight="1" x14ac:dyDescent="0.35">
      <c r="A92" s="83"/>
      <c r="B92" s="83"/>
      <c r="C92" s="83"/>
      <c r="D92" s="83"/>
      <c r="E92" s="83"/>
      <c r="F92" s="83"/>
      <c r="G92" s="83"/>
      <c r="H92" s="83"/>
      <c r="I92" s="83"/>
      <c r="J92" s="83"/>
      <c r="K92" s="83"/>
      <c r="L92" s="83"/>
      <c r="M92" s="83"/>
      <c r="N92" s="83"/>
      <c r="O92" s="83"/>
      <c r="P92" s="83"/>
      <c r="Q92" s="83"/>
      <c r="R92" s="81"/>
      <c r="S92" s="3"/>
      <c r="T92" s="3"/>
      <c r="U92" s="3"/>
      <c r="V92" s="3"/>
      <c r="W92" s="3"/>
      <c r="X92" s="3"/>
      <c r="Y92" s="3"/>
    </row>
    <row r="93" spans="1:25" ht="12.75" customHeight="1" x14ac:dyDescent="0.35">
      <c r="A93" s="83"/>
      <c r="B93" s="83"/>
      <c r="C93" s="83"/>
      <c r="D93" s="83"/>
      <c r="E93" s="83"/>
      <c r="F93" s="83"/>
      <c r="G93" s="83"/>
      <c r="H93" s="83"/>
      <c r="I93" s="83"/>
      <c r="J93" s="83"/>
      <c r="K93" s="83"/>
      <c r="L93" s="83"/>
      <c r="M93" s="83"/>
      <c r="N93" s="83"/>
      <c r="O93" s="83"/>
      <c r="P93" s="83"/>
      <c r="Q93" s="83"/>
      <c r="R93" s="81"/>
      <c r="S93" s="3"/>
      <c r="T93" s="3"/>
      <c r="U93" s="3"/>
      <c r="V93" s="3"/>
      <c r="W93" s="3"/>
      <c r="X93" s="3"/>
      <c r="Y93" s="3"/>
    </row>
    <row r="94" spans="1:25" ht="13.5" customHeight="1" x14ac:dyDescent="0.35">
      <c r="A94" s="83"/>
      <c r="B94" s="83"/>
      <c r="C94" s="83"/>
      <c r="D94" s="83"/>
      <c r="E94" s="83"/>
      <c r="F94" s="83"/>
      <c r="G94" s="83"/>
      <c r="H94" s="83"/>
      <c r="I94" s="83"/>
      <c r="J94" s="83"/>
      <c r="K94" s="83"/>
      <c r="L94" s="83"/>
      <c r="M94" s="83"/>
      <c r="N94" s="83"/>
      <c r="O94" s="83"/>
      <c r="P94" s="83"/>
      <c r="Q94" s="83"/>
      <c r="R94" s="81"/>
      <c r="S94" s="3"/>
      <c r="T94" s="3"/>
      <c r="U94" s="3"/>
      <c r="V94" s="3"/>
      <c r="W94" s="3"/>
      <c r="X94" s="3"/>
      <c r="Y94" s="3"/>
    </row>
    <row r="95" spans="1:25" ht="12.75" customHeight="1" x14ac:dyDescent="0.35">
      <c r="A95" s="83"/>
      <c r="B95" s="83"/>
      <c r="C95" s="83"/>
      <c r="D95" s="83"/>
      <c r="E95" s="83"/>
      <c r="F95" s="83"/>
      <c r="G95" s="83"/>
      <c r="H95" s="83"/>
      <c r="I95" s="83"/>
      <c r="J95" s="83"/>
      <c r="K95" s="83"/>
      <c r="L95" s="83"/>
      <c r="M95" s="83"/>
      <c r="N95" s="83"/>
      <c r="O95" s="83"/>
      <c r="P95" s="83"/>
      <c r="Q95" s="83"/>
      <c r="R95" s="81"/>
      <c r="S95" s="3"/>
      <c r="T95" s="3"/>
      <c r="U95" s="3"/>
      <c r="V95" s="3"/>
      <c r="W95" s="3"/>
      <c r="X95" s="3"/>
      <c r="Y95" s="3"/>
    </row>
    <row r="96" spans="1:25" ht="12.75" customHeight="1" x14ac:dyDescent="0.35">
      <c r="A96" s="83"/>
      <c r="B96" s="83"/>
      <c r="C96" s="83"/>
      <c r="D96" s="83"/>
      <c r="E96" s="83"/>
      <c r="F96" s="83"/>
      <c r="G96" s="83"/>
      <c r="H96" s="83"/>
      <c r="I96" s="83"/>
      <c r="J96" s="83"/>
      <c r="K96" s="83"/>
      <c r="L96" s="83"/>
      <c r="M96" s="83"/>
      <c r="N96" s="83"/>
      <c r="O96" s="83"/>
      <c r="P96" s="83"/>
      <c r="Q96" s="83"/>
      <c r="R96" s="81"/>
      <c r="S96" s="3"/>
      <c r="T96" s="3"/>
      <c r="U96" s="3"/>
      <c r="V96" s="3"/>
      <c r="W96" s="3"/>
      <c r="X96" s="3"/>
      <c r="Y96" s="3"/>
    </row>
    <row r="97" spans="1:25" ht="13.5" customHeight="1" x14ac:dyDescent="0.35">
      <c r="A97" s="83"/>
      <c r="B97" s="83"/>
      <c r="C97" s="83"/>
      <c r="D97" s="83"/>
      <c r="E97" s="83"/>
      <c r="F97" s="83"/>
      <c r="G97" s="83"/>
      <c r="H97" s="83"/>
      <c r="I97" s="83"/>
      <c r="J97" s="83"/>
      <c r="K97" s="83"/>
      <c r="L97" s="83"/>
      <c r="M97" s="83"/>
      <c r="N97" s="83"/>
      <c r="O97" s="83"/>
      <c r="P97" s="83"/>
      <c r="Q97" s="83"/>
      <c r="R97" s="81"/>
      <c r="S97" s="3"/>
      <c r="T97" s="3"/>
      <c r="U97" s="3"/>
      <c r="V97" s="3"/>
      <c r="W97" s="3"/>
      <c r="X97" s="3"/>
      <c r="Y97" s="3"/>
    </row>
    <row r="98" spans="1:25" ht="12.75" customHeight="1" x14ac:dyDescent="0.35">
      <c r="A98" s="83"/>
      <c r="B98" s="83"/>
      <c r="C98" s="83"/>
      <c r="D98" s="83"/>
      <c r="E98" s="83"/>
      <c r="F98" s="83"/>
      <c r="G98" s="83"/>
      <c r="H98" s="83"/>
      <c r="I98" s="83"/>
      <c r="J98" s="83"/>
      <c r="K98" s="83"/>
      <c r="L98" s="83"/>
      <c r="M98" s="83"/>
      <c r="N98" s="83"/>
      <c r="O98" s="83"/>
      <c r="P98" s="83"/>
      <c r="Q98" s="83"/>
      <c r="R98" s="81"/>
      <c r="S98" s="3"/>
      <c r="T98" s="3"/>
      <c r="U98" s="3"/>
      <c r="V98" s="3"/>
      <c r="W98" s="3"/>
      <c r="X98" s="3"/>
      <c r="Y98" s="3"/>
    </row>
    <row r="99" spans="1:25" ht="12.75" customHeight="1" x14ac:dyDescent="0.35">
      <c r="A99" s="83"/>
      <c r="B99" s="83"/>
      <c r="C99" s="83"/>
      <c r="D99" s="83"/>
      <c r="E99" s="83"/>
      <c r="F99" s="83"/>
      <c r="G99" s="83"/>
      <c r="H99" s="83"/>
      <c r="I99" s="83"/>
      <c r="J99" s="83"/>
      <c r="K99" s="83"/>
      <c r="L99" s="83"/>
      <c r="M99" s="83"/>
      <c r="N99" s="83"/>
      <c r="O99" s="83"/>
      <c r="P99" s="83"/>
      <c r="Q99" s="83"/>
      <c r="R99" s="81"/>
      <c r="S99" s="3"/>
      <c r="T99" s="3"/>
      <c r="U99" s="3"/>
      <c r="V99" s="3"/>
      <c r="W99" s="3"/>
      <c r="X99" s="3"/>
      <c r="Y99" s="3"/>
    </row>
    <row r="100" spans="1:25" ht="12.75" customHeight="1" x14ac:dyDescent="0.35">
      <c r="A100" s="83"/>
      <c r="B100" s="83"/>
      <c r="C100" s="83"/>
      <c r="D100" s="83"/>
      <c r="E100" s="83"/>
      <c r="F100" s="83"/>
      <c r="G100" s="83"/>
      <c r="H100" s="83"/>
      <c r="I100" s="83"/>
      <c r="J100" s="83"/>
      <c r="K100" s="83"/>
      <c r="L100" s="83"/>
      <c r="M100" s="83"/>
      <c r="N100" s="83"/>
      <c r="O100" s="83"/>
      <c r="P100" s="83"/>
      <c r="Q100" s="83"/>
      <c r="R100" s="81"/>
      <c r="S100" s="3"/>
      <c r="T100" s="3"/>
      <c r="U100" s="3"/>
      <c r="V100" s="3"/>
      <c r="W100" s="3"/>
      <c r="X100" s="3"/>
      <c r="Y100" s="3"/>
    </row>
    <row r="101" spans="1:25" ht="12.75" customHeight="1" x14ac:dyDescent="0.35">
      <c r="A101" s="83"/>
      <c r="B101" s="83"/>
      <c r="C101" s="83"/>
      <c r="D101" s="83"/>
      <c r="E101" s="83"/>
      <c r="F101" s="83"/>
      <c r="G101" s="83"/>
      <c r="H101" s="83"/>
      <c r="I101" s="83"/>
      <c r="J101" s="83"/>
      <c r="K101" s="83"/>
      <c r="L101" s="83"/>
      <c r="M101" s="83"/>
      <c r="N101" s="83"/>
      <c r="O101" s="83"/>
      <c r="P101" s="83"/>
      <c r="Q101" s="83"/>
      <c r="R101" s="81"/>
      <c r="S101" s="3"/>
      <c r="T101" s="3"/>
      <c r="U101" s="3"/>
      <c r="V101" s="3"/>
      <c r="W101" s="3"/>
      <c r="X101" s="3"/>
      <c r="Y101" s="3"/>
    </row>
    <row r="102" spans="1:25" ht="12.75" customHeight="1" x14ac:dyDescent="0.35">
      <c r="A102" s="83"/>
      <c r="B102" s="83"/>
      <c r="C102" s="83"/>
      <c r="D102" s="83"/>
      <c r="E102" s="83"/>
      <c r="F102" s="83"/>
      <c r="G102" s="83"/>
      <c r="H102" s="83"/>
      <c r="I102" s="83"/>
      <c r="J102" s="83"/>
      <c r="K102" s="83"/>
      <c r="L102" s="83"/>
      <c r="M102" s="83"/>
      <c r="N102" s="83"/>
      <c r="O102" s="83"/>
      <c r="P102" s="83"/>
      <c r="Q102" s="83"/>
      <c r="R102" s="81"/>
      <c r="S102" s="3"/>
      <c r="T102" s="3"/>
      <c r="U102" s="3"/>
      <c r="V102" s="3"/>
      <c r="W102" s="3"/>
      <c r="X102" s="3"/>
      <c r="Y102" s="3"/>
    </row>
    <row r="103" spans="1:25" ht="12.75" customHeight="1" x14ac:dyDescent="0.35">
      <c r="A103" s="83"/>
      <c r="B103" s="83"/>
      <c r="C103" s="83"/>
      <c r="D103" s="83"/>
      <c r="E103" s="83"/>
      <c r="F103" s="83"/>
      <c r="G103" s="83"/>
      <c r="H103" s="83"/>
      <c r="I103" s="83"/>
      <c r="J103" s="83"/>
      <c r="K103" s="83"/>
      <c r="L103" s="83"/>
      <c r="M103" s="83"/>
      <c r="N103" s="83"/>
      <c r="O103" s="83"/>
      <c r="P103" s="83"/>
      <c r="Q103" s="83"/>
      <c r="R103" s="81"/>
      <c r="S103" s="3"/>
      <c r="T103" s="3"/>
      <c r="U103" s="3"/>
      <c r="V103" s="3"/>
      <c r="W103" s="3"/>
      <c r="X103" s="3"/>
      <c r="Y103" s="3"/>
    </row>
    <row r="104" spans="1:25" ht="12.75" customHeight="1" x14ac:dyDescent="0.35">
      <c r="A104" s="83"/>
      <c r="B104" s="83"/>
      <c r="C104" s="83"/>
      <c r="D104" s="83"/>
      <c r="E104" s="83"/>
      <c r="F104" s="83"/>
      <c r="G104" s="83"/>
      <c r="H104" s="83"/>
      <c r="I104" s="83"/>
      <c r="J104" s="83"/>
      <c r="K104" s="83"/>
      <c r="L104" s="83"/>
      <c r="M104" s="83"/>
      <c r="N104" s="83"/>
      <c r="O104" s="83"/>
      <c r="P104" s="83"/>
      <c r="Q104" s="83"/>
      <c r="R104" s="81"/>
      <c r="S104" s="3"/>
      <c r="T104" s="3"/>
      <c r="U104" s="3"/>
      <c r="V104" s="3"/>
      <c r="W104" s="3"/>
      <c r="X104" s="3"/>
      <c r="Y104" s="3"/>
    </row>
    <row r="105" spans="1:25" ht="13.5" customHeight="1" x14ac:dyDescent="0.35">
      <c r="A105" s="83"/>
      <c r="B105" s="83"/>
      <c r="C105" s="83"/>
      <c r="D105" s="83"/>
      <c r="E105" s="83"/>
      <c r="F105" s="83"/>
      <c r="G105" s="83"/>
      <c r="H105" s="83"/>
      <c r="I105" s="83"/>
      <c r="J105" s="83"/>
      <c r="K105" s="83"/>
      <c r="L105" s="83"/>
      <c r="M105" s="83"/>
      <c r="N105" s="83"/>
      <c r="O105" s="83"/>
      <c r="P105" s="83"/>
      <c r="Q105" s="83"/>
      <c r="R105" s="81"/>
      <c r="S105" s="3"/>
      <c r="T105" s="3"/>
      <c r="U105" s="3"/>
      <c r="V105" s="3"/>
      <c r="W105" s="3"/>
      <c r="X105" s="3"/>
      <c r="Y105" s="3"/>
    </row>
    <row r="106" spans="1:25" ht="12.75" customHeight="1" x14ac:dyDescent="0.35">
      <c r="A106" s="83"/>
      <c r="B106" s="83"/>
      <c r="C106" s="83"/>
      <c r="D106" s="83"/>
      <c r="E106" s="83"/>
      <c r="F106" s="83"/>
      <c r="G106" s="83"/>
      <c r="H106" s="83"/>
      <c r="I106" s="83"/>
      <c r="J106" s="83"/>
      <c r="K106" s="83"/>
      <c r="L106" s="83"/>
      <c r="M106" s="83"/>
      <c r="N106" s="83"/>
      <c r="O106" s="83"/>
      <c r="P106" s="83"/>
      <c r="Q106" s="83"/>
      <c r="R106" s="81"/>
      <c r="S106" s="3"/>
      <c r="T106" s="3"/>
      <c r="U106" s="3"/>
      <c r="V106" s="3"/>
      <c r="W106" s="3"/>
      <c r="X106" s="3"/>
      <c r="Y106" s="3"/>
    </row>
    <row r="107" spans="1:25" ht="12.75" customHeight="1" x14ac:dyDescent="0.35">
      <c r="A107" s="83"/>
      <c r="B107" s="83"/>
      <c r="C107" s="83"/>
      <c r="D107" s="83"/>
      <c r="E107" s="83"/>
      <c r="F107" s="83"/>
      <c r="G107" s="83"/>
      <c r="H107" s="83"/>
      <c r="I107" s="83"/>
      <c r="J107" s="83"/>
      <c r="K107" s="83"/>
      <c r="L107" s="83"/>
      <c r="M107" s="83"/>
      <c r="N107" s="83"/>
      <c r="O107" s="83"/>
      <c r="P107" s="83"/>
      <c r="Q107" s="83"/>
      <c r="R107" s="81"/>
      <c r="S107" s="3"/>
      <c r="T107" s="3"/>
      <c r="U107" s="3"/>
      <c r="V107" s="3"/>
      <c r="W107" s="3"/>
      <c r="X107" s="3"/>
      <c r="Y107" s="3"/>
    </row>
    <row r="108" spans="1:25" ht="12.75" customHeight="1" x14ac:dyDescent="0.35">
      <c r="A108" s="83"/>
      <c r="B108" s="83"/>
      <c r="C108" s="83"/>
      <c r="D108" s="83"/>
      <c r="E108" s="83"/>
      <c r="F108" s="83"/>
      <c r="G108" s="83"/>
      <c r="H108" s="83"/>
      <c r="I108" s="83"/>
      <c r="J108" s="83"/>
      <c r="K108" s="83"/>
      <c r="L108" s="83"/>
      <c r="M108" s="83"/>
      <c r="N108" s="83"/>
      <c r="O108" s="83"/>
      <c r="P108" s="83"/>
      <c r="Q108" s="83"/>
      <c r="R108" s="81"/>
      <c r="S108" s="3"/>
      <c r="T108" s="3"/>
      <c r="U108" s="3"/>
      <c r="V108" s="3"/>
      <c r="W108" s="3"/>
      <c r="X108" s="3"/>
      <c r="Y108" s="3"/>
    </row>
    <row r="109" spans="1:25" ht="12.75" customHeight="1" x14ac:dyDescent="0.35">
      <c r="A109" s="83"/>
      <c r="B109" s="83"/>
      <c r="C109" s="83"/>
      <c r="D109" s="83"/>
      <c r="E109" s="83"/>
      <c r="F109" s="83"/>
      <c r="G109" s="83"/>
      <c r="H109" s="83"/>
      <c r="I109" s="83"/>
      <c r="J109" s="83"/>
      <c r="K109" s="83"/>
      <c r="L109" s="83"/>
      <c r="M109" s="83"/>
      <c r="N109" s="83"/>
      <c r="O109" s="83"/>
      <c r="P109" s="83"/>
      <c r="Q109" s="83"/>
      <c r="R109" s="81"/>
      <c r="S109" s="3"/>
      <c r="T109" s="3"/>
      <c r="U109" s="3"/>
      <c r="V109" s="3"/>
      <c r="W109" s="3"/>
      <c r="X109" s="3"/>
      <c r="Y109" s="3"/>
    </row>
    <row r="110" spans="1:25" ht="12.75" customHeight="1" x14ac:dyDescent="0.35">
      <c r="A110" s="83"/>
      <c r="B110" s="83"/>
      <c r="C110" s="83"/>
      <c r="D110" s="83"/>
      <c r="E110" s="83"/>
      <c r="F110" s="83"/>
      <c r="G110" s="83"/>
      <c r="H110" s="83"/>
      <c r="I110" s="83"/>
      <c r="J110" s="83"/>
      <c r="K110" s="83"/>
      <c r="L110" s="83"/>
      <c r="M110" s="83"/>
      <c r="N110" s="83"/>
      <c r="O110" s="83"/>
      <c r="P110" s="83"/>
      <c r="Q110" s="83"/>
      <c r="R110" s="81"/>
      <c r="S110" s="3"/>
      <c r="T110" s="3"/>
      <c r="U110" s="3"/>
      <c r="V110" s="3"/>
      <c r="W110" s="3"/>
      <c r="X110" s="3"/>
      <c r="Y110" s="3"/>
    </row>
    <row r="111" spans="1:25" ht="12.75" customHeight="1" x14ac:dyDescent="0.35">
      <c r="A111" s="83"/>
      <c r="B111" s="83"/>
      <c r="C111" s="83"/>
      <c r="D111" s="83"/>
      <c r="E111" s="83"/>
      <c r="F111" s="83"/>
      <c r="G111" s="83"/>
      <c r="H111" s="83"/>
      <c r="I111" s="83"/>
      <c r="J111" s="83"/>
      <c r="K111" s="83"/>
      <c r="L111" s="83"/>
      <c r="M111" s="83"/>
      <c r="N111" s="83"/>
      <c r="O111" s="83"/>
      <c r="P111" s="83"/>
      <c r="Q111" s="83"/>
      <c r="R111" s="81"/>
      <c r="S111" s="3"/>
      <c r="T111" s="3"/>
      <c r="U111" s="3"/>
      <c r="V111" s="3"/>
      <c r="W111" s="3"/>
      <c r="X111" s="3"/>
      <c r="Y111" s="3"/>
    </row>
    <row r="112" spans="1:25" ht="12.75" customHeight="1" x14ac:dyDescent="0.35">
      <c r="A112" s="83"/>
      <c r="B112" s="83"/>
      <c r="C112" s="83"/>
      <c r="D112" s="83"/>
      <c r="E112" s="83"/>
      <c r="F112" s="83"/>
      <c r="G112" s="83"/>
      <c r="H112" s="83"/>
      <c r="I112" s="83"/>
      <c r="J112" s="83"/>
      <c r="K112" s="83"/>
      <c r="L112" s="83"/>
      <c r="M112" s="83"/>
      <c r="N112" s="83"/>
      <c r="O112" s="83"/>
      <c r="P112" s="83"/>
      <c r="Q112" s="83"/>
      <c r="R112" s="81"/>
      <c r="S112" s="3"/>
      <c r="T112" s="3"/>
      <c r="U112" s="3"/>
      <c r="V112" s="3"/>
      <c r="W112" s="3"/>
      <c r="X112" s="3"/>
      <c r="Y112" s="3"/>
    </row>
    <row r="113" spans="1:25" ht="12.75" customHeight="1" x14ac:dyDescent="0.35">
      <c r="A113" s="83"/>
      <c r="B113" s="83"/>
      <c r="C113" s="83"/>
      <c r="D113" s="83"/>
      <c r="E113" s="83"/>
      <c r="F113" s="83"/>
      <c r="G113" s="83"/>
      <c r="H113" s="83"/>
      <c r="I113" s="83"/>
      <c r="J113" s="83"/>
      <c r="K113" s="83"/>
      <c r="L113" s="83"/>
      <c r="M113" s="83"/>
      <c r="N113" s="83"/>
      <c r="O113" s="83"/>
      <c r="P113" s="83"/>
      <c r="Q113" s="83"/>
      <c r="R113" s="81"/>
      <c r="S113" s="3"/>
      <c r="T113" s="3"/>
      <c r="U113" s="3"/>
      <c r="V113" s="3"/>
      <c r="W113" s="3"/>
      <c r="X113" s="3"/>
      <c r="Y113" s="3"/>
    </row>
    <row r="114" spans="1:25" ht="12.75" customHeight="1" x14ac:dyDescent="0.35">
      <c r="A114" s="83"/>
      <c r="B114" s="83"/>
      <c r="C114" s="83"/>
      <c r="D114" s="83"/>
      <c r="E114" s="83"/>
      <c r="F114" s="83"/>
      <c r="G114" s="83"/>
      <c r="H114" s="83"/>
      <c r="I114" s="83"/>
      <c r="J114" s="83"/>
      <c r="K114" s="83"/>
      <c r="L114" s="83"/>
      <c r="M114" s="83"/>
      <c r="N114" s="83"/>
      <c r="O114" s="83"/>
      <c r="P114" s="83"/>
      <c r="Q114" s="83"/>
      <c r="R114" s="81"/>
      <c r="S114" s="3"/>
      <c r="T114" s="3"/>
      <c r="U114" s="3"/>
      <c r="V114" s="3"/>
      <c r="W114" s="3"/>
      <c r="X114" s="3"/>
      <c r="Y114" s="3"/>
    </row>
    <row r="115" spans="1:25" ht="12.75" customHeight="1" x14ac:dyDescent="0.35">
      <c r="A115" s="83"/>
      <c r="B115" s="83"/>
      <c r="C115" s="83"/>
      <c r="D115" s="83"/>
      <c r="E115" s="83"/>
      <c r="F115" s="83"/>
      <c r="G115" s="83"/>
      <c r="H115" s="83"/>
      <c r="I115" s="83"/>
      <c r="J115" s="83"/>
      <c r="K115" s="83"/>
      <c r="L115" s="83"/>
      <c r="M115" s="83"/>
      <c r="N115" s="83"/>
      <c r="O115" s="83"/>
      <c r="P115" s="83"/>
      <c r="Q115" s="83"/>
      <c r="R115" s="81"/>
      <c r="S115" s="3"/>
      <c r="T115" s="3"/>
      <c r="U115" s="3"/>
      <c r="V115" s="3"/>
      <c r="W115" s="3"/>
      <c r="X115" s="3"/>
      <c r="Y115" s="3"/>
    </row>
    <row r="116" spans="1:25" ht="12.75" customHeight="1" x14ac:dyDescent="0.35">
      <c r="A116" s="83"/>
      <c r="B116" s="83"/>
      <c r="C116" s="83"/>
      <c r="D116" s="83"/>
      <c r="E116" s="83"/>
      <c r="F116" s="83"/>
      <c r="G116" s="83"/>
      <c r="H116" s="83"/>
      <c r="I116" s="83"/>
      <c r="J116" s="83"/>
      <c r="K116" s="83"/>
      <c r="L116" s="83"/>
      <c r="M116" s="83"/>
      <c r="N116" s="83"/>
      <c r="O116" s="83"/>
      <c r="P116" s="83"/>
      <c r="Q116" s="83"/>
      <c r="R116" s="81"/>
      <c r="S116" s="3"/>
      <c r="T116" s="3"/>
      <c r="U116" s="3"/>
      <c r="V116" s="3"/>
      <c r="W116" s="3"/>
      <c r="X116" s="3"/>
      <c r="Y116" s="3"/>
    </row>
    <row r="117" spans="1:25" ht="12.75" customHeight="1" x14ac:dyDescent="0.35">
      <c r="A117" s="83"/>
      <c r="B117" s="83"/>
      <c r="C117" s="83"/>
      <c r="D117" s="83"/>
      <c r="E117" s="83"/>
      <c r="F117" s="83"/>
      <c r="G117" s="83"/>
      <c r="H117" s="83"/>
      <c r="I117" s="83"/>
      <c r="J117" s="83"/>
      <c r="K117" s="83"/>
      <c r="L117" s="83"/>
      <c r="M117" s="83"/>
      <c r="N117" s="83"/>
      <c r="O117" s="83"/>
      <c r="P117" s="83"/>
      <c r="Q117" s="83"/>
      <c r="R117" s="81"/>
      <c r="S117" s="3"/>
      <c r="T117" s="3"/>
      <c r="U117" s="3"/>
      <c r="V117" s="3"/>
      <c r="W117" s="3"/>
      <c r="X117" s="3"/>
      <c r="Y117" s="3"/>
    </row>
    <row r="118" spans="1:25" ht="12.75" customHeight="1" x14ac:dyDescent="0.35">
      <c r="A118" s="83"/>
      <c r="B118" s="83"/>
      <c r="C118" s="83"/>
      <c r="D118" s="83"/>
      <c r="E118" s="83"/>
      <c r="F118" s="83"/>
      <c r="G118" s="83"/>
      <c r="H118" s="83"/>
      <c r="I118" s="83"/>
      <c r="J118" s="83"/>
      <c r="K118" s="83"/>
      <c r="L118" s="83"/>
      <c r="M118" s="83"/>
      <c r="N118" s="83"/>
      <c r="O118" s="83"/>
      <c r="P118" s="83"/>
      <c r="Q118" s="83"/>
      <c r="R118" s="81"/>
      <c r="S118" s="3"/>
      <c r="T118" s="3"/>
      <c r="U118" s="3"/>
      <c r="V118" s="3"/>
      <c r="W118" s="3"/>
      <c r="X118" s="3"/>
      <c r="Y118" s="3"/>
    </row>
    <row r="119" spans="1:25" ht="12.75" customHeight="1" x14ac:dyDescent="0.35">
      <c r="A119" s="83"/>
      <c r="B119" s="83"/>
      <c r="C119" s="83"/>
      <c r="D119" s="83"/>
      <c r="E119" s="83"/>
      <c r="F119" s="83"/>
      <c r="G119" s="83"/>
      <c r="H119" s="83"/>
      <c r="I119" s="83"/>
      <c r="J119" s="83"/>
      <c r="K119" s="83"/>
      <c r="L119" s="83"/>
      <c r="M119" s="83"/>
      <c r="N119" s="83"/>
      <c r="O119" s="83"/>
      <c r="P119" s="83"/>
      <c r="Q119" s="83"/>
      <c r="R119" s="81"/>
      <c r="S119" s="3"/>
      <c r="T119" s="3"/>
      <c r="U119" s="3"/>
      <c r="V119" s="3"/>
      <c r="W119" s="3"/>
      <c r="X119" s="3"/>
      <c r="Y119" s="3"/>
    </row>
    <row r="120" spans="1:25" ht="12.75" customHeight="1" x14ac:dyDescent="0.35">
      <c r="A120" s="83"/>
      <c r="B120" s="83"/>
      <c r="C120" s="83"/>
      <c r="D120" s="83"/>
      <c r="E120" s="83"/>
      <c r="F120" s="83"/>
      <c r="G120" s="83"/>
      <c r="H120" s="83"/>
      <c r="I120" s="83"/>
      <c r="J120" s="83"/>
      <c r="K120" s="83"/>
      <c r="L120" s="83"/>
      <c r="M120" s="83"/>
      <c r="N120" s="83"/>
      <c r="O120" s="83"/>
      <c r="P120" s="83"/>
      <c r="Q120" s="83"/>
      <c r="R120" s="81"/>
      <c r="S120" s="3"/>
      <c r="T120" s="3"/>
      <c r="U120" s="3"/>
      <c r="V120" s="3"/>
      <c r="W120" s="3"/>
      <c r="X120" s="3"/>
      <c r="Y120" s="3"/>
    </row>
    <row r="121" spans="1:25" ht="12.75" customHeight="1" x14ac:dyDescent="0.35">
      <c r="A121" s="83"/>
      <c r="B121" s="83"/>
      <c r="C121" s="83"/>
      <c r="D121" s="83"/>
      <c r="E121" s="83"/>
      <c r="F121" s="83"/>
      <c r="G121" s="83"/>
      <c r="H121" s="83"/>
      <c r="I121" s="83"/>
      <c r="J121" s="83"/>
      <c r="K121" s="83"/>
      <c r="L121" s="83"/>
      <c r="M121" s="83"/>
      <c r="N121" s="83"/>
      <c r="O121" s="83"/>
      <c r="P121" s="83"/>
      <c r="Q121" s="83"/>
      <c r="R121" s="81"/>
      <c r="S121" s="3"/>
      <c r="T121" s="3"/>
      <c r="U121" s="3"/>
      <c r="V121" s="3"/>
      <c r="W121" s="3"/>
      <c r="X121" s="3"/>
      <c r="Y121" s="3"/>
    </row>
    <row r="122" spans="1:25" ht="12.75" customHeight="1" x14ac:dyDescent="0.35">
      <c r="A122" s="83"/>
      <c r="B122" s="83"/>
      <c r="C122" s="83"/>
      <c r="D122" s="83"/>
      <c r="E122" s="83"/>
      <c r="F122" s="83"/>
      <c r="G122" s="83"/>
      <c r="H122" s="83"/>
      <c r="I122" s="83"/>
      <c r="J122" s="83"/>
      <c r="K122" s="83"/>
      <c r="L122" s="83"/>
      <c r="M122" s="83"/>
      <c r="N122" s="83"/>
      <c r="O122" s="83"/>
      <c r="P122" s="83"/>
      <c r="Q122" s="83"/>
      <c r="R122" s="81"/>
      <c r="S122" s="3"/>
      <c r="T122" s="3"/>
      <c r="U122" s="3"/>
      <c r="V122" s="3"/>
      <c r="W122" s="3"/>
      <c r="X122" s="3"/>
      <c r="Y122" s="3"/>
    </row>
  </sheetData>
  <sheetProtection password="EDB3" sheet="1" objects="1" scenarios="1"/>
  <mergeCells count="30">
    <mergeCell ref="L52:M52"/>
    <mergeCell ref="D51:N51"/>
    <mergeCell ref="G23:G24"/>
    <mergeCell ref="C51:C53"/>
    <mergeCell ref="D52:E52"/>
    <mergeCell ref="F52:F53"/>
    <mergeCell ref="L4:N4"/>
    <mergeCell ref="L5:N5"/>
    <mergeCell ref="G52:H52"/>
    <mergeCell ref="H23:I24"/>
    <mergeCell ref="H26:H27"/>
    <mergeCell ref="I26:I27"/>
    <mergeCell ref="C16:I16"/>
    <mergeCell ref="N52:N53"/>
    <mergeCell ref="J52:K52"/>
    <mergeCell ref="I28:I33"/>
    <mergeCell ref="H34:H37"/>
    <mergeCell ref="H28:H33"/>
    <mergeCell ref="I52:I53"/>
    <mergeCell ref="H38:H39"/>
    <mergeCell ref="I38:I39"/>
    <mergeCell ref="I34:I37"/>
    <mergeCell ref="D3:F3"/>
    <mergeCell ref="H2:J3"/>
    <mergeCell ref="D2:F2"/>
    <mergeCell ref="C23:C25"/>
    <mergeCell ref="D24:D25"/>
    <mergeCell ref="E24:E25"/>
    <mergeCell ref="F24:F25"/>
    <mergeCell ref="D23:F23"/>
  </mergeCells>
  <conditionalFormatting sqref="D26:D39">
    <cfRule type="expression" dxfId="606" priority="1">
      <formula>$G$20&lt;&gt;"Não"</formula>
    </cfRule>
  </conditionalFormatting>
  <conditionalFormatting sqref="D40">
    <cfRule type="expression" dxfId="605" priority="2">
      <formula>AND($G$20="Sim",$D$40&lt;&gt;100)</formula>
    </cfRule>
  </conditionalFormatting>
  <conditionalFormatting sqref="G28">
    <cfRule type="expression" dxfId="604" priority="3">
      <formula>#REF!&lt;&gt;""</formula>
    </cfRule>
  </conditionalFormatting>
  <conditionalFormatting sqref="G29">
    <cfRule type="expression" dxfId="603" priority="4">
      <formula>#REF!&lt;&gt;""</formula>
    </cfRule>
  </conditionalFormatting>
  <conditionalFormatting sqref="G30">
    <cfRule type="expression" dxfId="602" priority="5">
      <formula>#REF!&lt;&gt;""</formula>
    </cfRule>
  </conditionalFormatting>
  <conditionalFormatting sqref="G31">
    <cfRule type="expression" dxfId="601" priority="6">
      <formula>#REF!&lt;&gt;""</formula>
    </cfRule>
  </conditionalFormatting>
  <conditionalFormatting sqref="G32">
    <cfRule type="expression" dxfId="600" priority="7">
      <formula>#REF!&lt;&gt;""</formula>
    </cfRule>
  </conditionalFormatting>
  <conditionalFormatting sqref="G33">
    <cfRule type="expression" dxfId="599" priority="8">
      <formula>#REF!&lt;&gt;""</formula>
    </cfRule>
  </conditionalFormatting>
  <conditionalFormatting sqref="D44">
    <cfRule type="expression" dxfId="598" priority="9">
      <formula>$D$44&gt;$H$28</formula>
    </cfRule>
  </conditionalFormatting>
  <conditionalFormatting sqref="D45">
    <cfRule type="expression" dxfId="597" priority="10">
      <formula>$D$45&gt;$H$26</formula>
    </cfRule>
  </conditionalFormatting>
  <dataValidations xWindow="552" yWindow="746" count="4">
    <dataValidation type="list" allowBlank="1" showErrorMessage="1" sqref="E12" xr:uid="{00000000-0002-0000-0100-000000000000}">
      <formula1>$P$8:$P$9</formula1>
    </dataValidation>
    <dataValidation type="decimal" allowBlank="1" showErrorMessage="1" error="Erro - Valor informado é superior ao material disponível  para coleta seletiva de recicláveis (em H28)." prompt="Não pode ser superior ao material disponível  para coleta seletiva de recicláveis (em H28)." sqref="D44" xr:uid="{00000000-0002-0000-0100-000001000000}">
      <formula1>0</formula1>
      <formula2>H28</formula2>
    </dataValidation>
    <dataValidation type="list" allowBlank="1" showErrorMessage="1" sqref="G20" xr:uid="{00000000-0002-0000-0100-000002000000}">
      <formula1>$P$2:$P$3</formula1>
    </dataValidation>
    <dataValidation type="decimal" allowBlank="1" showErrorMessage="1" error="Valor informado é superior ao material disponível  para coleta seletiva de orgânicos (em H25)." prompt="Erro - Valor informado é superior ao material disponível  para coleta seletiva de orgânicos (em H25)." sqref="D45" xr:uid="{00000000-0002-0000-0100-000003000000}">
      <formula1>0</formula1>
      <formula2>H26</formula2>
    </dataValidation>
  </dataValidations>
  <pageMargins left="0.511811024" right="0.511811024" top="0.78740157499999996" bottom="0.78740157499999996" header="0" footer="0"/>
  <pageSetup paperSize="9"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outlinePr summaryBelow="0"/>
  </sheetPr>
  <dimension ref="A1:BI107"/>
  <sheetViews>
    <sheetView zoomScale="75" zoomScaleNormal="75" workbookViewId="0">
      <selection activeCell="B1" sqref="B1:B3"/>
    </sheetView>
  </sheetViews>
  <sheetFormatPr defaultColWidth="14.453125" defaultRowHeight="15" customHeight="1" outlineLevelRow="1" x14ac:dyDescent="0.35"/>
  <cols>
    <col min="1" max="1" width="1.26953125" customWidth="1"/>
    <col min="2" max="2" width="60.7265625" customWidth="1"/>
    <col min="3" max="3" width="1.7265625" customWidth="1"/>
    <col min="4" max="4" width="11.7265625" customWidth="1"/>
    <col min="5" max="5" width="15.7265625" customWidth="1"/>
    <col min="6" max="6" width="11.7265625" customWidth="1"/>
    <col min="7" max="7" width="1.7265625" customWidth="1"/>
    <col min="8" max="8" width="11.7265625" customWidth="1"/>
    <col min="9" max="9" width="15.7265625" customWidth="1"/>
    <col min="10" max="10" width="11.7265625" customWidth="1"/>
    <col min="11" max="11" width="1.7265625" customWidth="1"/>
    <col min="12" max="12" width="11.7265625" customWidth="1"/>
    <col min="13" max="13" width="15.7265625" customWidth="1"/>
    <col min="14" max="14" width="11.7265625" customWidth="1"/>
    <col min="15" max="15" width="1.7265625" customWidth="1"/>
    <col min="16" max="16" width="11.7265625" customWidth="1"/>
    <col min="17" max="17" width="15.7265625" customWidth="1"/>
    <col min="18" max="18" width="11.7265625" customWidth="1"/>
    <col min="19" max="19" width="1.7265625" customWidth="1"/>
    <col min="20" max="20" width="11.7265625" customWidth="1"/>
    <col min="21" max="21" width="15.7265625" customWidth="1"/>
    <col min="22" max="22" width="11.7265625" customWidth="1"/>
    <col min="23" max="24" width="8.7265625" hidden="1" customWidth="1"/>
    <col min="25" max="26" width="9.453125" hidden="1" customWidth="1"/>
    <col min="27" max="27" width="10.26953125" hidden="1" customWidth="1"/>
    <col min="28" max="61" width="8.453125" customWidth="1"/>
  </cols>
  <sheetData>
    <row r="1" spans="1:61" ht="20.149999999999999" customHeight="1" x14ac:dyDescent="0.35">
      <c r="A1" s="430"/>
      <c r="B1" s="2303" t="s">
        <v>879</v>
      </c>
      <c r="C1" s="441"/>
      <c r="D1" s="441"/>
      <c r="E1" s="441"/>
      <c r="F1" s="441"/>
      <c r="G1" s="441"/>
      <c r="H1" s="441"/>
      <c r="I1" s="441"/>
      <c r="J1" s="1182"/>
      <c r="K1" s="1182"/>
      <c r="L1" s="1182"/>
      <c r="M1" s="1182"/>
      <c r="N1" s="441"/>
      <c r="O1" s="441"/>
      <c r="P1" s="441"/>
      <c r="Q1" s="441"/>
      <c r="R1" s="441"/>
      <c r="S1" s="441"/>
      <c r="T1" s="441"/>
      <c r="U1" s="441"/>
      <c r="V1" s="441"/>
    </row>
    <row r="2" spans="1:61" ht="20.149999999999999" customHeight="1" x14ac:dyDescent="0.45">
      <c r="A2" s="893"/>
      <c r="B2" s="2303"/>
      <c r="C2" s="444"/>
      <c r="D2" s="1021">
        <f>IF('R-Definição'!E121="Novo",'R-Resumo Bal. Massa'!B46*(1+'R&amp;C-Painel de Controle'!H75),0)</f>
        <v>1144.3086000000001</v>
      </c>
      <c r="E2" s="1022" t="s">
        <v>19</v>
      </c>
      <c r="F2" s="1158"/>
      <c r="G2" s="1158"/>
      <c r="H2" s="1156">
        <f>D2*313</f>
        <v>358168.59179999999</v>
      </c>
      <c r="I2" s="1155" t="s">
        <v>291</v>
      </c>
      <c r="J2" s="1158"/>
      <c r="K2" s="1158"/>
      <c r="L2" s="1137" t="str">
        <f>IF(D2&gt;0,"Sim","Não")</f>
        <v>Sim</v>
      </c>
      <c r="M2" s="439"/>
      <c r="N2" s="439"/>
      <c r="O2" s="439"/>
      <c r="P2" s="1157" t="s">
        <v>493</v>
      </c>
      <c r="Q2" s="2294" t="str">
        <f>'R-Definição'!D2</f>
        <v>São Judas Tadeu</v>
      </c>
      <c r="R2" s="2295"/>
      <c r="S2" s="437"/>
      <c r="T2" s="1157" t="s">
        <v>494</v>
      </c>
      <c r="U2" s="2294" t="str">
        <f>'R-Definição'!D3</f>
        <v>Rota Futura 1</v>
      </c>
      <c r="V2" s="2295"/>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row>
    <row r="3" spans="1:61" ht="20.149999999999999" customHeight="1" x14ac:dyDescent="0.35">
      <c r="A3" s="430"/>
      <c r="B3" s="2303"/>
      <c r="C3" s="435"/>
      <c r="D3" s="434"/>
      <c r="E3" s="434"/>
      <c r="F3" s="434"/>
      <c r="G3" s="434"/>
      <c r="H3" s="434"/>
      <c r="I3" s="434"/>
      <c r="J3" s="434"/>
      <c r="K3" s="434"/>
      <c r="L3" s="434"/>
      <c r="M3" s="434"/>
      <c r="N3" s="434"/>
      <c r="O3" s="439"/>
      <c r="P3" s="434"/>
      <c r="Q3" s="434"/>
      <c r="R3" s="434"/>
      <c r="S3" s="434"/>
      <c r="T3" s="434"/>
      <c r="U3" s="434"/>
      <c r="V3" s="434"/>
    </row>
    <row r="4" spans="1:61" s="1158" customFormat="1" ht="8.15" customHeight="1" x14ac:dyDescent="0.35">
      <c r="A4" s="430"/>
      <c r="B4" s="733"/>
      <c r="C4" s="393"/>
      <c r="D4" s="1121"/>
      <c r="E4" s="1121"/>
      <c r="F4" s="1121"/>
      <c r="G4" s="393"/>
      <c r="H4" s="1121"/>
      <c r="I4" s="1121"/>
      <c r="J4" s="1121"/>
      <c r="K4" s="393"/>
      <c r="L4" s="1121"/>
      <c r="M4" s="1121"/>
      <c r="N4" s="1121"/>
      <c r="O4" s="393"/>
      <c r="P4" s="1121"/>
      <c r="Q4" s="1121"/>
      <c r="R4" s="1121"/>
      <c r="S4" s="1027"/>
      <c r="T4" s="1121"/>
      <c r="U4" s="1121"/>
      <c r="V4" s="1028"/>
    </row>
    <row r="5" spans="1:61" ht="17.899999999999999" customHeight="1" x14ac:dyDescent="0.35">
      <c r="A5" s="430"/>
      <c r="B5" s="993" t="s">
        <v>859</v>
      </c>
      <c r="C5" s="445"/>
      <c r="D5" s="1162">
        <v>4.25</v>
      </c>
      <c r="E5" s="998" t="s">
        <v>870</v>
      </c>
      <c r="F5" s="996"/>
      <c r="G5" s="996"/>
      <c r="H5" s="996"/>
      <c r="I5" s="996"/>
      <c r="J5" s="996"/>
      <c r="K5" s="996"/>
      <c r="L5" s="996"/>
      <c r="M5" s="996"/>
      <c r="N5" s="996"/>
      <c r="O5" s="996"/>
      <c r="P5" s="996"/>
      <c r="Q5" s="996"/>
      <c r="R5" s="996"/>
      <c r="S5" s="996"/>
      <c r="T5" s="996"/>
      <c r="U5" s="996"/>
      <c r="V5" s="327"/>
    </row>
    <row r="6" spans="1:61" s="1158" customFormat="1" ht="8.15" customHeight="1" x14ac:dyDescent="0.35">
      <c r="A6" s="430"/>
      <c r="B6" s="733"/>
      <c r="C6" s="393"/>
      <c r="D6" s="1121"/>
      <c r="E6" s="1121"/>
      <c r="F6" s="1121"/>
      <c r="G6" s="393"/>
      <c r="H6" s="1121"/>
      <c r="I6" s="1121"/>
      <c r="J6" s="1121"/>
      <c r="K6" s="393"/>
      <c r="L6" s="1121"/>
      <c r="M6" s="1121"/>
      <c r="N6" s="1121"/>
      <c r="O6" s="393"/>
      <c r="P6" s="1121"/>
      <c r="Q6" s="1121"/>
      <c r="R6" s="1121"/>
      <c r="S6" s="1027"/>
      <c r="T6" s="1121"/>
      <c r="U6" s="1121"/>
      <c r="V6" s="1028"/>
    </row>
    <row r="7" spans="1:61" ht="17.149999999999999" customHeight="1" x14ac:dyDescent="0.35">
      <c r="A7" s="430"/>
      <c r="B7" s="977"/>
      <c r="C7" s="977"/>
      <c r="D7" s="977"/>
      <c r="E7" s="1114" t="str">
        <f>IF(AND(L2="Sim",$D$2&gt;D11,$D$2&lt;=F11),"SIM","NÃO")</f>
        <v>NÃO</v>
      </c>
      <c r="F7" s="981"/>
      <c r="G7" s="977"/>
      <c r="H7" s="981"/>
      <c r="I7" s="1141" t="str">
        <f>IF(AND(L2="Sim",$D$2&gt;H11,$D$2&lt;=J11),"SIM","NÃO")</f>
        <v>NÃO</v>
      </c>
      <c r="J7" s="981"/>
      <c r="K7" s="977"/>
      <c r="L7" s="981"/>
      <c r="M7" s="1114" t="str">
        <f>IF(AND(L2="Sim",$D$2&gt;L11,$D$2&lt;=N11),"SIM","NÃO")</f>
        <v>NÃO</v>
      </c>
      <c r="N7" s="981"/>
      <c r="O7" s="1139"/>
      <c r="P7" s="981"/>
      <c r="Q7" s="1114" t="str">
        <f>IF(AND(L2="Sim",$D$2&gt;P11,$D$2&lt;=R11),"SIM","NÃO")</f>
        <v>NÃO</v>
      </c>
      <c r="R7" s="981"/>
      <c r="S7" s="977"/>
      <c r="T7" s="981"/>
      <c r="U7" s="1142" t="str">
        <f>IF(AND(L2="Sim",$D$2&gt;T11,$D$2&lt;=V11*1.5),"SIM","NÃO")</f>
        <v>SIM</v>
      </c>
      <c r="V7" s="977"/>
    </row>
    <row r="8" spans="1:61" s="1158" customFormat="1" ht="8.15" customHeight="1" thickBot="1" x14ac:dyDescent="0.4">
      <c r="A8" s="430"/>
      <c r="B8" s="733"/>
      <c r="C8" s="393"/>
      <c r="D8" s="1121"/>
      <c r="E8" s="1121"/>
      <c r="F8" s="1121"/>
      <c r="G8" s="393"/>
      <c r="H8" s="1121"/>
      <c r="I8" s="1121"/>
      <c r="J8" s="1121"/>
      <c r="K8" s="393"/>
      <c r="L8" s="1121"/>
      <c r="M8" s="1121"/>
      <c r="N8" s="1121"/>
      <c r="O8" s="393"/>
      <c r="P8" s="1121"/>
      <c r="Q8" s="1121"/>
      <c r="R8" s="1121"/>
      <c r="S8" s="1027"/>
      <c r="T8" s="1121"/>
      <c r="U8" s="1121"/>
      <c r="V8" s="1028"/>
    </row>
    <row r="9" spans="1:61" ht="17.899999999999999" customHeight="1" thickTop="1" thickBot="1" x14ac:dyDescent="0.5">
      <c r="A9" s="430"/>
      <c r="B9" s="2297" t="s">
        <v>697</v>
      </c>
      <c r="C9" s="1023"/>
      <c r="D9" s="2300" t="s">
        <v>453</v>
      </c>
      <c r="E9" s="2301"/>
      <c r="F9" s="2301"/>
      <c r="G9" s="2301"/>
      <c r="H9" s="2301"/>
      <c r="I9" s="2301"/>
      <c r="J9" s="2301"/>
      <c r="K9" s="2301"/>
      <c r="L9" s="2301"/>
      <c r="M9" s="2301"/>
      <c r="N9" s="2301"/>
      <c r="O9" s="2301"/>
      <c r="P9" s="2301"/>
      <c r="Q9" s="2301"/>
      <c r="R9" s="2301"/>
      <c r="S9" s="2301"/>
      <c r="T9" s="2301"/>
      <c r="U9" s="2301"/>
      <c r="V9" s="2302"/>
    </row>
    <row r="10" spans="1:61" ht="7.5" customHeight="1" x14ac:dyDescent="0.35">
      <c r="A10" s="430"/>
      <c r="B10" s="2298"/>
      <c r="C10" s="1023"/>
      <c r="D10" s="1132"/>
      <c r="E10" s="1020"/>
      <c r="F10" s="1020"/>
      <c r="G10" s="978"/>
      <c r="H10" s="1020"/>
      <c r="I10" s="1020"/>
      <c r="J10" s="1020"/>
      <c r="K10" s="978"/>
      <c r="L10" s="1020"/>
      <c r="M10" s="1020"/>
      <c r="N10" s="1020"/>
      <c r="O10" s="978"/>
      <c r="P10" s="1020"/>
      <c r="Q10" s="1020"/>
      <c r="R10" s="1020"/>
      <c r="S10" s="978"/>
      <c r="T10" s="1020"/>
      <c r="U10" s="1020"/>
      <c r="V10" s="1133"/>
    </row>
    <row r="11" spans="1:61" ht="17.899999999999999" customHeight="1" thickBot="1" x14ac:dyDescent="0.4">
      <c r="A11" s="430"/>
      <c r="B11" s="2299"/>
      <c r="C11" s="1023"/>
      <c r="D11" s="1124">
        <v>10</v>
      </c>
      <c r="E11" s="1126" t="s">
        <v>19</v>
      </c>
      <c r="F11" s="1126">
        <v>25</v>
      </c>
      <c r="G11" s="1127"/>
      <c r="H11" s="1126">
        <f>F11</f>
        <v>25</v>
      </c>
      <c r="I11" s="1126" t="s">
        <v>19</v>
      </c>
      <c r="J11" s="1126">
        <v>100</v>
      </c>
      <c r="K11" s="1127"/>
      <c r="L11" s="1126">
        <f>J11</f>
        <v>100</v>
      </c>
      <c r="M11" s="1126" t="s">
        <v>19</v>
      </c>
      <c r="N11" s="1126">
        <v>300</v>
      </c>
      <c r="O11" s="1127"/>
      <c r="P11" s="1126">
        <f>N11</f>
        <v>300</v>
      </c>
      <c r="Q11" s="1126" t="s">
        <v>19</v>
      </c>
      <c r="R11" s="1126">
        <v>800</v>
      </c>
      <c r="S11" s="1127"/>
      <c r="T11" s="1126">
        <f>R11</f>
        <v>800</v>
      </c>
      <c r="U11" s="1126" t="s">
        <v>19</v>
      </c>
      <c r="V11" s="1128">
        <v>2000</v>
      </c>
    </row>
    <row r="12" spans="1:61" s="1158" customFormat="1" ht="8.15" customHeight="1" thickTop="1" thickBot="1" x14ac:dyDescent="0.4">
      <c r="A12" s="430"/>
      <c r="B12" s="1130"/>
      <c r="C12" s="875"/>
      <c r="D12" s="1131"/>
      <c r="E12" s="1131"/>
      <c r="F12" s="1131"/>
      <c r="G12" s="875"/>
      <c r="H12" s="1131"/>
      <c r="I12" s="1131"/>
      <c r="J12" s="1131"/>
      <c r="K12" s="875"/>
      <c r="L12" s="1131"/>
      <c r="M12" s="1131"/>
      <c r="N12" s="1131"/>
      <c r="O12" s="875"/>
      <c r="P12" s="1131"/>
      <c r="Q12" s="1131"/>
      <c r="R12" s="1131"/>
      <c r="S12" s="875"/>
      <c r="T12" s="1131"/>
      <c r="U12" s="1131"/>
      <c r="V12" s="1131"/>
    </row>
    <row r="13" spans="1:61" s="1006" customFormat="1" ht="25.15" customHeight="1" thickTop="1" thickBot="1" x14ac:dyDescent="0.5">
      <c r="A13" s="1200"/>
      <c r="B13" s="1228" t="s">
        <v>500</v>
      </c>
      <c r="C13" s="1073"/>
      <c r="D13" s="1062" t="s">
        <v>858</v>
      </c>
      <c r="E13" s="1063" t="s">
        <v>499</v>
      </c>
      <c r="F13" s="1064" t="s">
        <v>332</v>
      </c>
      <c r="G13" s="997"/>
      <c r="H13" s="1062" t="s">
        <v>858</v>
      </c>
      <c r="I13" s="1063" t="s">
        <v>499</v>
      </c>
      <c r="J13" s="1064" t="s">
        <v>332</v>
      </c>
      <c r="K13" s="997"/>
      <c r="L13" s="1062" t="s">
        <v>858</v>
      </c>
      <c r="M13" s="1063" t="s">
        <v>499</v>
      </c>
      <c r="N13" s="1064" t="s">
        <v>332</v>
      </c>
      <c r="O13" s="997"/>
      <c r="P13" s="1062" t="s">
        <v>858</v>
      </c>
      <c r="Q13" s="1063" t="s">
        <v>499</v>
      </c>
      <c r="R13" s="1064" t="s">
        <v>332</v>
      </c>
      <c r="S13" s="997"/>
      <c r="T13" s="1062" t="s">
        <v>858</v>
      </c>
      <c r="U13" s="1063" t="s">
        <v>499</v>
      </c>
      <c r="V13" s="1064" t="s">
        <v>332</v>
      </c>
      <c r="W13" s="1208"/>
    </row>
    <row r="14" spans="1:61" ht="8.15" customHeight="1" x14ac:dyDescent="0.35">
      <c r="A14" s="721"/>
      <c r="B14" s="1229"/>
      <c r="C14" s="680"/>
      <c r="D14" s="1232"/>
      <c r="E14" s="345"/>
      <c r="F14" s="1233"/>
      <c r="G14" s="680"/>
      <c r="H14" s="1232"/>
      <c r="I14" s="345"/>
      <c r="J14" s="1233"/>
      <c r="K14" s="680"/>
      <c r="L14" s="1232"/>
      <c r="M14" s="345"/>
      <c r="N14" s="1233"/>
      <c r="O14" s="680"/>
      <c r="P14" s="1232"/>
      <c r="Q14" s="345"/>
      <c r="R14" s="1233"/>
      <c r="S14" s="680"/>
      <c r="T14" s="1232"/>
      <c r="U14" s="345"/>
      <c r="V14" s="1234"/>
      <c r="W14" s="1209"/>
    </row>
    <row r="15" spans="1:61" ht="20.149999999999999" customHeight="1" x14ac:dyDescent="0.35">
      <c r="A15" s="721"/>
      <c r="B15" s="1644" t="s">
        <v>454</v>
      </c>
      <c r="C15" s="680"/>
      <c r="D15" s="1648">
        <f>1.012922*(1+'R&amp;C-Painel de Controle'!$D$62)</f>
        <v>1.0129220000000001</v>
      </c>
      <c r="E15" s="1906" t="str">
        <f>(IF(E$7="SIM",D15*(1-(($D$2-D$11)/(F$11-D$11)))+F15*(1-((F$11-$D$2)/(F$11-D$11))),"-"))</f>
        <v>-</v>
      </c>
      <c r="F15" s="1621">
        <f>1.02232*(1+'R&amp;C-Painel de Controle'!$D$62)</f>
        <v>1.0223199999999999</v>
      </c>
      <c r="G15" s="1074"/>
      <c r="H15" s="1648">
        <f t="shared" ref="H15:H16" si="0">F15</f>
        <v>1.0223199999999999</v>
      </c>
      <c r="I15" s="1906" t="str">
        <f>(IF(I$7="SIM",H15*(1-(($D$2-H$11)/(J$11-H$11)))+J15*(1-((J$11-$D$2)/(J$11-H$11))),"-"))</f>
        <v>-</v>
      </c>
      <c r="J15" s="1621">
        <f>1.096437*(1+'R&amp;C-Painel de Controle'!$D$62)</f>
        <v>1.0964370000000001</v>
      </c>
      <c r="K15" s="1074"/>
      <c r="L15" s="1648">
        <f t="shared" ref="L15:L16" si="1">J15</f>
        <v>1.0964370000000001</v>
      </c>
      <c r="M15" s="1906" t="str">
        <f>(IF(M$7="SIM",L15*(1-(($D$2-L$11)/(N$11-L$11)))+N15*(1-((N$11-$D$2)/(N$11-L$11))),"-"))</f>
        <v>-</v>
      </c>
      <c r="N15" s="1621">
        <f>1.255526*(1+'R&amp;C-Painel de Controle'!$D$62)</f>
        <v>1.2555259999999999</v>
      </c>
      <c r="O15" s="1074"/>
      <c r="P15" s="1648">
        <f t="shared" ref="P15:P16" si="2">N15</f>
        <v>1.2555259999999999</v>
      </c>
      <c r="Q15" s="1906" t="str">
        <f>(IF(Q$7="SIM",P15*(1-(($D$2-P$11)/(R$11-P$11)))+R15*(1-((R$11-$D$2)/(R$11-P$11))),"-"))</f>
        <v>-</v>
      </c>
      <c r="R15" s="1621">
        <f>1.537231*(1+'R&amp;C-Painel de Controle'!$D$62)</f>
        <v>1.537231</v>
      </c>
      <c r="S15" s="1074"/>
      <c r="T15" s="1648">
        <f t="shared" ref="T15:T16" si="3">R15</f>
        <v>1.537231</v>
      </c>
      <c r="U15" s="1906">
        <f>(IF(U$7="SIM",T15*(1-(($D$2-T$11)/(V$11-T$11)))+V15*(1-((V$11-$D$2)/(V$11-T$11))),"-"))</f>
        <v>1.6850894505648335</v>
      </c>
      <c r="V15" s="1649">
        <f>2.052554*(1+'R&amp;C-Painel de Controle'!$D$62)</f>
        <v>2.0525540000000002</v>
      </c>
      <c r="W15" s="1221">
        <v>1.0175927734202665</v>
      </c>
      <c r="X15" s="53">
        <v>1.0346283117455466</v>
      </c>
      <c r="Y15" s="53">
        <v>1.1759456636118601</v>
      </c>
      <c r="Z15" s="53">
        <v>1.39635311725268</v>
      </c>
      <c r="AA15" s="53">
        <v>1.7948731530568369</v>
      </c>
    </row>
    <row r="16" spans="1:61" ht="20.149999999999999" customHeight="1" x14ac:dyDescent="0.35">
      <c r="A16" s="721"/>
      <c r="B16" s="1644" t="s">
        <v>455</v>
      </c>
      <c r="C16" s="680"/>
      <c r="D16" s="1648">
        <f>3.053937*(1+'R&amp;C-Painel de Controle'!$D$62)</f>
        <v>3.0539369999999999</v>
      </c>
      <c r="E16" s="1906" t="str">
        <f>(IF(E$7="SIM",D16*(1-(($D$2-D$11)/(F$11-D$11)))+F16*(1-((F$11-$D$2)/(F$11-D$11))),"-"))</f>
        <v>-</v>
      </c>
      <c r="F16" s="1621">
        <f>4.549606*(1+'R&amp;C-Painel de Controle'!$D$62)</f>
        <v>4.5496059999999998</v>
      </c>
      <c r="G16" s="1074"/>
      <c r="H16" s="1648">
        <f t="shared" si="0"/>
        <v>4.5496059999999998</v>
      </c>
      <c r="I16" s="1906" t="str">
        <f>(IF(I$7="SIM",H16*(1-(($D$2-H$11)/(J$11-H$11)))+J16*(1-((J$11-$D$2)/(J$11-H$11))),"-"))</f>
        <v>-</v>
      </c>
      <c r="J16" s="1621">
        <f>8.610432*(1+'R&amp;C-Painel de Controle'!$D$62)</f>
        <v>8.6104319999999994</v>
      </c>
      <c r="K16" s="1074"/>
      <c r="L16" s="1648">
        <f t="shared" si="1"/>
        <v>8.6104319999999994</v>
      </c>
      <c r="M16" s="1906" t="str">
        <f>(IF(M$7="SIM",L16*(1-(($D$2-L$11)/(N$11-L$11)))+N16*(1-((N$11-$D$2)/(N$11-L$11))),"-"))</f>
        <v>-</v>
      </c>
      <c r="N16" s="1621">
        <f>16.217811*(1+'R&amp;C-Painel de Controle'!$D$62)</f>
        <v>16.217811000000001</v>
      </c>
      <c r="O16" s="1074"/>
      <c r="P16" s="1648">
        <f t="shared" si="2"/>
        <v>16.217811000000001</v>
      </c>
      <c r="Q16" s="1906" t="str">
        <f>(IF(Q$7="SIM",P16*(1-(($D$2-P$11)/(R$11-P$11)))+R16*(1-((R$11-$D$2)/(R$11-P$11))),"-"))</f>
        <v>-</v>
      </c>
      <c r="R16" s="1621">
        <f>31.995049*(1+'R&amp;C-Painel de Controle'!$D$62)</f>
        <v>31.995049000000002</v>
      </c>
      <c r="S16" s="1074"/>
      <c r="T16" s="1648">
        <f t="shared" si="3"/>
        <v>31.995049000000002</v>
      </c>
      <c r="U16" s="1906">
        <f>(IF(U$7="SIM",T16*(1-(($D$2-T$11)/(V$11-T$11)))+V16*(1-((V$11-$D$2)/(V$11-T$11))),"-"))</f>
        <v>39.905007128213001</v>
      </c>
      <c r="V16" s="1649">
        <f>59.563195*(1+'R&amp;C-Painel de Controle'!$D$62)</f>
        <v>59.563195</v>
      </c>
      <c r="W16" s="1221">
        <v>3.7972793080141334</v>
      </c>
      <c r="X16" s="53">
        <v>5.2239710222273068</v>
      </c>
      <c r="Y16" s="53">
        <v>12.412407861806459</v>
      </c>
      <c r="Z16" s="53">
        <v>24.105008407747249</v>
      </c>
      <c r="AA16" s="53">
        <v>45.778086999905341</v>
      </c>
    </row>
    <row r="17" spans="1:61" ht="20.149999999999999" customHeight="1" x14ac:dyDescent="0.35">
      <c r="A17" s="721"/>
      <c r="B17" s="1644" t="s">
        <v>716</v>
      </c>
      <c r="C17" s="680"/>
      <c r="D17" s="1650">
        <f>14151/10000</f>
        <v>1.4151</v>
      </c>
      <c r="E17" s="1906" t="str">
        <f>(IF(E$7="SIM",(D17*(1-(($D$2-D$11)/(F$11-D$11)))+F17*(1-((F$11-$D$2)/(F$11-D$11))))*10000*('[1]R&amp;C-Painel de Controle'!$D$56+0.18)/1000000,"-"))</f>
        <v>-</v>
      </c>
      <c r="F17" s="1651">
        <f>H17</f>
        <v>3.5377000000000001</v>
      </c>
      <c r="G17" s="1074"/>
      <c r="H17" s="1650">
        <f>35377/10000</f>
        <v>3.5377000000000001</v>
      </c>
      <c r="I17" s="1906" t="str">
        <f>(IF(I$7="SIM",(H17*(1-(($D$2-H$11)/(J$11-H$11)))+J17*(1-((J$11-$D$2)/(J$11-H$11))))*10000*('[1]R&amp;C-Painel de Controle'!$D$56+0.18)/1000000,"-"))</f>
        <v>-</v>
      </c>
      <c r="J17" s="1651">
        <f>L17</f>
        <v>9.0093999999999994</v>
      </c>
      <c r="K17" s="1074"/>
      <c r="L17" s="1650">
        <f>90094/10000</f>
        <v>9.0093999999999994</v>
      </c>
      <c r="M17" s="1906" t="str">
        <f>(IF(M$7="SIM",(L17*(1-(($D$2-L$11)/(N$11-L$11)))+N17*(1-((N$11-$D$2)/(N$11-L$11))))*10000*('[1]R&amp;C-Painel de Controle'!$D$56+0.18)/1000000,"-"))</f>
        <v>-</v>
      </c>
      <c r="N17" s="1651">
        <f>P17</f>
        <v>18.984400000000001</v>
      </c>
      <c r="O17" s="1074"/>
      <c r="P17" s="1650">
        <f>189844/10000</f>
        <v>18.984400000000001</v>
      </c>
      <c r="Q17" s="1906" t="str">
        <f>(IF(Q$7="SIM",(P17*(1-(($D$2-P$11)/(R$11-P$11)))+R17*(1-((R$11-$D$2)/(R$11-P$11))))*10000*('[1]R&amp;C-Painel de Controle'!$D$56+0.18)/1000000,"-"))</f>
        <v>-</v>
      </c>
      <c r="R17" s="1651">
        <f>T17</f>
        <v>36.037500000000001</v>
      </c>
      <c r="S17" s="1074"/>
      <c r="T17" s="1650">
        <f>360375/10000</f>
        <v>36.037500000000001</v>
      </c>
      <c r="U17" s="1906">
        <f>(IF(U$7="SIM",(T17*(1-(($D$2-T$11)/(V$11-T$11)))+V17*(1-((V$11-$D$2)/(V$11-T$11))))*10000*('[1]R&amp;C-Painel de Controle'!$D$56+0.18)/1000000,"-"))</f>
        <v>11.159194705662152</v>
      </c>
      <c r="V17" s="1652">
        <f>648960/10000</f>
        <v>64.896000000000001</v>
      </c>
      <c r="W17" s="1221">
        <v>4.446044714976E-3</v>
      </c>
      <c r="X17" s="53">
        <v>8.0034537353183988E-3</v>
      </c>
      <c r="Y17" s="53">
        <v>2.5190375456699998E-2</v>
      </c>
      <c r="Z17" s="53">
        <v>4.9516944205459684E-2</v>
      </c>
      <c r="AA17" s="53">
        <v>9.0838199800286998E-2</v>
      </c>
    </row>
    <row r="18" spans="1:61" s="1240" customFormat="1" ht="25.15" customHeight="1" collapsed="1" x14ac:dyDescent="0.45">
      <c r="A18" s="1235"/>
      <c r="B18" s="1231" t="s">
        <v>428</v>
      </c>
      <c r="C18" s="1236"/>
      <c r="D18" s="1653" t="s">
        <v>332</v>
      </c>
      <c r="E18" s="1907" t="str">
        <f>IF(E7="SIM",SUM(E15:E17),"-")</f>
        <v>-</v>
      </c>
      <c r="F18" s="1654"/>
      <c r="G18" s="1534"/>
      <c r="H18" s="1655"/>
      <c r="I18" s="1907" t="str">
        <f>IF(I7="SIM",SUM(I15:I17),"-")</f>
        <v>-</v>
      </c>
      <c r="J18" s="1656"/>
      <c r="K18" s="1534"/>
      <c r="L18" s="1655"/>
      <c r="M18" s="1907" t="str">
        <f>IF(M7="SIM",SUM(M15:M17),"-")</f>
        <v>-</v>
      </c>
      <c r="N18" s="1656"/>
      <c r="O18" s="1534"/>
      <c r="P18" s="1655"/>
      <c r="Q18" s="1907" t="str">
        <f>IF(Q7="SIM",SUM(Q15:Q17),"-")</f>
        <v>-</v>
      </c>
      <c r="R18" s="1656"/>
      <c r="S18" s="1534"/>
      <c r="T18" s="1655"/>
      <c r="U18" s="1907">
        <f>IF(U7="SIM",SUM(U15:U17),"-")</f>
        <v>52.749291284439984</v>
      </c>
      <c r="V18" s="1657"/>
      <c r="W18" s="1237">
        <v>4.8193181261493763</v>
      </c>
      <c r="X18" s="1238">
        <v>6.2666027877081714</v>
      </c>
      <c r="Y18" s="1238">
        <v>13.613543900875021</v>
      </c>
      <c r="Z18" s="1238">
        <v>25.55087846920539</v>
      </c>
      <c r="AA18" s="1238">
        <v>47.663798352762463</v>
      </c>
      <c r="AB18" s="1239"/>
      <c r="AC18" s="1239"/>
      <c r="AD18" s="1239"/>
      <c r="AE18" s="1239"/>
      <c r="AF18" s="1239"/>
      <c r="AG18" s="1239"/>
      <c r="AH18" s="1239"/>
      <c r="AI18" s="1239"/>
      <c r="AJ18" s="1239"/>
      <c r="AK18" s="1239"/>
      <c r="AL18" s="1239"/>
      <c r="AM18" s="1239"/>
      <c r="AN18" s="1239"/>
      <c r="AO18" s="1239"/>
      <c r="AP18" s="1239"/>
      <c r="AQ18" s="1239"/>
      <c r="AR18" s="1239"/>
      <c r="AS18" s="1239"/>
      <c r="AT18" s="1239"/>
      <c r="AU18" s="1239"/>
      <c r="AV18" s="1239"/>
      <c r="AW18" s="1239"/>
      <c r="AX18" s="1239"/>
      <c r="AY18" s="1239"/>
      <c r="AZ18" s="1239"/>
      <c r="BA18" s="1239"/>
      <c r="BB18" s="1239"/>
      <c r="BC18" s="1239"/>
      <c r="BD18" s="1239"/>
      <c r="BE18" s="1239"/>
      <c r="BF18" s="1239"/>
      <c r="BG18" s="1239"/>
      <c r="BH18" s="1239"/>
      <c r="BI18" s="1239"/>
    </row>
    <row r="19" spans="1:61" ht="17.149999999999999" hidden="1" customHeight="1" outlineLevel="1" x14ac:dyDescent="0.35">
      <c r="A19" s="1201"/>
      <c r="B19" s="1190" t="s">
        <v>429</v>
      </c>
      <c r="C19" s="680"/>
      <c r="D19" s="1196" t="s">
        <v>332</v>
      </c>
      <c r="E19" s="1608" t="str">
        <f>IF(E7="SIM",E18*1000000/$H$2,"-")</f>
        <v>-</v>
      </c>
      <c r="F19" s="1197"/>
      <c r="G19" s="1074"/>
      <c r="H19" s="1636"/>
      <c r="I19" s="1608" t="str">
        <f>IF(I7="SIM",I18*1000000/$H$2,"-")</f>
        <v>-</v>
      </c>
      <c r="J19" s="1638"/>
      <c r="K19" s="1074"/>
      <c r="L19" s="1636"/>
      <c r="M19" s="1608" t="str">
        <f>IF(M7="SIM",M18*1000000/$H$2,"-")</f>
        <v>-</v>
      </c>
      <c r="N19" s="1638"/>
      <c r="O19" s="1074"/>
      <c r="P19" s="1636"/>
      <c r="Q19" s="1608" t="str">
        <f>IF(Q7="SIM",Q18*1000000/$H$2,"-")</f>
        <v>-</v>
      </c>
      <c r="R19" s="1638"/>
      <c r="S19" s="1074"/>
      <c r="T19" s="1636"/>
      <c r="U19" s="1608">
        <f>IF(U7="SIM",U18*1000000/$H$2,"-")</f>
        <v>147.2750333002258</v>
      </c>
      <c r="V19" s="1647"/>
      <c r="W19" s="1222">
        <v>882.10990440414639</v>
      </c>
      <c r="X19" s="42">
        <v>534.53805805301647</v>
      </c>
      <c r="Y19" s="42">
        <v>217.51775045861243</v>
      </c>
      <c r="Z19" s="42">
        <v>148.43433971999801</v>
      </c>
      <c r="AA19" s="42">
        <v>108.7752903312492</v>
      </c>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row>
    <row r="20" spans="1:61" ht="17.149999999999999" hidden="1" customHeight="1" outlineLevel="1" x14ac:dyDescent="0.35">
      <c r="A20" s="1201"/>
      <c r="B20" s="1230"/>
      <c r="C20" s="680"/>
      <c r="D20" s="1636"/>
      <c r="E20" s="1908"/>
      <c r="F20" s="1197"/>
      <c r="G20" s="999"/>
      <c r="H20" s="1196"/>
      <c r="I20" s="1908"/>
      <c r="J20" s="1197"/>
      <c r="K20" s="999"/>
      <c r="L20" s="1196"/>
      <c r="M20" s="1908"/>
      <c r="N20" s="1197"/>
      <c r="O20" s="999"/>
      <c r="P20" s="1196"/>
      <c r="Q20" s="1908"/>
      <c r="R20" s="1197"/>
      <c r="S20" s="999"/>
      <c r="T20" s="1196"/>
      <c r="U20" s="1908"/>
      <c r="V20" s="1647"/>
      <c r="W20" s="1210"/>
      <c r="X20" s="59">
        <f t="shared" ref="X20:AA20" si="4">(X19-W19)/X19</f>
        <v>-0.65022843764785243</v>
      </c>
      <c r="Y20" s="59">
        <f t="shared" si="4"/>
        <v>-1.4574456885748466</v>
      </c>
      <c r="Z20" s="59">
        <f t="shared" si="4"/>
        <v>-0.46541393904490869</v>
      </c>
      <c r="AA20" s="59">
        <f t="shared" si="4"/>
        <v>-0.36459612535141611</v>
      </c>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row>
    <row r="21" spans="1:61" ht="20.149999999999999" customHeight="1" collapsed="1" x14ac:dyDescent="0.35">
      <c r="A21" s="721"/>
      <c r="B21" s="1644" t="s">
        <v>717</v>
      </c>
      <c r="C21" s="680"/>
      <c r="D21" s="1648">
        <f>(0.095595+5.95269)*(1+'R&amp;C-Painel de Controle'!$D$62)/4</f>
        <v>1.51207125</v>
      </c>
      <c r="E21" s="1906" t="str">
        <f>(IF(E$7="SIM",D21*(1-(($D$2-D11)/(F11-D11)))+F21*(1-((F11-$D$2)/(F11-D11))),"-"))</f>
        <v>-</v>
      </c>
      <c r="F21" s="1621">
        <f>(0.238988+10.386701)*(1+'R&amp;C-Painel de Controle'!$D$62)/4</f>
        <v>2.6564222500000003</v>
      </c>
      <c r="G21" s="1074"/>
      <c r="H21" s="1648">
        <f t="shared" ref="H21:H22" si="5">F21</f>
        <v>2.6564222500000003</v>
      </c>
      <c r="I21" s="1906" t="str">
        <f>(IF(I$7="SIM",H21*(1-(($D$2-H11)/(J11-H11)))+J21*(1-((J11-$D$2)/(J11-H11))),"-"))</f>
        <v>-</v>
      </c>
      <c r="J21" s="1621">
        <f>(0.612445+18.127224)*(1+'R&amp;C-Painel de Controle'!$D$62)/4</f>
        <v>4.6849172499999998</v>
      </c>
      <c r="K21" s="1074"/>
      <c r="L21" s="1648">
        <f t="shared" ref="L21:L22" si="6">J21</f>
        <v>4.6849172499999998</v>
      </c>
      <c r="M21" s="1906" t="str">
        <f>(IF(M$7="SIM",L21*(1-(($D$2-L11)/(N11-L11)))+N21*(1-((N11-$D$2)/(N11-L11))),"-"))</f>
        <v>-</v>
      </c>
      <c r="N21" s="1621">
        <f>(1.290533+31.64309)*(1+'R&amp;C-Painel de Controle'!$D$62)/4</f>
        <v>8.2334057499999993</v>
      </c>
      <c r="O21" s="1074"/>
      <c r="P21" s="1648">
        <f t="shared" ref="P21:P22" si="7">N21</f>
        <v>8.2334057499999993</v>
      </c>
      <c r="Q21" s="1906" t="str">
        <f>(IF(Q$7="SIM",P21*(1-(($D$2-P11)/(R11-P11)))+R21*(1-((R11-$D$2)/(R11-P11))),"-"))</f>
        <v>-</v>
      </c>
      <c r="R21" s="1621">
        <f>(2.449781+61.248048)*(1+'R&amp;C-Painel de Controle'!$D$62)/4</f>
        <v>15.92445725</v>
      </c>
      <c r="S21" s="1074"/>
      <c r="T21" s="1648">
        <f t="shared" ref="T21:T22" si="8">R21</f>
        <v>15.92445725</v>
      </c>
      <c r="U21" s="1906">
        <f>(IF(U$7="SIM",T21*(1-(($D$2-T11)/(V11-T11)))+V21*(1-((V11-$D$2)/(V11-T11))),"-"))</f>
        <v>20.101555673905082</v>
      </c>
      <c r="V21" s="1649">
        <f>(4.411535+117.519148)*(1+'R&amp;C-Painel de Controle'!$D$62)/4</f>
        <v>30.48267075</v>
      </c>
      <c r="W21" s="1223"/>
      <c r="X21" s="60"/>
      <c r="Y21" s="61"/>
      <c r="Z21" s="61"/>
      <c r="AA21" s="61"/>
    </row>
    <row r="22" spans="1:61" ht="20.149999999999999" customHeight="1" thickBot="1" x14ac:dyDescent="0.4">
      <c r="A22" s="721"/>
      <c r="B22" s="1645" t="s">
        <v>1012</v>
      </c>
      <c r="C22" s="889"/>
      <c r="D22" s="1658">
        <f>24.615167*(1+'R&amp;C-Painel de Controle'!$D$62)/4*('R&amp;C-Painel de Controle'!$D$74/60)</f>
        <v>3.589711854166667</v>
      </c>
      <c r="E22" s="1909" t="str">
        <f>(IF(E$7="SIM",D22*(1-(($D$2-D11)/(F11-D11)))+F22*(1-((F11-$D$2)/(F11-D11))),"-"))</f>
        <v>-</v>
      </c>
      <c r="F22" s="1659">
        <f>39.645904*(1+'R&amp;C-Painel de Controle'!$D$62)/4*('R&amp;C-Painel de Controle'!$D$74/60)</f>
        <v>5.7816943333333342</v>
      </c>
      <c r="G22" s="999"/>
      <c r="H22" s="1658">
        <f t="shared" si="5"/>
        <v>5.7816943333333342</v>
      </c>
      <c r="I22" s="1909" t="str">
        <f>(IF(I$7="SIM",H22*(1-(($D$2-H11)/(J11-H11)))+J22*(1-((J11-$D$2)/(J11-H11))),"-"))</f>
        <v>-</v>
      </c>
      <c r="J22" s="1659">
        <f>47.561357*(1+'R&amp;C-Painel de Controle'!$D$62)/4*('R&amp;C-Painel de Controle'!$D$74/60)</f>
        <v>6.9360312291666668</v>
      </c>
      <c r="K22" s="999"/>
      <c r="L22" s="1658">
        <f t="shared" si="6"/>
        <v>6.9360312291666668</v>
      </c>
      <c r="M22" s="1909" t="str">
        <f>(IF(M$7="SIM",L22*(1-(($D$2-L11)/(N11-L11)))+N22*(1-((N11-$D$2)/(N11-L11))),"-"))</f>
        <v>-</v>
      </c>
      <c r="N22" s="1659">
        <f>84.065865*(1+'R&amp;C-Painel de Controle'!$D$62)/4*('R&amp;C-Painel de Controle'!$D$74/60)</f>
        <v>12.259605312500002</v>
      </c>
      <c r="O22" s="999"/>
      <c r="P22" s="1658">
        <f t="shared" si="7"/>
        <v>12.259605312500002</v>
      </c>
      <c r="Q22" s="1909" t="str">
        <f>(IF(Q$7="SIM",P22*(1-(($D$2-P11)/(R11-P11)))+R22*(1-((R11-$D$2)/(R11-P11))),"-"))</f>
        <v>-</v>
      </c>
      <c r="R22" s="1659">
        <f>167.459142*(1+'R&amp;C-Painel de Controle'!$D$62)/4*('R&amp;C-Painel de Controle'!$D$74/60)</f>
        <v>24.421124875000004</v>
      </c>
      <c r="S22" s="999"/>
      <c r="T22" s="1658">
        <f t="shared" si="8"/>
        <v>24.421124875000004</v>
      </c>
      <c r="U22" s="1909">
        <f>(IF(U$7="SIM",T22*(1-(($D$2-T11)/(V11-T11)))+V22*(1-((V11-$D$2)/(V11-T11))),"-"))</f>
        <v>31.533433604828588</v>
      </c>
      <c r="V22" s="1660">
        <f>337.434973*(1+'R&amp;C-Painel de Controle'!$D$62)/4*('R&amp;C-Painel de Controle'!$D$74/60)</f>
        <v>49.209266895833338</v>
      </c>
      <c r="W22" s="1224"/>
      <c r="X22" s="62"/>
      <c r="Y22" s="62"/>
      <c r="Z22" s="62"/>
      <c r="AA22" s="62"/>
    </row>
    <row r="23" spans="1:61" s="1158" customFormat="1" ht="10.15" customHeight="1" thickTop="1" thickBot="1" x14ac:dyDescent="0.4">
      <c r="A23" s="430"/>
      <c r="B23" s="1225"/>
      <c r="C23" s="894"/>
      <c r="D23" s="1226"/>
      <c r="E23" s="1910"/>
      <c r="F23" s="1226"/>
      <c r="G23" s="894"/>
      <c r="H23" s="1226"/>
      <c r="I23" s="1910"/>
      <c r="J23" s="1226"/>
      <c r="K23" s="894"/>
      <c r="L23" s="1226"/>
      <c r="M23" s="1910"/>
      <c r="N23" s="1226"/>
      <c r="O23" s="894"/>
      <c r="P23" s="1226"/>
      <c r="Q23" s="1910"/>
      <c r="R23" s="1226"/>
      <c r="S23" s="894"/>
      <c r="T23" s="1226"/>
      <c r="U23" s="1910"/>
      <c r="V23" s="1227"/>
    </row>
    <row r="24" spans="1:61" s="1006" customFormat="1" ht="25.15" customHeight="1" thickTop="1" thickBot="1" x14ac:dyDescent="0.5">
      <c r="A24" s="1200"/>
      <c r="B24" s="1220" t="s">
        <v>496</v>
      </c>
      <c r="C24" s="1074"/>
      <c r="D24" s="1065" t="s">
        <v>858</v>
      </c>
      <c r="E24" s="1066" t="s">
        <v>878</v>
      </c>
      <c r="F24" s="1067" t="s">
        <v>332</v>
      </c>
      <c r="G24" s="393"/>
      <c r="H24" s="1068" t="s">
        <v>858</v>
      </c>
      <c r="I24" s="1066" t="s">
        <v>878</v>
      </c>
      <c r="J24" s="1070" t="s">
        <v>332</v>
      </c>
      <c r="K24" s="393"/>
      <c r="L24" s="1068" t="s">
        <v>858</v>
      </c>
      <c r="M24" s="1066" t="s">
        <v>878</v>
      </c>
      <c r="N24" s="1070" t="s">
        <v>332</v>
      </c>
      <c r="O24" s="393"/>
      <c r="P24" s="1068" t="s">
        <v>858</v>
      </c>
      <c r="Q24" s="1066" t="s">
        <v>878</v>
      </c>
      <c r="R24" s="1070" t="s">
        <v>332</v>
      </c>
      <c r="S24" s="393"/>
      <c r="T24" s="1068" t="s">
        <v>858</v>
      </c>
      <c r="U24" s="1066" t="s">
        <v>878</v>
      </c>
      <c r="V24" s="1070" t="s">
        <v>332</v>
      </c>
      <c r="W24" s="1208"/>
    </row>
    <row r="25" spans="1:61" ht="8.15" customHeight="1" x14ac:dyDescent="0.35">
      <c r="A25" s="721"/>
      <c r="B25" s="1216"/>
      <c r="C25" s="1205"/>
      <c r="D25" s="1217"/>
      <c r="E25" s="1911"/>
      <c r="F25" s="1218"/>
      <c r="G25" s="1205"/>
      <c r="H25" s="1217"/>
      <c r="I25" s="1911"/>
      <c r="J25" s="1218"/>
      <c r="K25" s="1205"/>
      <c r="L25" s="1217"/>
      <c r="M25" s="1911"/>
      <c r="N25" s="1218"/>
      <c r="O25" s="1205"/>
      <c r="P25" s="1217"/>
      <c r="Q25" s="1911"/>
      <c r="R25" s="1218"/>
      <c r="S25" s="1205"/>
      <c r="T25" s="1217"/>
      <c r="U25" s="1911"/>
      <c r="V25" s="1219"/>
      <c r="W25" s="1209"/>
    </row>
    <row r="26" spans="1:61" s="973" customFormat="1" ht="20.149999999999999" customHeight="1" collapsed="1" x14ac:dyDescent="0.45">
      <c r="A26" s="721"/>
      <c r="B26" s="1644" t="s">
        <v>863</v>
      </c>
      <c r="C26" s="1205"/>
      <c r="D26" s="1668"/>
      <c r="E26" s="1672" t="str">
        <f>(IF(E$7="SIM",E27+E28,"-"))</f>
        <v>-</v>
      </c>
      <c r="F26" s="1669"/>
      <c r="G26" s="1200"/>
      <c r="H26" s="1668"/>
      <c r="I26" s="1672" t="str">
        <f>(IF(I$7="SIM",I27+I28,"-"))</f>
        <v>-</v>
      </c>
      <c r="J26" s="1669"/>
      <c r="K26" s="1200"/>
      <c r="L26" s="1668"/>
      <c r="M26" s="1672" t="str">
        <f>(IF(M$7="SIM",M27+M28,"-"))</f>
        <v>-</v>
      </c>
      <c r="N26" s="1669"/>
      <c r="O26" s="1200"/>
      <c r="P26" s="1668"/>
      <c r="Q26" s="1672" t="str">
        <f>(IF(Q$7="SIM",Q27+Q28,"-"))</f>
        <v>-</v>
      </c>
      <c r="R26" s="1669"/>
      <c r="S26" s="1200"/>
      <c r="T26" s="1668"/>
      <c r="U26" s="1672">
        <f>(IF(U$7="SIM",U27+U28,"-"))</f>
        <v>4.346762647960638</v>
      </c>
      <c r="V26" s="1670"/>
      <c r="W26" s="1209"/>
    </row>
    <row r="27" spans="1:61" ht="17.149999999999999" hidden="1" customHeight="1" outlineLevel="1" x14ac:dyDescent="0.45">
      <c r="A27" s="1201"/>
      <c r="B27" s="1646" t="s">
        <v>718</v>
      </c>
      <c r="C27" s="1206"/>
      <c r="D27" s="1671">
        <f>230044.995625*(1+'R&amp;C-Painel de Controle'!$D$62)</f>
        <v>230044.99562500001</v>
      </c>
      <c r="E27" s="1672" t="str">
        <f>(IF(E$7="SIM",(D27*(1-(($D$2-D$11)/(F$11-D$11)))+F27*(1-((F$11-$D$2)/(F$11-D$11))))/1000000,"-"))</f>
        <v>-</v>
      </c>
      <c r="F27" s="1673">
        <f>306726.660833333*(1+'R&amp;C-Painel de Controle'!$D$62)</f>
        <v>306726.66083333298</v>
      </c>
      <c r="G27" s="1674"/>
      <c r="H27" s="1671">
        <f t="shared" ref="H27:H43" si="9">F27</f>
        <v>306726.66083333298</v>
      </c>
      <c r="I27" s="1672" t="str">
        <f>(IF(I$7="SIM",(H27*(1-(($D$2-H$11)/(J$11-H$11)))+J27*(1-((J$11-$D$2)/(J$11-H$11))))/1000000,"-"))</f>
        <v>-</v>
      </c>
      <c r="J27" s="1673">
        <f>408968.881111111*(1+'R&amp;C-Painel de Controle'!$D$62)</f>
        <v>408968.88111111103</v>
      </c>
      <c r="K27" s="1674"/>
      <c r="L27" s="1671">
        <f t="shared" ref="L27:L43" si="10">J27</f>
        <v>408968.88111111103</v>
      </c>
      <c r="M27" s="1672" t="str">
        <f>(IF(M$7="SIM",(L27*(1-(($D$2-L$11)/(N$11-L$11)))+N27*(1-((N$11-$D$2)/(N$11-L$11))))/1000000,"-"))</f>
        <v>-</v>
      </c>
      <c r="N27" s="1673">
        <f>1289352.9*(1+'R&amp;C-Painel de Controle'!$D$62)</f>
        <v>1289352.8999999999</v>
      </c>
      <c r="O27" s="1674"/>
      <c r="P27" s="1671">
        <f t="shared" ref="P27:P43" si="11">N27</f>
        <v>1289352.8999999999</v>
      </c>
      <c r="Q27" s="1672" t="str">
        <f>(IF(Q$7="SIM",(P27*(1-(($D$2-P$11)/(R$11-P$11)))+R27*(1-((R$11-$D$2)/(R$11-P$11))))/1000000,"-"))</f>
        <v>-</v>
      </c>
      <c r="R27" s="1673">
        <f>2124504.31222222*(1+'R&amp;C-Painel de Controle'!$D$62)</f>
        <v>2124504.31222222</v>
      </c>
      <c r="S27" s="1674"/>
      <c r="T27" s="1671">
        <f t="shared" ref="T27:T43" si="12">R27</f>
        <v>2124504.31222222</v>
      </c>
      <c r="U27" s="1672">
        <f>(IF(U$7="SIM",(T27*(1-(($D$2-T$11)/(V$11-T$11)))+V27*(1-((V$11-$D$2)/(V$11-T$11))))/1000000,"-"))</f>
        <v>2.279618815633103</v>
      </c>
      <c r="V27" s="1675">
        <f>2665116.43777778*(1+'R&amp;C-Painel de Controle'!$D$62)</f>
        <v>2665116.43777778</v>
      </c>
      <c r="W27" s="1210"/>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row>
    <row r="28" spans="1:61" ht="17.149999999999999" hidden="1" customHeight="1" outlineLevel="1" x14ac:dyDescent="0.45">
      <c r="A28" s="1201"/>
      <c r="B28" s="1646" t="s">
        <v>719</v>
      </c>
      <c r="C28" s="1206"/>
      <c r="D28" s="1671">
        <f>229960.6003125*(1+'R&amp;C-Painel de Controle'!$D$62)</f>
        <v>229960.6003125</v>
      </c>
      <c r="E28" s="1672" t="str">
        <f>(IF(E$7="SIM",(D28*(1-(($D$2-D$11)/(F$11-D$11)))+F28*(1-((F$11-$D$2)/(F$11-D$11))))/1000000,"-"))</f>
        <v>-</v>
      </c>
      <c r="F28" s="1673">
        <f>306614.13375*(1+'R&amp;C-Painel de Controle'!$D$62)</f>
        <v>306614.13374999998</v>
      </c>
      <c r="G28" s="1674"/>
      <c r="H28" s="1671">
        <f t="shared" si="9"/>
        <v>306614.13374999998</v>
      </c>
      <c r="I28" s="1672" t="str">
        <f>(IF(I$7="SIM",(H28*(1-(($D$2-H$11)/(J$11-H$11)))+J28*(1-((J$11-$D$2)/(J$11-H$11))))/1000000,"-"))</f>
        <v>-</v>
      </c>
      <c r="J28" s="1673">
        <f>408818.845*(1+'R&amp;C-Painel de Controle'!$D$62)</f>
        <v>408818.84499999997</v>
      </c>
      <c r="K28" s="1674"/>
      <c r="L28" s="1671">
        <f t="shared" si="10"/>
        <v>408818.84499999997</v>
      </c>
      <c r="M28" s="1672" t="str">
        <f>(IF(M$7="SIM",(L28*(1-(($D$2-L$11)/(N$11-L$11)))+N28*(1-((N$11-$D$2)/(N$11-L$11))))/1000000,"-"))</f>
        <v>-</v>
      </c>
      <c r="N28" s="1673">
        <f>975095.206666667*(1+'R&amp;C-Painel de Controle'!$D$62)</f>
        <v>975095.20666666701</v>
      </c>
      <c r="O28" s="1674"/>
      <c r="P28" s="1671">
        <f t="shared" si="11"/>
        <v>975095.20666666701</v>
      </c>
      <c r="Q28" s="1672" t="str">
        <f>(IF(Q$7="SIM",(P28*(1-(($D$2-P$11)/(R$11-P$11)))+R28*(1-((R$11-$D$2)/(R$11-P$11))))/1000000,"-"))</f>
        <v>-</v>
      </c>
      <c r="R28" s="1673">
        <f>1922105.38444444*(1+'R&amp;C-Painel de Controle'!$D$62)</f>
        <v>1922105.38444444</v>
      </c>
      <c r="S28" s="1674"/>
      <c r="T28" s="1671">
        <f t="shared" si="12"/>
        <v>1922105.38444444</v>
      </c>
      <c r="U28" s="1672">
        <f>(IF(U$7="SIM",(T28*(1-(($D$2-T$11)/(V$11-T$11)))+V28*(1-((V$11-$D$2)/(V$11-T$11))))/1000000,"-"))</f>
        <v>2.0671438323275355</v>
      </c>
      <c r="V28" s="1675">
        <f>2427599.98277778*(1+'R&amp;C-Painel de Controle'!$D$62)</f>
        <v>2427599.9827777799</v>
      </c>
      <c r="W28" s="1210"/>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row>
    <row r="29" spans="1:61" s="973" customFormat="1" ht="20.149999999999999" customHeight="1" collapsed="1" x14ac:dyDescent="0.45">
      <c r="A29" s="1201"/>
      <c r="B29" s="1644" t="s">
        <v>862</v>
      </c>
      <c r="C29" s="1206"/>
      <c r="D29" s="1671"/>
      <c r="E29" s="1672" t="str">
        <f>(IF(E$7="SIM",E30,"-"))</f>
        <v>-</v>
      </c>
      <c r="F29" s="1673"/>
      <c r="G29" s="1674"/>
      <c r="H29" s="1671"/>
      <c r="I29" s="1672" t="str">
        <f>(IF(I$7="SIM",I30,"-"))</f>
        <v>-</v>
      </c>
      <c r="J29" s="1673"/>
      <c r="K29" s="1674"/>
      <c r="L29" s="1671"/>
      <c r="M29" s="1672" t="str">
        <f>(IF(M$7="SIM",M30,"-"))</f>
        <v>-</v>
      </c>
      <c r="N29" s="1673"/>
      <c r="O29" s="1674"/>
      <c r="P29" s="1671"/>
      <c r="Q29" s="1672" t="str">
        <f>(IF(Q$7="SIM",Q30,"-"))</f>
        <v>-</v>
      </c>
      <c r="R29" s="1673"/>
      <c r="S29" s="1674"/>
      <c r="T29" s="1671"/>
      <c r="U29" s="1672">
        <f>(IF(U$7="SIM",U30,"-"))</f>
        <v>5.8201787807122235E-2</v>
      </c>
      <c r="V29" s="1675"/>
      <c r="W29" s="1210"/>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row>
    <row r="30" spans="1:61" ht="17.149999999999999" hidden="1" customHeight="1" outlineLevel="1" x14ac:dyDescent="0.45">
      <c r="A30" s="721"/>
      <c r="B30" s="1646" t="s">
        <v>502</v>
      </c>
      <c r="C30" s="1205"/>
      <c r="D30" s="1671">
        <f>3648.21111111111*(1+'R&amp;C-Painel de Controle'!$D$62)</f>
        <v>3648.2111111111099</v>
      </c>
      <c r="E30" s="1672" t="str">
        <f>(IF(E$7="SIM",(D30*(1-(($D$2-D$11)/(F$11-D$11)))+F30*(1-((F$11-$D$2)/(F$11-D$11))))/1000000,"-"))</f>
        <v>-</v>
      </c>
      <c r="F30" s="1673">
        <f>3720.52777777778*(1+'R&amp;C-Painel de Controle'!$D$62)</f>
        <v>3720.5277777777801</v>
      </c>
      <c r="G30" s="1663"/>
      <c r="H30" s="1671">
        <f>F30</f>
        <v>3720.5277777777801</v>
      </c>
      <c r="I30" s="1672" t="str">
        <f>(IF(I$7="SIM",(H30*(1-(($D$2-H$11)/(J$11-H$11)))+J30*(1-((J$11-$D$2)/(J$11-H$11))))/1000000,"-"))</f>
        <v>-</v>
      </c>
      <c r="J30" s="1673">
        <f>8371.57777777778*(1+'R&amp;C-Painel de Controle'!$D$62)</f>
        <v>8371.5777777777803</v>
      </c>
      <c r="K30" s="1663"/>
      <c r="L30" s="1671">
        <f>J30</f>
        <v>8371.5777777777803</v>
      </c>
      <c r="M30" s="1672" t="str">
        <f>(IF(M$7="SIM",(L30*(1-(($D$2-L$11)/(N$11-L$11)))+N30*(1-((N$11-$D$2)/(N$11-L$11))))/1000000,"-"))</f>
        <v>-</v>
      </c>
      <c r="N30" s="1673">
        <f>17914.8*(1+'R&amp;C-Painel de Controle'!$D$62)</f>
        <v>17914.8</v>
      </c>
      <c r="O30" s="1663"/>
      <c r="P30" s="1671">
        <f>N30</f>
        <v>17914.8</v>
      </c>
      <c r="Q30" s="1672" t="str">
        <f>(IF(Q$7="SIM",(P30*(1-(($D$2-P$11)/(R$11-P$11)))+R30*(1-((R$11-$D$2)/(R$11-P$11))))/1000000,"-"))</f>
        <v>-</v>
      </c>
      <c r="R30" s="1673">
        <f>41772.7777777778*(1+'R&amp;C-Painel de Controle'!$D$62)</f>
        <v>41772.777777777803</v>
      </c>
      <c r="S30" s="1663"/>
      <c r="T30" s="1671">
        <f>R30</f>
        <v>41772.777777777803</v>
      </c>
      <c r="U30" s="1672">
        <f>(IF(U$7="SIM",(T30*(1-(($D$2-T$11)/(V$11-T$11)))+V30*(1-((V$11-$D$2)/(V$11-T$11))))/1000000,"-"))</f>
        <v>5.8201787807122235E-2</v>
      </c>
      <c r="V30" s="1675">
        <f>99031.9111111111*(1+'R&amp;C-Painel de Controle'!$D$62)</f>
        <v>99031.911111111098</v>
      </c>
      <c r="W30" s="1209"/>
      <c r="X30" s="25"/>
    </row>
    <row r="31" spans="1:61" s="973" customFormat="1" ht="20.149999999999999" customHeight="1" collapsed="1" x14ac:dyDescent="0.45">
      <c r="A31" s="721"/>
      <c r="B31" s="1644" t="s">
        <v>864</v>
      </c>
      <c r="C31" s="1205"/>
      <c r="D31" s="1671"/>
      <c r="E31" s="1672" t="str">
        <f>(IF(E$7="SIM",E32+E33+E34+E35,"-"))</f>
        <v>-</v>
      </c>
      <c r="F31" s="1673"/>
      <c r="G31" s="1663"/>
      <c r="H31" s="1671"/>
      <c r="I31" s="1672" t="str">
        <f>(IF(I$7="SIM",I32+I33+I34+I35,"-"))</f>
        <v>-</v>
      </c>
      <c r="J31" s="1673"/>
      <c r="K31" s="1663"/>
      <c r="L31" s="1671"/>
      <c r="M31" s="1672" t="str">
        <f>(IF(M$7="SIM",M32+M33+M34+M35,"-"))</f>
        <v>-</v>
      </c>
      <c r="N31" s="1673"/>
      <c r="O31" s="1663"/>
      <c r="P31" s="1671"/>
      <c r="Q31" s="1672" t="str">
        <f>(IF(Q$7="SIM",Q32+Q33+Q34+Q35,"-"))</f>
        <v>-</v>
      </c>
      <c r="R31" s="1673"/>
      <c r="S31" s="1663"/>
      <c r="T31" s="1671"/>
      <c r="U31" s="1672">
        <f>(IF(U$7="SIM",U32+U33+U34+U35,"-"))</f>
        <v>0.38277896551979723</v>
      </c>
      <c r="V31" s="1675"/>
      <c r="W31" s="1209"/>
      <c r="X31" s="25"/>
    </row>
    <row r="32" spans="1:61" ht="17.149999999999999" hidden="1" customHeight="1" outlineLevel="1" x14ac:dyDescent="0.45">
      <c r="A32" s="1201"/>
      <c r="B32" s="1646" t="s">
        <v>457</v>
      </c>
      <c r="C32" s="1206"/>
      <c r="D32" s="1671">
        <f>3857.29166666667*(1+'R&amp;C-Painel de Controle'!$D$62)</f>
        <v>3857.2916666666702</v>
      </c>
      <c r="E32" s="1672" t="str">
        <f>(IF(E$7="SIM",(D32*(1-(($D$2-D$11)/(F$11-D$11)))+F32*(1-((F$11-$D$2)/(F$11-D$11))))/1000000,"-"))</f>
        <v>-</v>
      </c>
      <c r="F32" s="1673">
        <f>9643.22916666667*(1+'R&amp;C-Painel de Controle'!$D$62)</f>
        <v>9643.2291666666697</v>
      </c>
      <c r="G32" s="1674"/>
      <c r="H32" s="1671">
        <f t="shared" si="9"/>
        <v>9643.2291666666697</v>
      </c>
      <c r="I32" s="1672" t="str">
        <f>(IF(I$7="SIM",(H32*(1-(($D$2-H$11)/(J$11-H$11)))+J32*(1-((J$11-$D$2)/(J$11-H$11))))/1000000,"-"))</f>
        <v>-</v>
      </c>
      <c r="J32" s="1673">
        <f>24750.6194444444*(1+'R&amp;C-Painel de Controle'!$D$62)</f>
        <v>24750.619444444401</v>
      </c>
      <c r="K32" s="1674"/>
      <c r="L32" s="1671">
        <f t="shared" si="10"/>
        <v>24750.619444444401</v>
      </c>
      <c r="M32" s="1672" t="str">
        <f>(IF(M$7="SIM",(L32*(1-(($D$2-L$11)/(N$11-L$11)))+N32*(1-((N$11-$D$2)/(N$11-L$11))))/1000000,"-"))</f>
        <v>-</v>
      </c>
      <c r="N32" s="1673">
        <f>52142.0861111111*(1+'R&amp;C-Painel de Controle'!$D$62)</f>
        <v>52142.086111111101</v>
      </c>
      <c r="O32" s="1674"/>
      <c r="P32" s="1671">
        <f t="shared" si="11"/>
        <v>52142.086111111101</v>
      </c>
      <c r="Q32" s="1672" t="str">
        <f>(IF(Q$7="SIM",(P32*(1-(($D$2-P$11)/(R$11-P$11)))+R32*(1-((R$11-$D$2)/(R$11-P$11))))/1000000,"-"))</f>
        <v>-</v>
      </c>
      <c r="R32" s="1673">
        <f>98949.2583333333*(1+'R&amp;C-Painel de Controle'!$D$62)</f>
        <v>98949.258333333302</v>
      </c>
      <c r="S32" s="1674"/>
      <c r="T32" s="1671">
        <f t="shared" si="12"/>
        <v>98949.258333333302</v>
      </c>
      <c r="U32" s="1672">
        <f>(IF(U$7="SIM",(T32*(1-(($D$2-T$11)/(V$11-T$11)))+V32*(1-((V$11-$D$2)/(V$11-T$11))))/1000000,"-"))</f>
        <v>0.12166282564204035</v>
      </c>
      <c r="V32" s="1675">
        <f>178111.616666667*(1+'R&amp;C-Painel de Controle'!$D$62)</f>
        <v>178111.61666666699</v>
      </c>
      <c r="W32" s="1210"/>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row>
    <row r="33" spans="1:61" ht="17.149999999999999" hidden="1" customHeight="1" outlineLevel="1" x14ac:dyDescent="0.45">
      <c r="A33" s="1201"/>
      <c r="B33" s="1646" t="s">
        <v>458</v>
      </c>
      <c r="C33" s="1206"/>
      <c r="D33" s="1671">
        <f>5590.05686868687*(1+'R&amp;C-Painel de Controle'!$D$62)</f>
        <v>5590.0568686868701</v>
      </c>
      <c r="E33" s="1672" t="str">
        <f>(IF(E$7="SIM",(D33*(1-(($D$2-D$11)/(F$11-D$11)))+F33*(1-((F$11-$D$2)/(F$11-D$11))))/1000000,"-"))</f>
        <v>-</v>
      </c>
      <c r="F33" s="1673">
        <f>13506.4161616162*(1+'R&amp;C-Painel de Controle'!$D$62)</f>
        <v>13506.4161616162</v>
      </c>
      <c r="G33" s="1674"/>
      <c r="H33" s="1671">
        <f t="shared" si="9"/>
        <v>13506.4161616162</v>
      </c>
      <c r="I33" s="1672" t="str">
        <f>(IF(I$7="SIM",(H33*(1-(($D$2-H$11)/(J$11-H$11)))+J33*(1-((J$11-$D$2)/(J$11-H$11))))/1000000,"-"))</f>
        <v>-</v>
      </c>
      <c r="J33" s="1673">
        <f>33307.5755555556*(1+'R&amp;C-Painel de Controle'!$D$62)</f>
        <v>33307.575555555602</v>
      </c>
      <c r="K33" s="1674"/>
      <c r="L33" s="1671">
        <f t="shared" si="10"/>
        <v>33307.575555555602</v>
      </c>
      <c r="M33" s="1672" t="str">
        <f>(IF(M$7="SIM",(L33*(1-(($D$2-L$11)/(N$11-L$11)))+N33*(1-((N$11-$D$2)/(N$11-L$11))))/1000000,"-"))</f>
        <v>-</v>
      </c>
      <c r="N33" s="1673">
        <f>72191*(1+'R&amp;C-Painel de Controle'!$D$62)</f>
        <v>72191</v>
      </c>
      <c r="O33" s="1674"/>
      <c r="P33" s="1671">
        <f t="shared" si="11"/>
        <v>72191</v>
      </c>
      <c r="Q33" s="1672" t="str">
        <f>(IF(Q$7="SIM",(P33*(1-(($D$2-P$11)/(R$11-P$11)))+R33*(1-((R$11-$D$2)/(R$11-P$11))))/1000000,"-"))</f>
        <v>-</v>
      </c>
      <c r="R33" s="1673">
        <f>134378.801666667*(1+'R&amp;C-Painel de Controle'!$D$62)</f>
        <v>134378.80166666699</v>
      </c>
      <c r="S33" s="1674"/>
      <c r="T33" s="1671">
        <f t="shared" si="12"/>
        <v>134378.80166666699</v>
      </c>
      <c r="U33" s="1672">
        <f>(IF(U$7="SIM",(T33*(1-(($D$2-T$11)/(V$11-T$11)))+V33*(1-((V$11-$D$2)/(V$11-T$11))))/1000000,"-"))</f>
        <v>0.16335763333678077</v>
      </c>
      <c r="V33" s="1675">
        <f>235377.144444444*(1+'R&amp;C-Painel de Controle'!$D$62)</f>
        <v>235377.14444444401</v>
      </c>
      <c r="W33" s="1210"/>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row>
    <row r="34" spans="1:61" ht="17.149999999999999" hidden="1" customHeight="1" outlineLevel="1" x14ac:dyDescent="0.45">
      <c r="A34" s="721"/>
      <c r="B34" s="1646" t="s">
        <v>460</v>
      </c>
      <c r="C34" s="1205"/>
      <c r="D34" s="1671">
        <f>187.5*(1+'R&amp;C-Painel de Controle'!$D$62)</f>
        <v>187.5</v>
      </c>
      <c r="E34" s="1672" t="str">
        <f>(IF(E$7="SIM",(D34*(1-(($D$2-D$11)/(F$11-D$11)))+F34*(1-((F$11-$D$2)/(F$11-D$11))))/1000000,"-"))</f>
        <v>-</v>
      </c>
      <c r="F34" s="1673">
        <f>468.75*(1+'R&amp;C-Painel de Controle'!$D$62)</f>
        <v>468.75</v>
      </c>
      <c r="G34" s="1663"/>
      <c r="H34" s="1671">
        <f t="shared" si="9"/>
        <v>468.75</v>
      </c>
      <c r="I34" s="1672" t="str">
        <f>(IF(I$7="SIM",(H34*(1-(($D$2-H$11)/(J$11-H$11)))+J34*(1-((J$11-$D$2)/(J$11-H$11))))/1000000,"-"))</f>
        <v>-</v>
      </c>
      <c r="J34" s="1673">
        <f>1200*(1+'R&amp;C-Painel de Controle'!$D$62)</f>
        <v>1200</v>
      </c>
      <c r="K34" s="1663"/>
      <c r="L34" s="1671">
        <f t="shared" si="10"/>
        <v>1200</v>
      </c>
      <c r="M34" s="1672" t="str">
        <f>(IF(M$7="SIM",(L34*(1-(($D$2-L$11)/(N$11-L$11)))+N34*(1-((N$11-$D$2)/(N$11-L$11))))/1000000,"-"))</f>
        <v>-</v>
      </c>
      <c r="N34" s="1673">
        <f>2525*(1+'R&amp;C-Painel de Controle'!$D$62)</f>
        <v>2525</v>
      </c>
      <c r="O34" s="1663"/>
      <c r="P34" s="1671">
        <f t="shared" si="11"/>
        <v>2525</v>
      </c>
      <c r="Q34" s="1672" t="str">
        <f>(IF(Q$7="SIM",(P34*(1-(($D$2-P$11)/(R$11-P$11)))+R34*(1-((R$11-$D$2)/(R$11-P$11))))/1000000,"-"))</f>
        <v>-</v>
      </c>
      <c r="R34" s="1673">
        <f>4800*(1+'R&amp;C-Painel de Controle'!$D$62)</f>
        <v>4800</v>
      </c>
      <c r="S34" s="1663"/>
      <c r="T34" s="1671">
        <f t="shared" si="12"/>
        <v>4800</v>
      </c>
      <c r="U34" s="1672">
        <f>(IF(U$7="SIM",(T34*(1-(($D$2-T$11)/(V$11-T$11)))+V34*(1-((V$11-$D$2)/(V$11-T$11))))/1000000,"-"))</f>
        <v>5.9046567583333339E-3</v>
      </c>
      <c r="V34" s="1675">
        <f>8650*(1+'R&amp;C-Painel de Controle'!$D$62)</f>
        <v>8650</v>
      </c>
      <c r="W34" s="1209"/>
      <c r="X34" s="25"/>
    </row>
    <row r="35" spans="1:61" ht="17.149999999999999" hidden="1" customHeight="1" outlineLevel="1" x14ac:dyDescent="0.45">
      <c r="A35" s="1202"/>
      <c r="B35" s="1646" t="s">
        <v>501</v>
      </c>
      <c r="C35" s="1207"/>
      <c r="D35" s="1671">
        <f>37176.0604245283*(1+'R&amp;C-Painel de Controle'!$D$62)</f>
        <v>37176.060424528303</v>
      </c>
      <c r="E35" s="1672" t="str">
        <f>(IF(E$7="SIM",(D35*(1-(($D$2-D$11)/(F$11-D$11)))+F35*(1-((F$11-$D$2)/(F$11-D$11))))/1000000,"-"))</f>
        <v>-</v>
      </c>
      <c r="F35" s="1673">
        <f>65324.2475196541*(1+'R&amp;C-Painel de Controle'!$D$62)</f>
        <v>65324.247519654098</v>
      </c>
      <c r="G35" s="1674"/>
      <c r="H35" s="1671">
        <f t="shared" si="9"/>
        <v>65324.247519654098</v>
      </c>
      <c r="I35" s="1672" t="str">
        <f>(IF(I$7="SIM",(H35*(1-(($D$2-H$11)/(J$11-H$11)))+J35*(1-((J$11-$D$2)/(J$11-H$11))))/1000000,"-"))</f>
        <v>-</v>
      </c>
      <c r="J35" s="1673">
        <f>68985.4566666667*(1+'R&amp;C-Painel de Controle'!$D$62)</f>
        <v>68985.456666666694</v>
      </c>
      <c r="K35" s="1674"/>
      <c r="L35" s="1671">
        <f t="shared" si="10"/>
        <v>68985.456666666694</v>
      </c>
      <c r="M35" s="1672" t="str">
        <f>(IF(M$7="SIM",(L35*(1-(($D$2-L$11)/(N$11-L$11)))+N35*(1-((N$11-$D$2)/(N$11-L$11))))/1000000,"-"))</f>
        <v>-</v>
      </c>
      <c r="N35" s="1673">
        <f>75933.0966666667*(1+'R&amp;C-Painel de Controle'!$D$62)</f>
        <v>75933.096666666694</v>
      </c>
      <c r="O35" s="1674"/>
      <c r="P35" s="1671">
        <f t="shared" si="11"/>
        <v>75933.096666666694</v>
      </c>
      <c r="Q35" s="1672" t="str">
        <f>(IF(Q$7="SIM",(P35*(1-(($D$2-P$11)/(R$11-P$11)))+R35*(1-((R$11-$D$2)/(R$11-P$11))))/1000000,"-"))</f>
        <v>-</v>
      </c>
      <c r="R35" s="1673">
        <f>86805.8733333333*(1+'R&amp;C-Painel de Controle'!$D$62)</f>
        <v>86805.873333333293</v>
      </c>
      <c r="S35" s="1674"/>
      <c r="T35" s="1671">
        <f t="shared" si="12"/>
        <v>86805.873333333293</v>
      </c>
      <c r="U35" s="1672">
        <f>(IF(U$7="SIM",(T35*(1-(($D$2-T$11)/(V$11-T$11)))+V35*(1-((V$11-$D$2)/(V$11-T$11))))/1000000,"-"))</f>
        <v>9.1853849782642785E-2</v>
      </c>
      <c r="V35" s="1675">
        <f>104399.310555556*(1+'R&amp;C-Painel de Controle'!$D$62)</f>
        <v>104399.310555556</v>
      </c>
      <c r="W35" s="1211"/>
      <c r="X35" s="25"/>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row>
    <row r="36" spans="1:61" s="973" customFormat="1" ht="20.149999999999999" customHeight="1" collapsed="1" x14ac:dyDescent="0.45">
      <c r="A36" s="1202"/>
      <c r="B36" s="1644" t="s">
        <v>865</v>
      </c>
      <c r="C36" s="1207"/>
      <c r="D36" s="1671"/>
      <c r="E36" s="1672" t="str">
        <f>(IF(E$7="SIM",E37+E38+E39+E40,"-"))</f>
        <v>-</v>
      </c>
      <c r="F36" s="1673"/>
      <c r="G36" s="1674"/>
      <c r="H36" s="1671"/>
      <c r="I36" s="1672" t="str">
        <f>(IF(I$7="SIM",I37+I38+I39+I40,"-"))</f>
        <v>-</v>
      </c>
      <c r="J36" s="1673"/>
      <c r="K36" s="1674"/>
      <c r="L36" s="1671"/>
      <c r="M36" s="1672" t="str">
        <f>(IF(M$7="SIM",M37+M38+M39+M40,"-"))</f>
        <v>-</v>
      </c>
      <c r="N36" s="1673"/>
      <c r="O36" s="1674"/>
      <c r="P36" s="1671"/>
      <c r="Q36" s="1672" t="str">
        <f>(IF(Q$7="SIM",Q37+Q38+Q39+Q40,"-"))</f>
        <v>-</v>
      </c>
      <c r="R36" s="1673"/>
      <c r="S36" s="1674"/>
      <c r="T36" s="1671"/>
      <c r="U36" s="1672">
        <f>(IF(U$7="SIM",U37+U38+U39+U40,"-"))</f>
        <v>4.4954907576686622</v>
      </c>
      <c r="V36" s="1675"/>
      <c r="W36" s="1211"/>
      <c r="X36" s="25"/>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row>
    <row r="37" spans="1:61" ht="17.149999999999999" hidden="1" customHeight="1" outlineLevel="1" x14ac:dyDescent="0.45">
      <c r="A37" s="1201"/>
      <c r="B37" s="1646" t="s">
        <v>861</v>
      </c>
      <c r="C37" s="1206"/>
      <c r="D37" s="1671">
        <f>139761.136722222*'R&amp;C-Painel de Controle'!$D$73/125*(0.7+0.3*'R&amp;C-Painel de Controle'!$D$75/3.5)</f>
        <v>107017.09897587284</v>
      </c>
      <c r="E37" s="1672" t="str">
        <f>(IF(E$7="SIM",(D37*(1-(($D$2-D$11)/(F$11-D$11)))+F37*(1-((F$11-$D$2)/(F$11-D$11))))/1000000,"-"))</f>
        <v>-</v>
      </c>
      <c r="F37" s="1673">
        <f>349402.841805556*'R&amp;C-Painel de Controle'!$D$73/125*(0.7+0.3*'R&amp;C-Painel de Controle'!$D$75/3.5)</f>
        <v>267542.74743968283</v>
      </c>
      <c r="G37" s="1674"/>
      <c r="H37" s="1671">
        <f>F37</f>
        <v>267542.74743968283</v>
      </c>
      <c r="I37" s="1672" t="str">
        <f>(IF(I$7="SIM",(H37*(1-(($D$2-H$11)/(J$11-H$11)))+J37*(1-((J$11-$D$2)/(J$11-H$11))))/1000000,"-"))</f>
        <v>-</v>
      </c>
      <c r="J37" s="1673">
        <f>1397611.36722222*'R&amp;C-Painel de Controle'!$D$73/125*(0.7+0.3*'R&amp;C-Painel de Controle'!$D$75/3.5)</f>
        <v>1070170.9897587283</v>
      </c>
      <c r="K37" s="1674"/>
      <c r="L37" s="1671">
        <f>J37</f>
        <v>1070170.9897587283</v>
      </c>
      <c r="M37" s="1672" t="str">
        <f>(IF(M$7="SIM",(L37*(1-(($D$2-L$11)/(N$11-L$11)))+N37*(1-((N$11-$D$2)/(N$11-L$11))))/1000000,"-"))</f>
        <v>-</v>
      </c>
      <c r="N37" s="1673">
        <f>1510004.01111111*'R&amp;C-Painel de Controle'!$D$73/125*(0.7+0.3*'R&amp;C-Painel de Controle'!$D$75/3.5)</f>
        <v>1156231.6427936498</v>
      </c>
      <c r="O37" s="1674"/>
      <c r="P37" s="1671">
        <f>N37</f>
        <v>1156231.6427936498</v>
      </c>
      <c r="Q37" s="1672" t="str">
        <f>(IF(Q$7="SIM",(P37*(1-(($D$2-P$11)/(R$11-P$11)))+R37*(1-((R$11-$D$2)/(R$11-P$11))))/1000000,"-"))</f>
        <v>-</v>
      </c>
      <c r="R37" s="1673">
        <f>2674675.75222222*'R&amp;C-Painel de Controle'!$D$73/125*(0.7+0.3*'R&amp;C-Painel de Controle'!$D$75/3.5)</f>
        <v>2048037.4331301569</v>
      </c>
      <c r="S37" s="1674"/>
      <c r="T37" s="1671">
        <f>R37</f>
        <v>2048037.4331301569</v>
      </c>
      <c r="U37" s="1672">
        <f>(IF(U$7="SIM",(T37*(1-(($D$2-T$11)/(V$11-T$11)))+V37*(1-((V$11-$D$2)/(V$11-T$11))))/1000000,"-"))</f>
        <v>2.732944583403778</v>
      </c>
      <c r="V37" s="1675">
        <f>5792117.34944444*'R&amp;C-Painel de Controle'!$D$73/125*(0.7+0.3*'R&amp;C-Painel de Controle'!$D$75/3.5)</f>
        <v>4435106.9990031701</v>
      </c>
      <c r="W37" s="1210"/>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row>
    <row r="38" spans="1:61" ht="17.149999999999999" hidden="1" customHeight="1" outlineLevel="1" x14ac:dyDescent="0.45">
      <c r="A38" s="1202"/>
      <c r="B38" s="1646" t="s">
        <v>456</v>
      </c>
      <c r="C38" s="1207"/>
      <c r="D38" s="1671">
        <f>1711.85111111111*(1+'R&amp;C-Painel de Controle'!$D$62)</f>
        <v>1711.85111111111</v>
      </c>
      <c r="E38" s="1672" t="str">
        <f>(IF(E$7="SIM",(D38*(1-(($D$2-D$11)/(F$11-D$11)))+F38*(1-((F$11-$D$2)/(F$11-D$11))))/1000000,"-"))</f>
        <v>-</v>
      </c>
      <c r="F38" s="1673">
        <f>4279.62777777778*(1+'R&amp;C-Painel de Controle'!$D$62)</f>
        <v>4279.6277777777796</v>
      </c>
      <c r="G38" s="1663"/>
      <c r="H38" s="1671">
        <f>F38</f>
        <v>4279.6277777777796</v>
      </c>
      <c r="I38" s="1672" t="str">
        <f>(IF(I$7="SIM",(H38*(1-(($D$2-H$11)/(J$11-H$11)))+J38*(1-((J$11-$D$2)/(J$11-H$11))))/1000000,"-"))</f>
        <v>-</v>
      </c>
      <c r="J38" s="1673">
        <f>17377.4127777778*(1+'R&amp;C-Painel de Controle'!$D$62)</f>
        <v>17377.412777777801</v>
      </c>
      <c r="K38" s="1663"/>
      <c r="L38" s="1671">
        <f>J38</f>
        <v>17377.412777777801</v>
      </c>
      <c r="M38" s="1672" t="str">
        <f>(IF(M$7="SIM",(L38*(1-(($D$2-L$11)/(N$11-L$11)))+N38*(1-((N$11-$D$2)/(N$11-L$11))))/1000000,"-"))</f>
        <v>-</v>
      </c>
      <c r="N38" s="1673">
        <f>55585.0411111111*(1+'R&amp;C-Painel de Controle'!$D$62)</f>
        <v>55585.041111111103</v>
      </c>
      <c r="O38" s="1663"/>
      <c r="P38" s="1671">
        <f>N38</f>
        <v>55585.041111111103</v>
      </c>
      <c r="Q38" s="1672" t="str">
        <f>(IF(Q$7="SIM",(P38*(1-(($D$2-P$11)/(R$11-P$11)))+R38*(1-((R$11-$D$2)/(R$11-P$11))))/1000000,"-"))</f>
        <v>-</v>
      </c>
      <c r="R38" s="1673">
        <f>142843.91*(1+'R&amp;C-Painel de Controle'!$D$62)</f>
        <v>142843.91</v>
      </c>
      <c r="S38" s="1663"/>
      <c r="T38" s="1671">
        <f>R38</f>
        <v>142843.91</v>
      </c>
      <c r="U38" s="1672">
        <f>(IF(U$7="SIM",(T38*(1-(($D$2-T$11)/(V$11-T$11)))+V38*(1-((V$11-$D$2)/(V$11-T$11))))/1000000,"-"))</f>
        <v>0.19540250732432418</v>
      </c>
      <c r="V38" s="1675">
        <f>326023.525*(1+'R&amp;C-Painel de Controle'!$D$62)</f>
        <v>326023.52500000002</v>
      </c>
      <c r="W38" s="1211"/>
      <c r="X38" s="25"/>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row>
    <row r="39" spans="1:61" ht="17.149999999999999" hidden="1" customHeight="1" outlineLevel="1" x14ac:dyDescent="0.45">
      <c r="A39" s="1202"/>
      <c r="B39" s="1646" t="s">
        <v>461</v>
      </c>
      <c r="C39" s="1207"/>
      <c r="D39" s="1671">
        <f>18914.0625*(1+'R&amp;C-Painel de Controle'!$D$62)</f>
        <v>18914.0625</v>
      </c>
      <c r="E39" s="1672" t="str">
        <f>(IF(E$7="SIM",(D39*(1-(($D$2-D$11)/(F$11-D$11)))+F39*(1-((F$11-$D$2)/(F$11-D$11))))/1000000,"-"))</f>
        <v>-</v>
      </c>
      <c r="F39" s="1673">
        <f>33625*(1+'R&amp;C-Painel de Controle'!$D$62)</f>
        <v>33625</v>
      </c>
      <c r="G39" s="1674"/>
      <c r="H39" s="1671">
        <f t="shared" si="9"/>
        <v>33625</v>
      </c>
      <c r="I39" s="1672" t="str">
        <f>(IF(I$7="SIM",(H39*(1-(($D$2-H$11)/(J$11-H$11)))+J39*(1-((J$11-$D$2)/(J$11-H$11))))/1000000,"-"))</f>
        <v>-</v>
      </c>
      <c r="J39" s="1673">
        <f>33625*(1+'R&amp;C-Painel de Controle'!$D$62)</f>
        <v>33625</v>
      </c>
      <c r="K39" s="1674"/>
      <c r="L39" s="1671">
        <f t="shared" si="10"/>
        <v>33625</v>
      </c>
      <c r="M39" s="1672" t="str">
        <f>(IF(M$7="SIM",(L39*(1-(($D$2-L$11)/(N$11-L$11)))+N39*(1-((N$11-$D$2)/(N$11-L$11))))/1000000,"-"))</f>
        <v>-</v>
      </c>
      <c r="N39" s="1673">
        <f>67250*(1+'R&amp;C-Painel de Controle'!$D$62)</f>
        <v>67250</v>
      </c>
      <c r="O39" s="1674"/>
      <c r="P39" s="1671">
        <f t="shared" si="11"/>
        <v>67250</v>
      </c>
      <c r="Q39" s="1672" t="str">
        <f>(IF(Q$7="SIM",(P39*(1-(($D$2-P$11)/(R$11-P$11)))+R39*(1-((R$11-$D$2)/(R$11-P$11))))/1000000,"-"))</f>
        <v>-</v>
      </c>
      <c r="R39" s="1673">
        <f>67250*(1+'R&amp;C-Painel de Controle'!$D$62)</f>
        <v>67250</v>
      </c>
      <c r="S39" s="1674"/>
      <c r="T39" s="1671">
        <f t="shared" si="12"/>
        <v>67250</v>
      </c>
      <c r="U39" s="1672">
        <f>(IF(U$7="SIM",(T39*(1-(($D$2-T$11)/(V$11-T$11)))+V39*(1-((V$11-$D$2)/(V$11-T$11))))/1000000,"-"))</f>
        <v>6.7250000000000004E-2</v>
      </c>
      <c r="V39" s="1675">
        <f>67250*(1+'R&amp;C-Painel de Controle'!$D$62)</f>
        <v>67250</v>
      </c>
      <c r="W39" s="1211"/>
      <c r="X39" s="25"/>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row>
    <row r="40" spans="1:61" ht="17.149999999999999" hidden="1" customHeight="1" outlineLevel="1" x14ac:dyDescent="0.45">
      <c r="A40" s="721"/>
      <c r="B40" s="1646" t="s">
        <v>462</v>
      </c>
      <c r="C40" s="1205"/>
      <c r="D40" s="1671">
        <f>134894.388888889*(1+'R&amp;C-Painel de Controle'!$D$62)</f>
        <v>134894.38888888899</v>
      </c>
      <c r="E40" s="1672" t="str">
        <f>(IF(E$7="SIM",(D40*(1-(($D$2-D$11)/(F$11-D$11)))+F40*(1-((F$11-$D$2)/(F$11-D$11))))/1000000,"-"))</f>
        <v>-</v>
      </c>
      <c r="F40" s="1673">
        <f>202341.583333333*(1+'R&amp;C-Painel de Controle'!$D$62)</f>
        <v>202341.58333333299</v>
      </c>
      <c r="G40" s="1674"/>
      <c r="H40" s="1671">
        <f t="shared" si="9"/>
        <v>202341.58333333299</v>
      </c>
      <c r="I40" s="1672" t="str">
        <f>(IF(I$7="SIM",(H40*(1-(($D$2-H$11)/(J$11-H$11)))+J40*(1-((J$11-$D$2)/(J$11-H$11))))/1000000,"-"))</f>
        <v>-</v>
      </c>
      <c r="J40" s="1673">
        <f>404683.166666667*(1+'R&amp;C-Painel de Controle'!$D$62)</f>
        <v>404683.16666666698</v>
      </c>
      <c r="K40" s="1674"/>
      <c r="L40" s="1671">
        <f t="shared" si="10"/>
        <v>404683.16666666698</v>
      </c>
      <c r="M40" s="1672" t="str">
        <f>(IF(M$7="SIM",(L40*(1-(($D$2-L$11)/(N$11-L$11)))+N40*(1-((N$11-$D$2)/(N$11-L$11))))/1000000,"-"))</f>
        <v>-</v>
      </c>
      <c r="N40" s="1673">
        <f>582743.76*(1+'R&amp;C-Painel de Controle'!$D$62)</f>
        <v>582743.76</v>
      </c>
      <c r="O40" s="1674"/>
      <c r="P40" s="1671">
        <f t="shared" si="11"/>
        <v>582743.76</v>
      </c>
      <c r="Q40" s="1672" t="str">
        <f>(IF(Q$7="SIM",(P40*(1-(($D$2-P$11)/(R$11-P$11)))+R40*(1-((R$11-$D$2)/(R$11-P$11))))/1000000,"-"))</f>
        <v>-</v>
      </c>
      <c r="R40" s="1673">
        <f>1165487.52*(1+'R&amp;C-Painel de Controle'!$D$62)</f>
        <v>1165487.52</v>
      </c>
      <c r="S40" s="1674"/>
      <c r="T40" s="1671">
        <f t="shared" si="12"/>
        <v>1165487.52</v>
      </c>
      <c r="U40" s="1672">
        <f>(IF(U$7="SIM",(T40*(1-(($D$2-T$11)/(V$11-T$11)))+V40*(1-((V$11-$D$2)/(V$11-T$11))))/1000000,"-"))</f>
        <v>1.49989366694056</v>
      </c>
      <c r="V40" s="1675">
        <f>2330975.04*(1+'R&amp;C-Painel de Controle'!$D$62)</f>
        <v>2330975.04</v>
      </c>
      <c r="W40" s="1209"/>
      <c r="X40" s="25"/>
    </row>
    <row r="41" spans="1:61" s="973" customFormat="1" ht="20.149999999999999" customHeight="1" collapsed="1" x14ac:dyDescent="0.45">
      <c r="A41" s="721"/>
      <c r="B41" s="1644" t="s">
        <v>866</v>
      </c>
      <c r="C41" s="1205"/>
      <c r="D41" s="1671"/>
      <c r="E41" s="1672" t="str">
        <f>(IF(E$7="SIM",E42+E43+E44,"-"))</f>
        <v>-</v>
      </c>
      <c r="F41" s="1673"/>
      <c r="G41" s="1663"/>
      <c r="H41" s="1671"/>
      <c r="I41" s="1672" t="str">
        <f>(IF(I$7="SIM",I42+I43+I44,"-"))</f>
        <v>-</v>
      </c>
      <c r="J41" s="1673"/>
      <c r="K41" s="1663"/>
      <c r="L41" s="1671"/>
      <c r="M41" s="1672" t="str">
        <f>(IF(M$7="SIM",M42+M43+M44,"-"))</f>
        <v>-</v>
      </c>
      <c r="N41" s="1673"/>
      <c r="O41" s="1663"/>
      <c r="P41" s="1671"/>
      <c r="Q41" s="1672" t="str">
        <f>(IF(Q$7="SIM",Q42+Q43+Q44,"-"))</f>
        <v>-</v>
      </c>
      <c r="R41" s="1673"/>
      <c r="S41" s="1663"/>
      <c r="T41" s="1671"/>
      <c r="U41" s="1672">
        <f>(IF(U$7="SIM",U42+U43+U44,"-"))</f>
        <v>6.3399284616248091</v>
      </c>
      <c r="V41" s="1675"/>
      <c r="W41" s="1209"/>
      <c r="X41" s="25"/>
    </row>
    <row r="42" spans="1:61" ht="17.149999999999999" hidden="1" customHeight="1" outlineLevel="1" x14ac:dyDescent="0.45">
      <c r="A42" s="721"/>
      <c r="B42" s="1214" t="s">
        <v>459</v>
      </c>
      <c r="C42" s="1205"/>
      <c r="D42" s="1671">
        <f>489033.018867925*'R&amp;C-Painel de Controle'!$D$74/60</f>
        <v>285269.26100628957</v>
      </c>
      <c r="E42" s="1672" t="str">
        <f>(IF(E$7="SIM",(D42*(1-(($D$2-D$11)/(F$11-D$11)))+F42*(1-((F$11-$D$2)/(F$11-D$11))))/1000000,"-"))</f>
        <v>-</v>
      </c>
      <c r="F42" s="1673">
        <f>1222582.54716981*'R&amp;C-Painel de Controle'!$D$74/60</f>
        <v>713173.15251572244</v>
      </c>
      <c r="G42" s="1663"/>
      <c r="H42" s="1671">
        <f>F42</f>
        <v>713173.15251572244</v>
      </c>
      <c r="I42" s="1672" t="str">
        <f>(IF(I$7="SIM",(H42*(1-(($D$2-H$11)/(J$11-H$11)))+J42*(1-((J$11-$D$2)/(J$11-H$11))))/1000000,"-"))</f>
        <v>-</v>
      </c>
      <c r="J42" s="1673">
        <f>1603863.33333333*'R&amp;C-Painel de Controle'!$D$74/60</f>
        <v>935586.94444444252</v>
      </c>
      <c r="K42" s="1663"/>
      <c r="L42" s="1671">
        <f>J42</f>
        <v>935586.94444444252</v>
      </c>
      <c r="M42" s="1672" t="str">
        <f>(IF(M$7="SIM",(L42*(1-(($D$2-L$11)/(N$11-L$11)))+N42*(1-((N$11-$D$2)/(N$11-L$11))))/1000000,"-"))</f>
        <v>-</v>
      </c>
      <c r="N42" s="1673">
        <f>3379627.47222222*'R&amp;C-Painel de Controle'!$D$74/60</f>
        <v>1971449.358796295</v>
      </c>
      <c r="O42" s="1663"/>
      <c r="P42" s="1671">
        <f>N42</f>
        <v>1971449.358796295</v>
      </c>
      <c r="Q42" s="1672" t="str">
        <f>(IF(Q$7="SIM",(P42*(1-(($D$2-P$11)/(R$11-P$11)))+R42*(1-((R$11-$D$2)/(R$11-P$11))))/1000000,"-"))</f>
        <v>-</v>
      </c>
      <c r="R42" s="1673">
        <f>6873700.05555556*'R&amp;C-Painel de Controle'!$D$74/60</f>
        <v>4009658.3657407435</v>
      </c>
      <c r="S42" s="1663"/>
      <c r="T42" s="1671">
        <f>R42</f>
        <v>4009658.3657407435</v>
      </c>
      <c r="U42" s="1672">
        <f>(IF(U$7="SIM",(T42*(1-(($D$2-T$11)/(V$11-T$11)))+V42*(1-((V$11-$D$2)/(V$11-T$11))))/1000000,"-"))</f>
        <v>5.2071747098248098</v>
      </c>
      <c r="V42" s="1675">
        <f>14028508.8333333*'R&amp;C-Painel de Controle'!$D$74/60</f>
        <v>8183296.8194444245</v>
      </c>
      <c r="W42" s="1209"/>
      <c r="X42" s="25"/>
    </row>
    <row r="43" spans="1:61" ht="17.149999999999999" hidden="1" customHeight="1" outlineLevel="1" x14ac:dyDescent="0.45">
      <c r="A43" s="721"/>
      <c r="B43" s="1214" t="s">
        <v>464</v>
      </c>
      <c r="C43" s="1205"/>
      <c r="D43" s="1671">
        <f>6105*(1+'R&amp;C-Painel de Controle'!$D$62)</f>
        <v>6105</v>
      </c>
      <c r="E43" s="1672" t="str">
        <f>(IF(E$7="SIM",(D43*(1-(($D$2-D$11)/(F$11-D$11)))+F43*(1-((F$11-$D$2)/(F$11-D$11))))/1000000,"-"))</f>
        <v>-</v>
      </c>
      <c r="F43" s="1673">
        <f>15262.5*(1+'R&amp;C-Painel de Controle'!$D$62)</f>
        <v>15262.5</v>
      </c>
      <c r="G43" s="1663"/>
      <c r="H43" s="1671">
        <f t="shared" si="9"/>
        <v>15262.5</v>
      </c>
      <c r="I43" s="1672" t="str">
        <f>(IF(I$7="SIM",(H43*(1-(($D$2-H$11)/(J$11-H$11)))+J43*(1-((J$11-$D$2)/(J$11-H$11))))/1000000,"-"))</f>
        <v>-</v>
      </c>
      <c r="J43" s="1673">
        <f>61050*(1+'R&amp;C-Painel de Controle'!$D$62)</f>
        <v>61050</v>
      </c>
      <c r="K43" s="1663"/>
      <c r="L43" s="1671">
        <f t="shared" si="10"/>
        <v>61050</v>
      </c>
      <c r="M43" s="1672" t="str">
        <f>(IF(M$7="SIM",(L43*(1-(($D$2-L$11)/(N$11-L$11)))+N43*(1-((N$11-$D$2)/(N$11-L$11))))/1000000,"-"))</f>
        <v>-</v>
      </c>
      <c r="N43" s="1673">
        <f>183150*(1+'R&amp;C-Painel de Controle'!$D$62)</f>
        <v>183150</v>
      </c>
      <c r="O43" s="1663"/>
      <c r="P43" s="1671">
        <f t="shared" si="11"/>
        <v>183150</v>
      </c>
      <c r="Q43" s="1672" t="str">
        <f>(IF(Q$7="SIM",(P43*(1-(($D$2-P$11)/(R$11-P$11)))+R43*(1-((R$11-$D$2)/(R$11-P$11))))/1000000,"-"))</f>
        <v>-</v>
      </c>
      <c r="R43" s="1673">
        <f>540000*(1+'R&amp;C-Painel de Controle'!$D$62)</f>
        <v>540000</v>
      </c>
      <c r="S43" s="1663"/>
      <c r="T43" s="1671">
        <f t="shared" si="12"/>
        <v>540000</v>
      </c>
      <c r="U43" s="1672">
        <f>(IF(U$7="SIM",(T43*(1-(($D$2-T$11)/(V$11-T$11)))+V43*(1-((V$11-$D$2)/(V$11-T$11))))/1000000,"-"))</f>
        <v>0.69838195599999997</v>
      </c>
      <c r="V43" s="1675">
        <f>1092000*(1+'R&amp;C-Painel de Controle'!$D$62)</f>
        <v>1092000</v>
      </c>
      <c r="W43" s="1209"/>
      <c r="X43" s="25"/>
    </row>
    <row r="44" spans="1:61" ht="17.149999999999999" hidden="1" customHeight="1" outlineLevel="1" x14ac:dyDescent="0.45">
      <c r="A44" s="721"/>
      <c r="B44" s="1214" t="s">
        <v>463</v>
      </c>
      <c r="C44" s="1205"/>
      <c r="D44" s="1671">
        <f>95175*(1+'R&amp;C-Painel de Controle'!$D$62)</f>
        <v>95175</v>
      </c>
      <c r="E44" s="1672" t="str">
        <f>(IF(E$7="SIM",(D44*(1-(($D$2-D$11)/(F$11-D$11)))+F44*(1-((F$11-$D$2)/(F$11-D$11))))/1000000,"-"))</f>
        <v>-</v>
      </c>
      <c r="F44" s="1673">
        <f>30097.293051576*(1+'R&amp;C-Painel de Controle'!$D$62)</f>
        <v>30097.293051576002</v>
      </c>
      <c r="G44" s="1663"/>
      <c r="H44" s="1671">
        <f>F44</f>
        <v>30097.293051576002</v>
      </c>
      <c r="I44" s="1672" t="str">
        <f>(IF(I$7="SIM",(H44*(1-(($D$2-H$11)/(J$11-H$11)))+J44*(1-((J$11-$D$2)/(J$11-H$11))))/1000000,"-"))</f>
        <v>-</v>
      </c>
      <c r="J44" s="1673">
        <f>169200*(1+'R&amp;C-Painel de Controle'!$D$62)</f>
        <v>169200</v>
      </c>
      <c r="K44" s="1663"/>
      <c r="L44" s="1671">
        <f>J44</f>
        <v>169200</v>
      </c>
      <c r="M44" s="1672" t="str">
        <f>(IF(M$7="SIM",(L44*(1-(($D$2-L$11)/(N$11-L$11)))+N44*(1-((N$11-$D$2)/(N$11-L$11))))/1000000,"-"))</f>
        <v>-</v>
      </c>
      <c r="N44" s="1673">
        <f>225600*(1+'R&amp;C-Painel de Controle'!$D$62)</f>
        <v>225600</v>
      </c>
      <c r="O44" s="1663"/>
      <c r="P44" s="1671">
        <f>N44</f>
        <v>225600</v>
      </c>
      <c r="Q44" s="1672" t="str">
        <f>(IF(Q$7="SIM",(P44*(1-(($D$2-P$11)/(R$11-P$11)))+R44*(1-((R$11-$D$2)/(R$11-P$11))))/1000000,"-"))</f>
        <v>-</v>
      </c>
      <c r="R44" s="1673">
        <f>278400*(1+'R&amp;C-Painel de Controle'!$D$62)</f>
        <v>278400</v>
      </c>
      <c r="S44" s="1663"/>
      <c r="T44" s="1671">
        <f>R44</f>
        <v>278400</v>
      </c>
      <c r="U44" s="1672">
        <f>(IF(U$7="SIM",(T44*(1-(($D$2-T$11)/(V$11-T$11)))+V44*(1-((V$11-$D$2)/(V$11-T$11))))/1000000,"-"))</f>
        <v>0.43437179580000002</v>
      </c>
      <c r="V44" s="1675">
        <f>822000*(1+'R&amp;C-Painel de Controle'!$D$62)</f>
        <v>822000</v>
      </c>
      <c r="W44" s="1209"/>
      <c r="X44" s="25"/>
    </row>
    <row r="45" spans="1:61" s="1006" customFormat="1" ht="25.15" customHeight="1" x14ac:dyDescent="0.45">
      <c r="A45" s="1203"/>
      <c r="B45" s="1215" t="s">
        <v>437</v>
      </c>
      <c r="C45" s="1203"/>
      <c r="D45" s="1661"/>
      <c r="E45" s="1912" t="str">
        <f>(IF(E$7="SIM",E46*1000000/$H$2,"-"))</f>
        <v>-</v>
      </c>
      <c r="F45" s="1662"/>
      <c r="G45" s="1663"/>
      <c r="H45" s="1664"/>
      <c r="I45" s="1912" t="str">
        <f>(IF(I$7="SIM",I46*1000000/$H$2,"-"))</f>
        <v>-</v>
      </c>
      <c r="J45" s="1662"/>
      <c r="K45" s="1663"/>
      <c r="L45" s="1664"/>
      <c r="M45" s="1912" t="str">
        <f>(IF(M$7="SIM",M46*1000000/$H$2,"-"))</f>
        <v>-</v>
      </c>
      <c r="N45" s="1662"/>
      <c r="O45" s="1663"/>
      <c r="P45" s="1664"/>
      <c r="Q45" s="1912" t="str">
        <f>(IF(Q$7="SIM",Q46*1000000/$H$2,"-"))</f>
        <v>-</v>
      </c>
      <c r="R45" s="1662"/>
      <c r="S45" s="1663"/>
      <c r="T45" s="1664"/>
      <c r="U45" s="1912">
        <f>(IF(U$7="SIM",U46*1000000/$H$2,"-"))</f>
        <v>47.981535165527411</v>
      </c>
      <c r="V45" s="1665"/>
      <c r="W45" s="1212"/>
      <c r="X45" s="1198"/>
      <c r="Y45" s="1198"/>
      <c r="Z45" s="1198"/>
      <c r="AA45" s="1198"/>
      <c r="AB45" s="1198"/>
      <c r="AC45" s="1198"/>
      <c r="AD45" s="1198"/>
      <c r="AE45" s="1198"/>
      <c r="AF45" s="1198"/>
      <c r="AG45" s="1198"/>
      <c r="AH45" s="1198"/>
      <c r="AI45" s="1198"/>
      <c r="AJ45" s="1198"/>
      <c r="AK45" s="1198"/>
      <c r="AL45" s="1198"/>
      <c r="AM45" s="1198"/>
      <c r="AN45" s="1198"/>
      <c r="AO45" s="1198"/>
      <c r="AP45" s="1198"/>
      <c r="AQ45" s="1198"/>
      <c r="AR45" s="1198"/>
      <c r="AS45" s="1198"/>
      <c r="AT45" s="1198"/>
      <c r="AU45" s="1198"/>
      <c r="AV45" s="1198"/>
      <c r="AW45" s="1198"/>
      <c r="AX45" s="1198"/>
      <c r="AY45" s="1198"/>
      <c r="AZ45" s="1198"/>
      <c r="BA45" s="1198"/>
      <c r="BB45" s="1198"/>
      <c r="BC45" s="1198"/>
      <c r="BD45" s="1198"/>
      <c r="BE45" s="1198"/>
      <c r="BF45" s="1198"/>
      <c r="BG45" s="1198"/>
      <c r="BH45" s="1198"/>
      <c r="BI45" s="1198"/>
    </row>
    <row r="46" spans="1:61" s="1006" customFormat="1" ht="25.15" customHeight="1" x14ac:dyDescent="0.45">
      <c r="A46" s="1203"/>
      <c r="B46" s="1215" t="s">
        <v>438</v>
      </c>
      <c r="C46" s="1203"/>
      <c r="D46" s="1676">
        <v>0.1</v>
      </c>
      <c r="E46" s="1199" t="str">
        <f>(IF(E$7="SIM",(E26+E29+E31+E36+E41)*(1+D46),"-"))</f>
        <v>-</v>
      </c>
      <c r="F46" s="1666"/>
      <c r="G46" s="1667"/>
      <c r="H46" s="1676">
        <v>0.1</v>
      </c>
      <c r="I46" s="1199" t="str">
        <f>(IF(I$7="SIM",(I26+I29+I31+I36+I41)*(1+H46),"-"))</f>
        <v>-</v>
      </c>
      <c r="J46" s="1666"/>
      <c r="K46" s="1667"/>
      <c r="L46" s="1676">
        <v>0.1</v>
      </c>
      <c r="M46" s="1199" t="str">
        <f>(IF(M$7="SIM",(M26+M29+M31+M36+M41)*(1+L46),"-"))</f>
        <v>-</v>
      </c>
      <c r="N46" s="1666"/>
      <c r="O46" s="1667"/>
      <c r="P46" s="1676">
        <v>0.1</v>
      </c>
      <c r="Q46" s="1199" t="str">
        <f>(IF(Q$7="SIM",(Q26+Q29+Q31+Q36+Q41)*(1+P46),"-"))</f>
        <v>-</v>
      </c>
      <c r="R46" s="1666"/>
      <c r="S46" s="1667"/>
      <c r="T46" s="1676">
        <v>0.1</v>
      </c>
      <c r="U46" s="1199">
        <f>(IF(U$7="SIM",(U26+U29+U31+U36+U41)*(1+T46),"-"))</f>
        <v>17.185478882639131</v>
      </c>
      <c r="V46" s="1665"/>
      <c r="W46" s="1212"/>
      <c r="X46" s="1198"/>
      <c r="Y46" s="1198"/>
      <c r="Z46" s="1198"/>
      <c r="AA46" s="1198"/>
      <c r="AB46" s="1198"/>
      <c r="AC46" s="1198"/>
      <c r="AD46" s="1198"/>
      <c r="AE46" s="1198"/>
      <c r="AF46" s="1198"/>
      <c r="AG46" s="1198"/>
      <c r="AH46" s="1198"/>
      <c r="AI46" s="1198"/>
      <c r="AJ46" s="1198"/>
      <c r="AK46" s="1198"/>
      <c r="AL46" s="1198"/>
      <c r="AM46" s="1198"/>
      <c r="AN46" s="1198"/>
      <c r="AO46" s="1198"/>
      <c r="AP46" s="1198"/>
      <c r="AQ46" s="1198"/>
      <c r="AR46" s="1198"/>
      <c r="AS46" s="1198"/>
      <c r="AT46" s="1198"/>
      <c r="AU46" s="1198"/>
      <c r="AV46" s="1198"/>
      <c r="AW46" s="1198"/>
      <c r="AX46" s="1198"/>
      <c r="AY46" s="1198"/>
      <c r="AZ46" s="1198"/>
      <c r="BA46" s="1198"/>
      <c r="BB46" s="1198"/>
      <c r="BC46" s="1198"/>
      <c r="BD46" s="1198"/>
      <c r="BE46" s="1198"/>
      <c r="BF46" s="1198"/>
      <c r="BG46" s="1198"/>
      <c r="BH46" s="1198"/>
      <c r="BI46" s="1198"/>
    </row>
    <row r="47" spans="1:61" s="817" customFormat="1" ht="20.149999999999999" customHeight="1" x14ac:dyDescent="0.45">
      <c r="A47" s="1204"/>
      <c r="B47" s="1092" t="s">
        <v>439</v>
      </c>
      <c r="C47" s="684"/>
      <c r="D47" s="1636"/>
      <c r="E47" s="1639" t="str">
        <f>(IF(E$7="SIM",((E27+E34+E35+E30+E39+E40+E44)*(1+D46)),"-"))</f>
        <v>-</v>
      </c>
      <c r="F47" s="1638"/>
      <c r="G47" s="1074"/>
      <c r="H47" s="1636"/>
      <c r="I47" s="1639" t="str">
        <f>(IF(I$7="SIM",((I27+I34+I35+I30+I39+I40+I44)*(1+H46)),"-"))</f>
        <v>-</v>
      </c>
      <c r="J47" s="1638"/>
      <c r="K47" s="1074"/>
      <c r="L47" s="1636"/>
      <c r="M47" s="1639" t="str">
        <f>(IF(M$7="SIM",((M27+M34+M35+M30+M39+M40+M44)*(1+L46)),"-"))</f>
        <v>-</v>
      </c>
      <c r="N47" s="1638"/>
      <c r="O47" s="1074"/>
      <c r="P47" s="1636"/>
      <c r="Q47" s="1639" t="str">
        <f>(IF(Q$7="SIM",((Q27+Q34+Q35+Q30+Q39+Q40+Q44)*(1+P46)),"-"))</f>
        <v>-</v>
      </c>
      <c r="R47" s="1638"/>
      <c r="S47" s="1074"/>
      <c r="T47" s="1636"/>
      <c r="U47" s="1639">
        <f>(IF(U$7="SIM",((U27+U34+U35+U30+U39+U40+U44)*(1+T46)),"-"))</f>
        <v>4.8808040299939375</v>
      </c>
      <c r="V47" s="1677"/>
      <c r="W47" s="1213"/>
    </row>
    <row r="48" spans="1:61" s="817" customFormat="1" ht="20.149999999999999" customHeight="1" thickBot="1" x14ac:dyDescent="0.5">
      <c r="A48" s="1204"/>
      <c r="B48" s="1093" t="s">
        <v>440</v>
      </c>
      <c r="C48" s="684"/>
      <c r="D48" s="1640"/>
      <c r="E48" s="1678" t="str">
        <f>(IF(E$7="SIM",((E37+E28+E38+E32+E33+E42+E43)*1000000/$H$2)*(1+D46),"-"))</f>
        <v>-</v>
      </c>
      <c r="F48" s="1642"/>
      <c r="G48" s="1074"/>
      <c r="H48" s="1640"/>
      <c r="I48" s="1678" t="str">
        <f>(IF(I$7="SIM",((I37+I28+I38+I32+I33+I42+I43)*1000000/$H$2)*(1+H46),"-"))</f>
        <v>-</v>
      </c>
      <c r="J48" s="1642"/>
      <c r="K48" s="1074"/>
      <c r="L48" s="1640"/>
      <c r="M48" s="1678" t="str">
        <f>(IF(M$7="SIM",((M37+M28+M38+M32+M33+M42+M43)*1000000/$H$2)*(1+L46),"-"))</f>
        <v>-</v>
      </c>
      <c r="N48" s="1642"/>
      <c r="O48" s="1074"/>
      <c r="P48" s="1640"/>
      <c r="Q48" s="1678" t="str">
        <f>(IF(Q$7="SIM",((Q37+Q28+Q38+Q32+Q33+Q42+Q43)*1000000/$H$2)*(1+P46),"-"))</f>
        <v>-</v>
      </c>
      <c r="R48" s="1642"/>
      <c r="S48" s="1074"/>
      <c r="T48" s="1640"/>
      <c r="U48" s="1678">
        <f>(IF(U$7="SIM",((U37+U28+U38+U32+U33+U42+U43)*1000000/$H$2)*(1+T46),"-"))</f>
        <v>34.354421728625724</v>
      </c>
      <c r="V48" s="1679"/>
      <c r="W48" s="1213"/>
    </row>
    <row r="49" spans="2:21" ht="14.25" customHeight="1" thickTop="1" x14ac:dyDescent="0.35">
      <c r="B49" s="1"/>
    </row>
    <row r="50" spans="2:21" ht="14.25" customHeight="1" x14ac:dyDescent="0.35">
      <c r="B50" s="1"/>
      <c r="U50" s="63"/>
    </row>
    <row r="51" spans="2:21" ht="14.25" customHeight="1" x14ac:dyDescent="0.35">
      <c r="B51" s="1"/>
    </row>
    <row r="52" spans="2:21" ht="14.25" customHeight="1" x14ac:dyDescent="0.35">
      <c r="B52" s="1"/>
    </row>
    <row r="53" spans="2:21" ht="14.25" customHeight="1" x14ac:dyDescent="0.35">
      <c r="B53" s="1"/>
    </row>
    <row r="54" spans="2:21" ht="14.25" customHeight="1" x14ac:dyDescent="0.35">
      <c r="B54" s="1"/>
    </row>
    <row r="55" spans="2:21" ht="14.25" customHeight="1" x14ac:dyDescent="0.35">
      <c r="B55" s="1"/>
    </row>
    <row r="56" spans="2:21" ht="14.25" customHeight="1" x14ac:dyDescent="0.35">
      <c r="B56" s="1"/>
    </row>
    <row r="57" spans="2:21" ht="14.25" customHeight="1" x14ac:dyDescent="0.35">
      <c r="B57" s="1"/>
    </row>
    <row r="58" spans="2:21" ht="14.25" customHeight="1" x14ac:dyDescent="0.35">
      <c r="B58" s="1"/>
    </row>
    <row r="59" spans="2:21" ht="14.25" customHeight="1" x14ac:dyDescent="0.35">
      <c r="B59" s="1"/>
    </row>
    <row r="60" spans="2:21" ht="14.25" customHeight="1" x14ac:dyDescent="0.35">
      <c r="B60" s="1"/>
    </row>
    <row r="61" spans="2:21" ht="14.25" customHeight="1" x14ac:dyDescent="0.35">
      <c r="B61" s="1"/>
    </row>
    <row r="62" spans="2:21" ht="14.25" customHeight="1" x14ac:dyDescent="0.35">
      <c r="B62" s="1"/>
    </row>
    <row r="63" spans="2:21" ht="14.25" customHeight="1" x14ac:dyDescent="0.35">
      <c r="B63" s="1"/>
    </row>
    <row r="64" spans="2:21" ht="14.25" customHeight="1" x14ac:dyDescent="0.35">
      <c r="B64" s="1"/>
    </row>
    <row r="65" spans="2:2" ht="14.25" customHeight="1" x14ac:dyDescent="0.35">
      <c r="B65" s="1"/>
    </row>
    <row r="66" spans="2:2" ht="14.25" customHeight="1" x14ac:dyDescent="0.35">
      <c r="B66" s="1"/>
    </row>
    <row r="67" spans="2:2" ht="14.25" customHeight="1" x14ac:dyDescent="0.35">
      <c r="B67" s="1"/>
    </row>
    <row r="68" spans="2:2" ht="14.25" customHeight="1" x14ac:dyDescent="0.35">
      <c r="B68" s="1"/>
    </row>
    <row r="69" spans="2:2" ht="14.25" customHeight="1" x14ac:dyDescent="0.35">
      <c r="B69" s="1"/>
    </row>
    <row r="70" spans="2:2" ht="14.25" customHeight="1" x14ac:dyDescent="0.35">
      <c r="B70" s="1"/>
    </row>
    <row r="71" spans="2:2" ht="14.25" customHeight="1" x14ac:dyDescent="0.35">
      <c r="B71" s="1"/>
    </row>
    <row r="72" spans="2:2" ht="14.25" customHeight="1" x14ac:dyDescent="0.35">
      <c r="B72" s="1"/>
    </row>
    <row r="73" spans="2:2" ht="14.25" customHeight="1" x14ac:dyDescent="0.35">
      <c r="B73" s="1"/>
    </row>
    <row r="74" spans="2:2" ht="14.25" customHeight="1" x14ac:dyDescent="0.35">
      <c r="B74" s="1"/>
    </row>
    <row r="75" spans="2:2" ht="14.25" customHeight="1" x14ac:dyDescent="0.35">
      <c r="B75" s="1"/>
    </row>
    <row r="76" spans="2:2" ht="14.25" customHeight="1" x14ac:dyDescent="0.35">
      <c r="B76" s="1"/>
    </row>
    <row r="77" spans="2:2" ht="14.25" customHeight="1" x14ac:dyDescent="0.35">
      <c r="B77" s="1"/>
    </row>
    <row r="78" spans="2:2" ht="14.25" customHeight="1" x14ac:dyDescent="0.35">
      <c r="B78" s="1"/>
    </row>
    <row r="79" spans="2:2" ht="14.25" customHeight="1" x14ac:dyDescent="0.35">
      <c r="B79" s="1"/>
    </row>
    <row r="80" spans="2:2" ht="14.25" customHeight="1" x14ac:dyDescent="0.35">
      <c r="B80" s="1"/>
    </row>
    <row r="81" spans="2:2" ht="14.25" customHeight="1" x14ac:dyDescent="0.35">
      <c r="B81" s="1"/>
    </row>
    <row r="82" spans="2:2" ht="14.25" customHeight="1" x14ac:dyDescent="0.35">
      <c r="B82" s="1"/>
    </row>
    <row r="83" spans="2:2" ht="14.25" customHeight="1" x14ac:dyDescent="0.35">
      <c r="B83" s="1"/>
    </row>
    <row r="84" spans="2:2" ht="14.25" customHeight="1" x14ac:dyDescent="0.35">
      <c r="B84" s="1"/>
    </row>
    <row r="85" spans="2:2" ht="14.25" customHeight="1" x14ac:dyDescent="0.35">
      <c r="B85" s="1"/>
    </row>
    <row r="86" spans="2:2" ht="14.25" customHeight="1" x14ac:dyDescent="0.35">
      <c r="B86" s="1"/>
    </row>
    <row r="87" spans="2:2" ht="14.25" customHeight="1" x14ac:dyDescent="0.35">
      <c r="B87" s="1"/>
    </row>
    <row r="88" spans="2:2" ht="14.25" customHeight="1" x14ac:dyDescent="0.35">
      <c r="B88" s="1"/>
    </row>
    <row r="89" spans="2:2" ht="14.25" customHeight="1" x14ac:dyDescent="0.35">
      <c r="B89" s="1"/>
    </row>
    <row r="90" spans="2:2" ht="14.25" customHeight="1" x14ac:dyDescent="0.35">
      <c r="B90" s="1"/>
    </row>
    <row r="91" spans="2:2" ht="14.25" customHeight="1" x14ac:dyDescent="0.35">
      <c r="B91" s="1"/>
    </row>
    <row r="92" spans="2:2" ht="14.25" customHeight="1" x14ac:dyDescent="0.35">
      <c r="B92" s="1"/>
    </row>
    <row r="93" spans="2:2" ht="14.25" customHeight="1" x14ac:dyDescent="0.35">
      <c r="B93" s="1"/>
    </row>
    <row r="94" spans="2:2" ht="14.25" customHeight="1" x14ac:dyDescent="0.35">
      <c r="B94" s="1"/>
    </row>
    <row r="95" spans="2:2" ht="14.25" customHeight="1" x14ac:dyDescent="0.35">
      <c r="B95" s="1"/>
    </row>
    <row r="96" spans="2:2" ht="14.25" customHeight="1" x14ac:dyDescent="0.35">
      <c r="B96" s="1"/>
    </row>
    <row r="97" spans="2:2" ht="14.25" customHeight="1" x14ac:dyDescent="0.35">
      <c r="B97" s="1"/>
    </row>
    <row r="98" spans="2:2" ht="14.25" customHeight="1" x14ac:dyDescent="0.35">
      <c r="B98" s="1"/>
    </row>
    <row r="99" spans="2:2" ht="14.25" customHeight="1" x14ac:dyDescent="0.35">
      <c r="B99" s="1"/>
    </row>
    <row r="100" spans="2:2" ht="14.25" customHeight="1" x14ac:dyDescent="0.35">
      <c r="B100" s="1"/>
    </row>
    <row r="101" spans="2:2" ht="14.25" customHeight="1" x14ac:dyDescent="0.35">
      <c r="B101" s="1"/>
    </row>
    <row r="102" spans="2:2" ht="14.25" customHeight="1" x14ac:dyDescent="0.35">
      <c r="B102" s="1"/>
    </row>
    <row r="103" spans="2:2" ht="14.25" customHeight="1" x14ac:dyDescent="0.35">
      <c r="B103" s="1"/>
    </row>
    <row r="104" spans="2:2" ht="14.25" customHeight="1" x14ac:dyDescent="0.35">
      <c r="B104" s="1"/>
    </row>
    <row r="105" spans="2:2" ht="14.25" customHeight="1" x14ac:dyDescent="0.35">
      <c r="B105" s="1"/>
    </row>
    <row r="106" spans="2:2" ht="14.25" customHeight="1" x14ac:dyDescent="0.35">
      <c r="B106" s="1"/>
    </row>
    <row r="107" spans="2:2" ht="14.25" customHeight="1" x14ac:dyDescent="0.35">
      <c r="B107" s="1"/>
    </row>
  </sheetData>
  <sheetProtection algorithmName="SHA-512" hashValue="T+oYoOslTaMam7dtsT+BSzRcWJfVs3Zq+0XII6qqOt5JlMi7WoZbWEgkXNsgD1qtviFKOod10/8AME/qu7Rvqw==" saltValue="8StIeQvYjzB5mwhLmDhvww==" spinCount="100000" sheet="1" objects="1" scenarios="1"/>
  <mergeCells count="5">
    <mergeCell ref="B9:B11"/>
    <mergeCell ref="D9:V9"/>
    <mergeCell ref="Q2:R2"/>
    <mergeCell ref="U2:V2"/>
    <mergeCell ref="B1:B3"/>
  </mergeCells>
  <conditionalFormatting sqref="I7 E7 M7 Q7 U7">
    <cfRule type="expression" dxfId="25" priority="35">
      <formula>E$7="NÃO"</formula>
    </cfRule>
  </conditionalFormatting>
  <conditionalFormatting sqref="I7 E7 M7 Q7 U7">
    <cfRule type="expression" dxfId="24" priority="36">
      <formula>E$7= "SIM"</formula>
    </cfRule>
  </conditionalFormatting>
  <conditionalFormatting sqref="L2">
    <cfRule type="expression" dxfId="23" priority="33">
      <formula>L$2="NÃO"</formula>
    </cfRule>
  </conditionalFormatting>
  <conditionalFormatting sqref="L2">
    <cfRule type="expression" dxfId="22" priority="34">
      <formula>L$2= "SIM"</formula>
    </cfRule>
  </conditionalFormatting>
  <conditionalFormatting sqref="D2">
    <cfRule type="expression" dxfId="21" priority="37">
      <formula>AND($L$2="Sim",$D$2&lt;$D$11)</formula>
    </cfRule>
  </conditionalFormatting>
  <conditionalFormatting sqref="D2">
    <cfRule type="expression" dxfId="20" priority="38">
      <formula>AND($L$2="Sim",$D$2&gt;$V$11)</formula>
    </cfRule>
  </conditionalFormatting>
  <conditionalFormatting sqref="Q26:Q48">
    <cfRule type="expression" dxfId="19" priority="19">
      <formula>Q$7="NÃO"</formula>
    </cfRule>
    <cfRule type="expression" dxfId="18" priority="20">
      <formula>Q$7= "SIM"</formula>
    </cfRule>
  </conditionalFormatting>
  <conditionalFormatting sqref="Q15:Q22">
    <cfRule type="expression" dxfId="17" priority="17">
      <formula>Q$7="NÃO"</formula>
    </cfRule>
    <cfRule type="expression" dxfId="16" priority="18">
      <formula>Q$7= "SIM"</formula>
    </cfRule>
  </conditionalFormatting>
  <conditionalFormatting sqref="U26:U48">
    <cfRule type="expression" dxfId="15" priority="15">
      <formula>U$7="NÃO"</formula>
    </cfRule>
    <cfRule type="expression" dxfId="14" priority="16">
      <formula>U$7= "SIM"</formula>
    </cfRule>
  </conditionalFormatting>
  <conditionalFormatting sqref="U15:U22">
    <cfRule type="expression" dxfId="13" priority="13">
      <formula>U$7="NÃO"</formula>
    </cfRule>
    <cfRule type="expression" dxfId="12" priority="14">
      <formula>U$7= "SIM"</formula>
    </cfRule>
  </conditionalFormatting>
  <conditionalFormatting sqref="M26:M48">
    <cfRule type="expression" dxfId="11" priority="11">
      <formula>M$7="NÃO"</formula>
    </cfRule>
    <cfRule type="expression" dxfId="10" priority="12">
      <formula>M$7= "SIM"</formula>
    </cfRule>
  </conditionalFormatting>
  <conditionalFormatting sqref="M15:M22">
    <cfRule type="expression" dxfId="9" priority="9">
      <formula>M$7="NÃO"</formula>
    </cfRule>
    <cfRule type="expression" dxfId="8" priority="10">
      <formula>M$7= "SIM"</formula>
    </cfRule>
  </conditionalFormatting>
  <conditionalFormatting sqref="I26:I48">
    <cfRule type="expression" dxfId="7" priority="7">
      <formula>I$7="NÃO"</formula>
    </cfRule>
    <cfRule type="expression" dxfId="6" priority="8">
      <formula>I$7= "SIM"</formula>
    </cfRule>
  </conditionalFormatting>
  <conditionalFormatting sqref="I15:I22">
    <cfRule type="expression" dxfId="5" priority="5">
      <formula>I$7="NÃO"</formula>
    </cfRule>
    <cfRule type="expression" dxfId="4" priority="6">
      <formula>I$7= "SIM"</formula>
    </cfRule>
  </conditionalFormatting>
  <conditionalFormatting sqref="E26:E48">
    <cfRule type="expression" dxfId="3" priority="3">
      <formula>E$7="NÃO"</formula>
    </cfRule>
    <cfRule type="expression" dxfId="2" priority="4">
      <formula>E$7= "SIM"</formula>
    </cfRule>
  </conditionalFormatting>
  <conditionalFormatting sqref="E15:E22">
    <cfRule type="expression" dxfId="1" priority="1">
      <formula>E$7="NÃO"</formula>
    </cfRule>
    <cfRule type="expression" dxfId="0" priority="2">
      <formula>E$7= "SIM"</formula>
    </cfRule>
  </conditionalFormatting>
  <pageMargins left="0.511811024" right="0.511811024" top="0.78740157499999996" bottom="0.78740157499999996"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C5E0B3"/>
    <pageSetUpPr fitToPage="1"/>
  </sheetPr>
  <dimension ref="A1:AI183"/>
  <sheetViews>
    <sheetView defaultGridColor="0" colorId="23" zoomScale="90" zoomScaleNormal="90" workbookViewId="0">
      <selection activeCell="D3" sqref="D3:E3"/>
    </sheetView>
  </sheetViews>
  <sheetFormatPr defaultColWidth="14.453125" defaultRowHeight="15" customHeight="1" x14ac:dyDescent="0.35"/>
  <cols>
    <col min="1" max="1" width="0.7265625" customWidth="1"/>
    <col min="2" max="2" width="2.7265625" style="82" customWidth="1"/>
    <col min="3" max="3" width="26.7265625" style="82" customWidth="1"/>
    <col min="4" max="4" width="15.453125" style="82" customWidth="1"/>
    <col min="5" max="5" width="14.453125" style="82" customWidth="1"/>
    <col min="6" max="8" width="13.453125" style="82" customWidth="1"/>
    <col min="9" max="9" width="15.7265625" style="82" customWidth="1"/>
    <col min="10" max="10" width="16.7265625" style="82" customWidth="1"/>
    <col min="11" max="11" width="20.7265625" style="82" customWidth="1"/>
    <col min="12" max="12" width="14.453125" style="82" customWidth="1"/>
    <col min="13" max="13" width="15.453125" style="82" customWidth="1"/>
    <col min="14" max="14" width="16.7265625" style="82" customWidth="1"/>
    <col min="15" max="15" width="15.453125" style="82" customWidth="1"/>
    <col min="16" max="16" width="3.453125" style="82" customWidth="1"/>
    <col min="17" max="17" width="13.7265625" customWidth="1"/>
    <col min="18" max="18" width="11.453125" hidden="1" customWidth="1"/>
    <col min="19" max="19" width="14.26953125" hidden="1" customWidth="1"/>
    <col min="20" max="21" width="11.453125" hidden="1" customWidth="1"/>
    <col min="22" max="22" width="8.7265625" hidden="1" customWidth="1"/>
    <col min="23" max="23" width="9.453125" customWidth="1"/>
    <col min="24" max="24" width="6.7265625" customWidth="1"/>
    <col min="25" max="25" width="13" customWidth="1"/>
    <col min="26" max="28" width="15" customWidth="1"/>
    <col min="29" max="29" width="15.7265625" customWidth="1"/>
    <col min="30" max="30" width="15" customWidth="1"/>
    <col min="31" max="31" width="9.453125" customWidth="1"/>
    <col min="32" max="35" width="8.7265625" customWidth="1"/>
  </cols>
  <sheetData>
    <row r="1" spans="1:35" ht="18" customHeight="1" x14ac:dyDescent="0.35">
      <c r="A1" s="525"/>
      <c r="B1" s="388"/>
      <c r="C1" s="388"/>
      <c r="D1" s="388"/>
      <c r="E1" s="388"/>
      <c r="F1" s="388"/>
      <c r="G1" s="388"/>
      <c r="H1" s="388"/>
      <c r="I1" s="388"/>
      <c r="J1" s="537" t="s">
        <v>507</v>
      </c>
      <c r="K1" s="538"/>
      <c r="L1" s="388"/>
      <c r="M1" s="499"/>
      <c r="N1" s="499"/>
      <c r="O1" s="499"/>
      <c r="P1" s="484"/>
      <c r="Q1" s="499"/>
      <c r="R1" s="499"/>
      <c r="S1" s="499"/>
      <c r="T1" s="499"/>
      <c r="U1" s="499"/>
      <c r="V1" s="499"/>
      <c r="W1" s="499"/>
      <c r="X1" s="499"/>
      <c r="Y1" s="499"/>
      <c r="Z1" s="499"/>
      <c r="AA1" s="3"/>
      <c r="AB1" s="3"/>
      <c r="AC1" s="3"/>
      <c r="AD1" s="3"/>
      <c r="AE1" s="3"/>
      <c r="AF1" s="3"/>
      <c r="AG1" s="3"/>
      <c r="AH1" s="3"/>
      <c r="AI1" s="3"/>
    </row>
    <row r="2" spans="1:35" ht="18" customHeight="1" x14ac:dyDescent="0.35">
      <c r="A2" s="525"/>
      <c r="B2" s="388"/>
      <c r="C2" s="486" t="s">
        <v>493</v>
      </c>
      <c r="D2" s="1958" t="str">
        <f>IF('R-Entrada'!D2&lt;&gt;0,'R-Entrada'!D2,"")</f>
        <v>São Judas Tadeu</v>
      </c>
      <c r="E2" s="1959"/>
      <c r="F2" s="487"/>
      <c r="G2" s="487"/>
      <c r="H2" s="487"/>
      <c r="I2" s="388"/>
      <c r="J2" s="194"/>
      <c r="K2" s="539" t="s">
        <v>727</v>
      </c>
      <c r="L2" s="388"/>
      <c r="M2" s="388"/>
      <c r="N2" s="388"/>
      <c r="O2" s="388"/>
      <c r="P2" s="388"/>
      <c r="Q2" s="499"/>
      <c r="R2" s="499"/>
      <c r="S2" s="499"/>
      <c r="T2" s="499"/>
      <c r="U2" s="499"/>
      <c r="V2" s="499"/>
      <c r="W2" s="499"/>
      <c r="X2" s="499"/>
      <c r="Y2" s="499"/>
      <c r="Z2" s="499"/>
      <c r="AA2" s="3"/>
      <c r="AB2" s="3"/>
      <c r="AC2" s="3"/>
      <c r="AD2" s="3"/>
      <c r="AE2" s="3"/>
      <c r="AF2" s="3"/>
      <c r="AG2" s="3"/>
      <c r="AH2" s="3"/>
      <c r="AI2" s="3"/>
    </row>
    <row r="3" spans="1:35" ht="18" customHeight="1" x14ac:dyDescent="0.35">
      <c r="A3" s="525"/>
      <c r="B3" s="388"/>
      <c r="C3" s="486" t="s">
        <v>494</v>
      </c>
      <c r="D3" s="1958" t="str">
        <f>IF('R-Entrada'!D3&lt;&gt;0,'R-Entrada'!D3,"")</f>
        <v>Rota Futura 1</v>
      </c>
      <c r="E3" s="1959"/>
      <c r="F3" s="487"/>
      <c r="G3" s="487"/>
      <c r="H3" s="487"/>
      <c r="I3" s="388"/>
      <c r="J3" s="655"/>
      <c r="K3" s="539" t="s">
        <v>728</v>
      </c>
      <c r="L3" s="388"/>
      <c r="M3" s="388"/>
      <c r="N3" s="388"/>
      <c r="O3" s="388"/>
      <c r="P3" s="388"/>
      <c r="Q3" s="499"/>
      <c r="R3" s="499"/>
      <c r="S3" s="499"/>
      <c r="T3" s="499"/>
      <c r="U3" s="499"/>
      <c r="V3" s="499"/>
      <c r="W3" s="499"/>
      <c r="X3" s="499"/>
      <c r="Y3" s="499"/>
      <c r="Z3" s="499"/>
      <c r="AA3" s="3"/>
      <c r="AB3" s="3"/>
      <c r="AC3" s="3"/>
      <c r="AD3" s="3"/>
      <c r="AE3" s="3"/>
      <c r="AF3" s="3"/>
      <c r="AG3" s="3"/>
      <c r="AH3" s="3"/>
      <c r="AI3" s="3"/>
    </row>
    <row r="4" spans="1:35" ht="18" customHeight="1" x14ac:dyDescent="0.35">
      <c r="A4" s="525"/>
      <c r="B4" s="388"/>
      <c r="C4" s="388"/>
      <c r="D4" s="388"/>
      <c r="E4" s="388"/>
      <c r="F4" s="388"/>
      <c r="G4" s="388"/>
      <c r="H4" s="388"/>
      <c r="I4" s="388"/>
      <c r="J4" s="513"/>
      <c r="K4" s="539" t="s">
        <v>729</v>
      </c>
      <c r="L4" s="388"/>
      <c r="M4" s="388"/>
      <c r="N4" s="388"/>
      <c r="O4" s="388"/>
      <c r="P4" s="388"/>
      <c r="Q4" s="499"/>
      <c r="R4" s="499"/>
      <c r="S4" s="499"/>
      <c r="T4" s="499"/>
      <c r="U4" s="499"/>
      <c r="V4" s="499"/>
      <c r="W4" s="499"/>
      <c r="X4" s="499"/>
      <c r="Y4" s="499"/>
      <c r="Z4" s="499"/>
      <c r="AA4" s="3"/>
      <c r="AB4" s="3"/>
      <c r="AC4" s="3"/>
      <c r="AD4" s="3"/>
      <c r="AE4" s="3"/>
      <c r="AF4" s="3"/>
      <c r="AG4" s="3"/>
      <c r="AH4" s="3"/>
      <c r="AI4" s="3"/>
    </row>
    <row r="5" spans="1:35" ht="18" customHeight="1" x14ac:dyDescent="0.35">
      <c r="A5" s="525"/>
      <c r="B5" s="388"/>
      <c r="C5" s="388"/>
      <c r="D5" s="388"/>
      <c r="E5" s="388"/>
      <c r="F5" s="1929" t="s">
        <v>742</v>
      </c>
      <c r="G5" s="1975"/>
      <c r="H5" s="1976"/>
      <c r="I5" s="388"/>
      <c r="J5" s="129"/>
      <c r="K5" s="539" t="s">
        <v>730</v>
      </c>
      <c r="L5" s="388"/>
      <c r="M5" s="388"/>
      <c r="N5" s="1939" t="s">
        <v>474</v>
      </c>
      <c r="O5" s="1984"/>
      <c r="P5" s="1984"/>
      <c r="Q5" s="499"/>
      <c r="R5" s="499"/>
      <c r="S5" s="499"/>
      <c r="T5" s="499"/>
      <c r="U5" s="499"/>
      <c r="V5" s="499"/>
      <c r="W5" s="499"/>
      <c r="X5" s="499"/>
      <c r="Y5" s="499"/>
      <c r="Z5" s="499"/>
      <c r="AA5" s="3"/>
      <c r="AB5" s="3"/>
      <c r="AC5" s="3"/>
      <c r="AD5" s="3"/>
      <c r="AE5" s="3"/>
      <c r="AF5" s="3"/>
      <c r="AG5" s="3"/>
      <c r="AH5" s="3"/>
      <c r="AI5" s="3"/>
    </row>
    <row r="6" spans="1:35" ht="18" customHeight="1" x14ac:dyDescent="0.35">
      <c r="A6" s="525"/>
      <c r="B6" s="388"/>
      <c r="C6" s="487"/>
      <c r="D6" s="487"/>
      <c r="E6" s="487"/>
      <c r="F6" s="1977"/>
      <c r="G6" s="1978"/>
      <c r="H6" s="1979"/>
      <c r="I6" s="487"/>
      <c r="J6" s="656"/>
      <c r="K6" s="539" t="s">
        <v>731</v>
      </c>
      <c r="L6" s="388"/>
      <c r="M6" s="388"/>
      <c r="N6" s="1941" t="str">
        <f>'R-Entrada'!L5</f>
        <v>Versão 1.01   -   Maio de 2022</v>
      </c>
      <c r="O6" s="1941"/>
      <c r="P6" s="1941"/>
      <c r="Q6" s="499"/>
      <c r="R6" s="499"/>
      <c r="S6" s="499"/>
      <c r="T6" s="499"/>
      <c r="U6" s="499"/>
      <c r="V6" s="499"/>
      <c r="W6" s="499"/>
      <c r="X6" s="499"/>
      <c r="Y6" s="499"/>
      <c r="Z6" s="499"/>
      <c r="AA6" s="3"/>
      <c r="AB6" s="3"/>
      <c r="AC6" s="3"/>
      <c r="AD6" s="3"/>
      <c r="AE6" s="3"/>
      <c r="AF6" s="3"/>
      <c r="AG6" s="3"/>
      <c r="AH6" s="3"/>
      <c r="AI6" s="3"/>
    </row>
    <row r="7" spans="1:35" ht="18" customHeight="1" x14ac:dyDescent="0.35">
      <c r="A7" s="525"/>
      <c r="B7" s="388"/>
      <c r="C7" s="388"/>
      <c r="D7" s="487"/>
      <c r="E7" s="388"/>
      <c r="F7" s="388"/>
      <c r="G7" s="388"/>
      <c r="H7" s="388"/>
      <c r="I7" s="388"/>
      <c r="J7" s="917"/>
      <c r="K7" s="539" t="s">
        <v>732</v>
      </c>
      <c r="L7" s="388"/>
      <c r="M7" s="388"/>
      <c r="N7" s="488"/>
      <c r="O7" s="488"/>
      <c r="P7" s="488"/>
      <c r="Q7" s="499"/>
      <c r="R7" s="499"/>
      <c r="S7" s="499"/>
      <c r="T7" s="499"/>
      <c r="U7" s="499"/>
      <c r="V7" s="499"/>
      <c r="W7" s="499"/>
      <c r="X7" s="499"/>
      <c r="Y7" s="499"/>
      <c r="Z7" s="499"/>
      <c r="AA7" s="3"/>
      <c r="AB7" s="3"/>
      <c r="AC7" s="3"/>
      <c r="AD7" s="3"/>
      <c r="AE7" s="3"/>
      <c r="AF7" s="3"/>
      <c r="AG7" s="3"/>
      <c r="AH7" s="3"/>
      <c r="AI7" s="3"/>
    </row>
    <row r="8" spans="1:35" ht="18" customHeight="1" x14ac:dyDescent="0.35">
      <c r="A8" s="526"/>
      <c r="B8" s="1985" t="s">
        <v>515</v>
      </c>
      <c r="C8" s="1985"/>
      <c r="D8" s="1985"/>
      <c r="E8" s="1985"/>
      <c r="F8" s="1985"/>
      <c r="G8" s="388"/>
      <c r="H8" s="388"/>
      <c r="I8" s="388"/>
      <c r="J8" s="388"/>
      <c r="L8" s="388"/>
      <c r="M8" s="388"/>
      <c r="N8" s="388"/>
      <c r="O8" s="388"/>
      <c r="P8" s="388"/>
      <c r="Q8" s="499"/>
      <c r="R8" s="499"/>
      <c r="S8" s="499"/>
      <c r="T8" s="499"/>
      <c r="U8" s="499"/>
      <c r="V8" s="499"/>
      <c r="W8" s="499"/>
      <c r="X8" s="499"/>
      <c r="Y8" s="499"/>
      <c r="Z8" s="499"/>
      <c r="AA8" s="3"/>
      <c r="AB8" s="3"/>
      <c r="AC8" s="3"/>
      <c r="AD8" s="3"/>
      <c r="AE8" s="3"/>
      <c r="AF8" s="3"/>
      <c r="AG8" s="3"/>
      <c r="AH8" s="3"/>
      <c r="AI8" s="3"/>
    </row>
    <row r="9" spans="1:35" ht="18" customHeight="1" x14ac:dyDescent="0.35">
      <c r="A9" s="525"/>
      <c r="B9" s="388"/>
      <c r="C9" s="388"/>
      <c r="D9" s="388"/>
      <c r="E9" s="388"/>
      <c r="F9" s="388"/>
      <c r="G9" s="388"/>
      <c r="H9" s="388"/>
      <c r="I9" s="388"/>
      <c r="J9" s="388"/>
      <c r="K9" s="388"/>
      <c r="L9" s="388"/>
      <c r="M9" s="388"/>
      <c r="N9" s="388"/>
      <c r="O9" s="900"/>
      <c r="P9" s="388"/>
      <c r="Q9" s="499"/>
      <c r="R9" s="499"/>
      <c r="S9" s="499"/>
      <c r="T9" s="499"/>
      <c r="U9" s="499"/>
      <c r="V9" s="499"/>
      <c r="W9" s="499"/>
      <c r="X9" s="499"/>
      <c r="Y9" s="499"/>
      <c r="Z9" s="499"/>
      <c r="AA9" s="3"/>
      <c r="AB9" s="3"/>
      <c r="AC9" s="3"/>
      <c r="AD9" s="3"/>
      <c r="AE9" s="3"/>
      <c r="AF9" s="3"/>
      <c r="AG9" s="3"/>
      <c r="AH9" s="3"/>
      <c r="AI9" s="3"/>
    </row>
    <row r="10" spans="1:35" ht="26.15" customHeight="1" x14ac:dyDescent="0.35">
      <c r="A10" s="525"/>
      <c r="B10" s="388"/>
      <c r="C10" s="1944" t="s">
        <v>46</v>
      </c>
      <c r="D10" s="1938" t="s">
        <v>512</v>
      </c>
      <c r="E10" s="1936"/>
      <c r="F10" s="1936"/>
      <c r="G10" s="1936"/>
      <c r="H10" s="1936"/>
      <c r="I10" s="1936"/>
      <c r="J10" s="1936"/>
      <c r="K10" s="1936"/>
      <c r="L10" s="1936"/>
      <c r="M10" s="1936"/>
      <c r="N10" s="1936"/>
      <c r="O10" s="388"/>
      <c r="P10" s="388"/>
      <c r="Q10" s="499"/>
      <c r="R10" s="499"/>
      <c r="S10" s="499"/>
      <c r="T10" s="499"/>
      <c r="U10" s="499"/>
      <c r="V10" s="499"/>
      <c r="W10" s="499"/>
      <c r="X10" s="499"/>
      <c r="Y10" s="499"/>
      <c r="Z10" s="499"/>
      <c r="AA10" s="3"/>
      <c r="AB10" s="3"/>
      <c r="AC10" s="3"/>
      <c r="AD10" s="3"/>
      <c r="AE10" s="3"/>
      <c r="AF10" s="3"/>
      <c r="AG10" s="3"/>
      <c r="AH10" s="3"/>
      <c r="AI10" s="3"/>
    </row>
    <row r="11" spans="1:35" ht="22.5" customHeight="1" x14ac:dyDescent="0.35">
      <c r="A11" s="525"/>
      <c r="B11" s="388"/>
      <c r="C11" s="1936"/>
      <c r="D11" s="1938" t="s">
        <v>23</v>
      </c>
      <c r="E11" s="1936"/>
      <c r="F11" s="1944" t="s">
        <v>47</v>
      </c>
      <c r="G11" s="1938" t="s">
        <v>476</v>
      </c>
      <c r="H11" s="1936"/>
      <c r="I11" s="1938" t="s">
        <v>477</v>
      </c>
      <c r="J11" s="1938" t="s">
        <v>50</v>
      </c>
      <c r="K11" s="1936"/>
      <c r="L11" s="1938" t="s">
        <v>478</v>
      </c>
      <c r="M11" s="1936"/>
      <c r="N11" s="1974" t="s">
        <v>51</v>
      </c>
      <c r="O11" s="388"/>
      <c r="P11" s="388"/>
      <c r="Q11" s="499"/>
      <c r="R11" s="499"/>
      <c r="S11" s="499"/>
      <c r="T11" s="499"/>
      <c r="U11" s="499"/>
      <c r="V11" s="499"/>
      <c r="W11" s="499"/>
      <c r="X11" s="499"/>
      <c r="Y11" s="499"/>
      <c r="Z11" s="499"/>
      <c r="AA11" s="3"/>
      <c r="AB11" s="3"/>
      <c r="AC11" s="3"/>
      <c r="AD11" s="3"/>
      <c r="AE11" s="3"/>
      <c r="AF11" s="3"/>
      <c r="AG11" s="3"/>
      <c r="AH11" s="3"/>
      <c r="AI11" s="3"/>
    </row>
    <row r="12" spans="1:35" ht="31.4" customHeight="1" x14ac:dyDescent="0.35">
      <c r="A12" s="525"/>
      <c r="B12" s="388"/>
      <c r="C12" s="1936"/>
      <c r="D12" s="460" t="s">
        <v>52</v>
      </c>
      <c r="E12" s="460" t="s">
        <v>53</v>
      </c>
      <c r="F12" s="1936"/>
      <c r="G12" s="460" t="s">
        <v>54</v>
      </c>
      <c r="H12" s="460" t="s">
        <v>55</v>
      </c>
      <c r="I12" s="1936"/>
      <c r="J12" s="460" t="s">
        <v>56</v>
      </c>
      <c r="K12" s="460" t="s">
        <v>514</v>
      </c>
      <c r="L12" s="460" t="s">
        <v>479</v>
      </c>
      <c r="M12" s="454" t="s">
        <v>513</v>
      </c>
      <c r="N12" s="1936"/>
      <c r="O12" s="388"/>
      <c r="P12" s="388"/>
      <c r="Q12" s="499"/>
      <c r="R12" s="499" t="s">
        <v>3</v>
      </c>
      <c r="S12" s="499" t="s">
        <v>58</v>
      </c>
      <c r="T12" s="499" t="s">
        <v>59</v>
      </c>
      <c r="U12" s="499"/>
      <c r="V12" s="499"/>
      <c r="W12" s="499"/>
      <c r="X12" s="499"/>
      <c r="Y12" s="499"/>
      <c r="Z12" s="499"/>
      <c r="AA12" s="3"/>
      <c r="AB12" s="3"/>
      <c r="AC12" s="3"/>
      <c r="AD12" s="3"/>
      <c r="AE12" s="3"/>
      <c r="AF12" s="3"/>
      <c r="AG12" s="9"/>
      <c r="AH12" s="3"/>
      <c r="AI12" s="3"/>
    </row>
    <row r="13" spans="1:35" ht="18" customHeight="1" x14ac:dyDescent="0.35">
      <c r="A13" s="525"/>
      <c r="B13" s="388"/>
      <c r="C13" s="464" t="s">
        <v>196</v>
      </c>
      <c r="D13" s="150"/>
      <c r="E13" s="150"/>
      <c r="F13" s="119">
        <f>'R-Entrada'!F54</f>
        <v>184.79623824451409</v>
      </c>
      <c r="G13" s="119">
        <f>'R-Entrada'!G54</f>
        <v>125.54858934169279</v>
      </c>
      <c r="H13" s="119">
        <f>'R-Entrada'!H54</f>
        <v>64.890282131661436</v>
      </c>
      <c r="I13" s="119">
        <f>'R-Entrada'!I54</f>
        <v>33.855799373040746</v>
      </c>
      <c r="J13" s="119">
        <f>'R-Entrada'!J54</f>
        <v>32.445141065830718</v>
      </c>
      <c r="K13" s="119">
        <f>'R-Entrada'!K54</f>
        <v>8.4639498432601865</v>
      </c>
      <c r="L13" s="150"/>
      <c r="M13" s="150"/>
      <c r="N13" s="96">
        <f>SUM(F13:M13)</f>
        <v>449.99999999999994</v>
      </c>
      <c r="O13" s="388"/>
      <c r="P13" s="388"/>
      <c r="Q13" s="499"/>
      <c r="R13" s="499" t="s">
        <v>5</v>
      </c>
      <c r="S13" s="499" t="s">
        <v>60</v>
      </c>
      <c r="T13" s="499" t="s">
        <v>61</v>
      </c>
      <c r="U13" s="499"/>
      <c r="V13" s="499"/>
      <c r="W13" s="499"/>
      <c r="X13" s="499"/>
      <c r="Y13" s="499"/>
      <c r="Z13" s="499"/>
      <c r="AA13" s="3"/>
      <c r="AB13" s="3"/>
      <c r="AC13" s="3"/>
      <c r="AD13" s="3"/>
      <c r="AE13" s="3"/>
      <c r="AF13" s="3"/>
      <c r="AG13" s="3"/>
      <c r="AH13" s="3"/>
      <c r="AI13" s="3"/>
    </row>
    <row r="14" spans="1:35" ht="18" customHeight="1" x14ac:dyDescent="0.35">
      <c r="A14" s="525"/>
      <c r="B14" s="388"/>
      <c r="C14" s="464" t="s">
        <v>57</v>
      </c>
      <c r="D14" s="119">
        <f>'R-Entrada'!D55</f>
        <v>141.24513618677042</v>
      </c>
      <c r="E14" s="119">
        <f>'R-Entrada'!E55</f>
        <v>8.7548638132295729</v>
      </c>
      <c r="F14" s="150"/>
      <c r="G14" s="150"/>
      <c r="H14" s="150"/>
      <c r="I14" s="150"/>
      <c r="J14" s="150"/>
      <c r="K14" s="150"/>
      <c r="L14" s="150"/>
      <c r="M14" s="150"/>
      <c r="N14" s="96">
        <f>SUM(D14:E14)</f>
        <v>150</v>
      </c>
      <c r="O14" s="388"/>
      <c r="P14" s="388"/>
      <c r="Q14" s="499"/>
      <c r="R14" s="499"/>
      <c r="S14" s="499" t="s">
        <v>62</v>
      </c>
      <c r="T14" s="499" t="s">
        <v>63</v>
      </c>
      <c r="U14" s="499"/>
      <c r="V14" s="499"/>
      <c r="W14" s="499"/>
      <c r="X14" s="499"/>
      <c r="Y14" s="499"/>
      <c r="Z14" s="499"/>
      <c r="AA14" s="3"/>
      <c r="AB14" s="3"/>
      <c r="AC14" s="3"/>
      <c r="AD14" s="14"/>
      <c r="AE14" s="3"/>
      <c r="AF14" s="3"/>
      <c r="AG14" s="3"/>
      <c r="AH14" s="3"/>
      <c r="AI14" s="3"/>
    </row>
    <row r="15" spans="1:35" ht="18" customHeight="1" x14ac:dyDescent="0.35">
      <c r="A15" s="527"/>
      <c r="B15" s="484"/>
      <c r="C15" s="464" t="s">
        <v>475</v>
      </c>
      <c r="D15" s="119">
        <f>'R-Entrada'!D56</f>
        <v>1310.7548638132296</v>
      </c>
      <c r="E15" s="119">
        <f>'R-Entrada'!E56</f>
        <v>81.245136186770424</v>
      </c>
      <c r="F15" s="119">
        <f>'R-Entrada'!F56</f>
        <v>208.20376175548591</v>
      </c>
      <c r="G15" s="119">
        <f>'R-Entrada'!G56</f>
        <v>141.45141065830722</v>
      </c>
      <c r="H15" s="119">
        <f>'R-Entrada'!H56</f>
        <v>73.109717868338535</v>
      </c>
      <c r="I15" s="119">
        <f>'R-Entrada'!I56</f>
        <v>38.144200626959254</v>
      </c>
      <c r="J15" s="119">
        <f>'R-Entrada'!J56</f>
        <v>36.554858934169268</v>
      </c>
      <c r="K15" s="119">
        <f>'R-Entrada'!K56</f>
        <v>9.5360501567398135</v>
      </c>
      <c r="L15" s="119">
        <f>'R-Entrada'!L56</f>
        <v>360</v>
      </c>
      <c r="M15" s="119">
        <f>'R-Entrada'!M56</f>
        <v>141</v>
      </c>
      <c r="N15" s="96">
        <f>SUM(D15:M15)</f>
        <v>2400</v>
      </c>
      <c r="O15" s="484"/>
      <c r="P15" s="484"/>
      <c r="Q15" s="499"/>
      <c r="R15" s="499"/>
      <c r="S15" s="499" t="s">
        <v>64</v>
      </c>
      <c r="T15" s="499"/>
      <c r="U15" s="499"/>
      <c r="V15" s="499"/>
      <c r="W15" s="499"/>
      <c r="X15" s="499"/>
      <c r="Y15" s="499"/>
      <c r="Z15" s="499"/>
      <c r="AA15" s="7"/>
      <c r="AB15" s="7"/>
      <c r="AC15" s="7"/>
      <c r="AD15" s="3"/>
      <c r="AE15" s="3"/>
      <c r="AF15" s="7"/>
      <c r="AG15" s="3"/>
      <c r="AH15" s="3"/>
      <c r="AI15" s="7"/>
    </row>
    <row r="16" spans="1:35" ht="18" customHeight="1" x14ac:dyDescent="0.35">
      <c r="A16" s="527"/>
      <c r="B16" s="484"/>
      <c r="C16" s="250" t="s">
        <v>51</v>
      </c>
      <c r="D16" s="151">
        <f t="shared" ref="D16:E16" si="0">SUM(D14:D15)</f>
        <v>1452</v>
      </c>
      <c r="E16" s="151">
        <f t="shared" si="0"/>
        <v>90</v>
      </c>
      <c r="F16" s="151">
        <f t="shared" ref="F16:L16" si="1">SUM(F13:F15)</f>
        <v>393</v>
      </c>
      <c r="G16" s="151">
        <f t="shared" si="1"/>
        <v>267</v>
      </c>
      <c r="H16" s="151">
        <f t="shared" si="1"/>
        <v>137.99999999999997</v>
      </c>
      <c r="I16" s="151">
        <f t="shared" si="1"/>
        <v>72</v>
      </c>
      <c r="J16" s="151">
        <f t="shared" si="1"/>
        <v>68.999999999999986</v>
      </c>
      <c r="K16" s="151">
        <f t="shared" si="1"/>
        <v>18</v>
      </c>
      <c r="L16" s="151">
        <f t="shared" si="1"/>
        <v>360</v>
      </c>
      <c r="M16" s="151">
        <f>M15</f>
        <v>141</v>
      </c>
      <c r="N16" s="96">
        <f>SUM(N13:N15)</f>
        <v>3000</v>
      </c>
      <c r="O16" s="484"/>
      <c r="P16" s="484"/>
      <c r="Q16" s="499"/>
      <c r="R16" s="499"/>
      <c r="S16" s="499"/>
      <c r="T16" s="499"/>
      <c r="U16" s="499"/>
      <c r="V16" s="499"/>
      <c r="W16" s="499"/>
      <c r="X16" s="499"/>
      <c r="Y16" s="499"/>
      <c r="Z16" s="499"/>
      <c r="AA16" s="7"/>
      <c r="AB16" s="7"/>
      <c r="AC16" s="7"/>
      <c r="AD16" s="3"/>
      <c r="AE16" s="3"/>
      <c r="AF16" s="7"/>
      <c r="AG16" s="3"/>
      <c r="AH16" s="3"/>
      <c r="AI16" s="7"/>
    </row>
    <row r="17" spans="1:35" ht="9" customHeight="1" x14ac:dyDescent="0.35">
      <c r="A17" s="527"/>
      <c r="B17" s="484"/>
      <c r="C17" s="484"/>
      <c r="D17" s="484"/>
      <c r="E17" s="540"/>
      <c r="F17" s="484"/>
      <c r="G17" s="484"/>
      <c r="H17" s="484"/>
      <c r="I17" s="484"/>
      <c r="J17" s="484"/>
      <c r="K17" s="484"/>
      <c r="L17" s="540"/>
      <c r="M17" s="484"/>
      <c r="N17" s="484"/>
      <c r="O17" s="484"/>
      <c r="P17" s="484"/>
      <c r="Q17" s="499"/>
      <c r="R17" s="499"/>
      <c r="S17" s="499"/>
      <c r="T17" s="499"/>
      <c r="U17" s="499"/>
      <c r="V17" s="499"/>
      <c r="W17" s="499"/>
      <c r="X17" s="499"/>
      <c r="Y17" s="499"/>
      <c r="Z17" s="499"/>
      <c r="AA17" s="7"/>
      <c r="AB17" s="7"/>
      <c r="AC17" s="7"/>
      <c r="AD17" s="7"/>
      <c r="AE17" s="3"/>
      <c r="AF17" s="3"/>
      <c r="AG17" s="7"/>
      <c r="AH17" s="3"/>
      <c r="AI17" s="3"/>
    </row>
    <row r="18" spans="1:35" ht="18" customHeight="1" x14ac:dyDescent="0.35">
      <c r="A18" s="527"/>
      <c r="B18" s="484"/>
      <c r="C18" s="484"/>
      <c r="D18" s="484"/>
      <c r="E18" s="484"/>
      <c r="F18" s="484"/>
      <c r="G18" s="484"/>
      <c r="H18" s="518" t="s">
        <v>65</v>
      </c>
      <c r="I18" s="154">
        <f>IF(N15=0,0,SUM(F15:K15)/N15*100)</f>
        <v>21.125</v>
      </c>
      <c r="J18" s="154">
        <f>IF(N15=0,0,SUM(D15:E15)/N15*100)</f>
        <v>57.999999999999993</v>
      </c>
      <c r="K18" s="541" t="s">
        <v>66</v>
      </c>
      <c r="L18" s="484"/>
      <c r="M18" s="484"/>
      <c r="N18" s="484"/>
      <c r="O18" s="484"/>
      <c r="P18" s="484"/>
      <c r="Q18" s="499"/>
      <c r="R18" s="499"/>
      <c r="S18" s="499"/>
      <c r="T18" s="499"/>
      <c r="U18" s="499"/>
      <c r="V18" s="499"/>
      <c r="W18" s="499"/>
      <c r="X18" s="499"/>
      <c r="Y18" s="499"/>
      <c r="Z18" s="499"/>
      <c r="AA18" s="7"/>
      <c r="AB18" s="7"/>
      <c r="AC18" s="7"/>
      <c r="AD18" s="7"/>
      <c r="AE18" s="3"/>
      <c r="AF18" s="3"/>
      <c r="AG18" s="7"/>
      <c r="AH18" s="3"/>
      <c r="AI18" s="3"/>
    </row>
    <row r="19" spans="1:35" ht="6.65" customHeight="1" x14ac:dyDescent="0.35">
      <c r="A19" s="527"/>
      <c r="B19" s="484"/>
      <c r="C19" s="484"/>
      <c r="D19" s="484"/>
      <c r="E19" s="484"/>
      <c r="F19" s="484"/>
      <c r="G19" s="484"/>
      <c r="H19" s="484"/>
      <c r="I19" s="484"/>
      <c r="J19" s="484"/>
      <c r="K19" s="484"/>
      <c r="L19" s="484"/>
      <c r="M19" s="484"/>
      <c r="N19" s="484"/>
      <c r="O19" s="484"/>
      <c r="P19" s="484"/>
      <c r="Q19" s="499"/>
      <c r="R19" s="499"/>
      <c r="S19" s="499"/>
      <c r="T19" s="499"/>
      <c r="U19" s="499"/>
      <c r="V19" s="499"/>
      <c r="W19" s="499"/>
      <c r="X19" s="499"/>
      <c r="Y19" s="499"/>
      <c r="Z19" s="499"/>
      <c r="AA19" s="7"/>
      <c r="AB19" s="7"/>
      <c r="AC19" s="7"/>
      <c r="AD19" s="7"/>
      <c r="AE19" s="3"/>
      <c r="AF19" s="3"/>
      <c r="AG19" s="7"/>
      <c r="AH19" s="3"/>
      <c r="AI19" s="3"/>
    </row>
    <row r="20" spans="1:35" ht="18" customHeight="1" x14ac:dyDescent="0.35">
      <c r="A20" s="527"/>
      <c r="B20" s="484"/>
      <c r="C20" s="484"/>
      <c r="D20" s="484"/>
      <c r="E20" s="484"/>
      <c r="F20" s="484"/>
      <c r="G20" s="484"/>
      <c r="H20" s="484"/>
      <c r="I20" s="484"/>
      <c r="J20" s="484"/>
      <c r="K20" s="484"/>
      <c r="L20" s="484"/>
      <c r="M20" s="484"/>
      <c r="N20" s="484"/>
      <c r="O20" s="484"/>
      <c r="P20" s="484"/>
      <c r="Q20" s="499"/>
      <c r="R20" s="499"/>
      <c r="S20" s="499"/>
      <c r="T20" s="499"/>
      <c r="U20" s="499"/>
      <c r="V20" s="499"/>
      <c r="W20" s="499"/>
      <c r="X20" s="499"/>
      <c r="Y20" s="499"/>
      <c r="Z20" s="499"/>
      <c r="AA20" s="7"/>
      <c r="AB20" s="7"/>
      <c r="AC20" s="7"/>
      <c r="AD20" s="7"/>
      <c r="AE20" s="3"/>
      <c r="AF20" s="3"/>
      <c r="AG20" s="7"/>
      <c r="AH20" s="3"/>
      <c r="AI20" s="3"/>
    </row>
    <row r="21" spans="1:35" ht="18.649999999999999" customHeight="1" x14ac:dyDescent="0.35">
      <c r="A21" s="528"/>
      <c r="B21" s="627"/>
      <c r="C21" s="108" t="s">
        <v>516</v>
      </c>
      <c r="D21" s="109"/>
      <c r="E21" s="109"/>
      <c r="F21" s="109"/>
      <c r="G21" s="107"/>
      <c r="H21" s="107"/>
      <c r="I21" s="107"/>
      <c r="J21" s="388"/>
      <c r="K21" s="484"/>
      <c r="L21" s="484"/>
      <c r="M21" s="484"/>
      <c r="N21" s="388"/>
      <c r="O21" s="388"/>
      <c r="P21" s="487"/>
      <c r="Q21" s="499"/>
      <c r="R21" s="499"/>
      <c r="S21" s="499"/>
      <c r="T21" s="499"/>
      <c r="U21" s="499"/>
      <c r="V21" s="499"/>
      <c r="W21" s="499"/>
      <c r="X21" s="499"/>
      <c r="Y21" s="499"/>
      <c r="Z21" s="499"/>
      <c r="AA21" s="3"/>
      <c r="AB21" s="3"/>
      <c r="AC21" s="3"/>
      <c r="AD21" s="3"/>
      <c r="AE21" s="3"/>
      <c r="AF21" s="3"/>
      <c r="AG21" s="7"/>
      <c r="AH21" s="3"/>
      <c r="AI21" s="3"/>
    </row>
    <row r="22" spans="1:35" ht="18.649999999999999" customHeight="1" x14ac:dyDescent="0.35">
      <c r="A22" s="527"/>
      <c r="B22" s="388"/>
      <c r="C22" s="502"/>
      <c r="D22" s="484"/>
      <c r="E22" s="388"/>
      <c r="F22" s="484"/>
      <c r="G22" s="388"/>
      <c r="H22" s="388"/>
      <c r="I22" s="388"/>
      <c r="J22" s="388"/>
      <c r="K22" s="578"/>
      <c r="L22" s="579"/>
      <c r="M22" s="580" t="s">
        <v>67</v>
      </c>
      <c r="N22" s="579"/>
      <c r="O22" s="583"/>
      <c r="P22" s="388"/>
      <c r="Q22" s="499"/>
      <c r="R22" s="499"/>
      <c r="S22" s="499"/>
      <c r="T22" s="499"/>
      <c r="U22" s="499"/>
      <c r="V22" s="499"/>
      <c r="W22" s="499"/>
      <c r="X22" s="499"/>
      <c r="Y22" s="499"/>
      <c r="Z22" s="499"/>
      <c r="AA22" s="4"/>
      <c r="AB22" s="4"/>
      <c r="AC22" s="4"/>
      <c r="AD22" s="4"/>
      <c r="AE22" s="4"/>
      <c r="AF22" s="3"/>
      <c r="AG22" s="7"/>
      <c r="AH22" s="3"/>
      <c r="AI22" s="3"/>
    </row>
    <row r="23" spans="1:35" ht="28.4" customHeight="1" x14ac:dyDescent="0.35">
      <c r="A23" s="527"/>
      <c r="B23" s="592"/>
      <c r="C23" s="586" t="s">
        <v>68</v>
      </c>
      <c r="D23" s="552"/>
      <c r="E23" s="550"/>
      <c r="F23" s="484"/>
      <c r="G23" s="593" t="s">
        <v>69</v>
      </c>
      <c r="H23" s="460"/>
      <c r="I23" s="460"/>
      <c r="J23" s="556"/>
      <c r="K23" s="460"/>
      <c r="L23" s="460" t="s">
        <v>51</v>
      </c>
      <c r="M23" s="454" t="s">
        <v>745</v>
      </c>
      <c r="N23" s="454" t="s">
        <v>744</v>
      </c>
      <c r="O23" s="454" t="s">
        <v>743</v>
      </c>
      <c r="P23" s="388"/>
      <c r="Q23" s="499"/>
      <c r="R23" s="499"/>
      <c r="S23" s="499"/>
      <c r="T23" s="499"/>
      <c r="U23" s="499"/>
      <c r="V23" s="499"/>
      <c r="W23" s="499"/>
      <c r="X23" s="499"/>
      <c r="Y23" s="499"/>
      <c r="Z23" s="499"/>
      <c r="AA23" s="3"/>
      <c r="AB23" s="7"/>
      <c r="AC23" s="7"/>
      <c r="AD23" s="7"/>
      <c r="AE23" s="3"/>
      <c r="AF23" s="3"/>
      <c r="AG23" s="7"/>
      <c r="AH23" s="3"/>
      <c r="AI23" s="3"/>
    </row>
    <row r="24" spans="1:35" ht="18" customHeight="1" x14ac:dyDescent="0.35">
      <c r="A24" s="527"/>
      <c r="B24" s="485"/>
      <c r="C24" s="589"/>
      <c r="D24" s="520" t="s">
        <v>70</v>
      </c>
      <c r="E24" s="96">
        <f>N13</f>
        <v>449.99999999999994</v>
      </c>
      <c r="F24" s="546"/>
      <c r="G24" s="596"/>
      <c r="H24" s="548" t="s">
        <v>86</v>
      </c>
      <c r="I24" s="909" t="s">
        <v>3</v>
      </c>
      <c r="J24" s="546"/>
      <c r="K24" s="581" t="s">
        <v>72</v>
      </c>
      <c r="L24" s="111">
        <f t="shared" ref="L24:L29" si="2">SUM(M24:O24)</f>
        <v>185.83109717868336</v>
      </c>
      <c r="M24" s="112">
        <f>IF($E$28="Sim",F$13*'R-Avançado'!$H$11/100*$E$29/$N$13,0)</f>
        <v>11.087774294670844</v>
      </c>
      <c r="N24" s="112">
        <f>IF($E$32="Sim",F$13*'R-Avançado'!$G$11/100*$E$33/$N$13,0)</f>
        <v>99.789968652037601</v>
      </c>
      <c r="O24" s="584">
        <f>IF(AND($I$25&gt;0,$I$24="Sim"),$I$27/$N$15*F$15*'R-Avançado'!$F$11/100,0)</f>
        <v>74.953354231974927</v>
      </c>
      <c r="P24" s="388"/>
      <c r="Q24" s="499"/>
      <c r="R24" s="499"/>
      <c r="S24" s="499"/>
      <c r="T24" s="499"/>
      <c r="U24" s="499"/>
      <c r="V24" s="499"/>
      <c r="W24" s="499"/>
      <c r="X24" s="499"/>
      <c r="Y24" s="499"/>
      <c r="Z24" s="499"/>
      <c r="AA24" s="7"/>
      <c r="AB24" s="7"/>
      <c r="AC24" s="7"/>
      <c r="AD24" s="7"/>
      <c r="AE24" s="7"/>
      <c r="AF24" s="7"/>
      <c r="AG24" s="7"/>
      <c r="AH24" s="3"/>
      <c r="AI24" s="3"/>
    </row>
    <row r="25" spans="1:35" ht="18" customHeight="1" x14ac:dyDescent="0.35">
      <c r="A25" s="527"/>
      <c r="B25" s="485"/>
      <c r="C25" s="589"/>
      <c r="D25" s="520" t="s">
        <v>73</v>
      </c>
      <c r="E25" s="687">
        <v>10</v>
      </c>
      <c r="F25" s="546"/>
      <c r="G25" s="596"/>
      <c r="H25" s="549" t="s">
        <v>70</v>
      </c>
      <c r="I25" s="903">
        <f>IF(I24="Sim",N15,0)</f>
        <v>2400</v>
      </c>
      <c r="J25" s="546"/>
      <c r="K25" s="581" t="s">
        <v>27</v>
      </c>
      <c r="L25" s="111">
        <f t="shared" si="2"/>
        <v>126.25166144200625</v>
      </c>
      <c r="M25" s="112">
        <f>IF($E$28="Sim",G$13*'R-Avançado'!$H$11/100*$E$29/$N$13,0)</f>
        <v>7.5329153605015673</v>
      </c>
      <c r="N25" s="112">
        <f>IF($E$32="Sim",G$13*'R-Avançado'!$G$11/100*$E$33/$N$13,0)</f>
        <v>67.7962382445141</v>
      </c>
      <c r="O25" s="584">
        <f>IF(AND($I$25&gt;0,$I$24="Sim"),$I$27/$N$15*G$15*'R-Avançado'!$F$11/100,0)</f>
        <v>50.922507836990597</v>
      </c>
      <c r="P25" s="388"/>
      <c r="Q25" s="499"/>
      <c r="R25" s="499"/>
      <c r="S25" s="499"/>
      <c r="T25" s="499"/>
      <c r="U25" s="499"/>
      <c r="V25" s="499"/>
      <c r="W25" s="499"/>
      <c r="X25" s="499"/>
      <c r="Y25" s="499"/>
      <c r="Z25" s="499"/>
      <c r="AA25" s="7"/>
      <c r="AB25" s="7"/>
      <c r="AC25" s="7"/>
      <c r="AD25" s="7"/>
      <c r="AE25" s="7"/>
      <c r="AF25" s="7"/>
      <c r="AG25" s="7"/>
      <c r="AH25" s="3"/>
      <c r="AI25" s="3"/>
    </row>
    <row r="26" spans="1:35" ht="18" customHeight="1" x14ac:dyDescent="0.35">
      <c r="A26" s="525"/>
      <c r="B26" s="485"/>
      <c r="C26" s="589"/>
      <c r="D26" s="520" t="s">
        <v>74</v>
      </c>
      <c r="E26" s="515">
        <f>IF(N13&lt;&gt;0,100-E25,0)</f>
        <v>90</v>
      </c>
      <c r="F26" s="485"/>
      <c r="G26" s="596"/>
      <c r="H26" s="549" t="s">
        <v>75</v>
      </c>
      <c r="I26" s="904">
        <v>60</v>
      </c>
      <c r="J26" s="1981" t="str">
        <f>IF(AND(I24="Sim",I27&lt;&gt;0,I27&lt;50),"Mín. é 50 t/d. Rever Célula I26","")</f>
        <v/>
      </c>
      <c r="K26" s="581" t="s">
        <v>76</v>
      </c>
      <c r="L26" s="111">
        <f t="shared" si="2"/>
        <v>65.253667711598737</v>
      </c>
      <c r="M26" s="112">
        <f>IF($E$28="Sim",H$13*'R-Avançado'!$H$11/100*$E$29/$N$13,0)</f>
        <v>3.8934169278996862</v>
      </c>
      <c r="N26" s="112">
        <f>IF($E$32="Sim",H$13*'R-Avançado'!$G$11/100*$E$33/$N$13,0)</f>
        <v>35.040752351097176</v>
      </c>
      <c r="O26" s="584">
        <f>IF(AND($I$25&gt;0,$I$24="Sim"),$I$27/$N$15*H$15*'R-Avançado'!$F$11/100,0)</f>
        <v>26.319498432601872</v>
      </c>
      <c r="P26" s="388"/>
      <c r="Q26" s="499"/>
      <c r="R26" s="499"/>
      <c r="S26" s="499"/>
      <c r="T26" s="499"/>
      <c r="U26" s="499"/>
      <c r="V26" s="499"/>
      <c r="W26" s="499"/>
      <c r="X26" s="499"/>
      <c r="Y26" s="499"/>
      <c r="Z26" s="499"/>
      <c r="AA26" s="3"/>
      <c r="AB26" s="3"/>
      <c r="AC26" s="3"/>
      <c r="AD26" s="3"/>
      <c r="AE26" s="7"/>
      <c r="AF26" s="7"/>
      <c r="AG26" s="3"/>
      <c r="AH26" s="3"/>
      <c r="AI26" s="3"/>
    </row>
    <row r="27" spans="1:35" ht="18" customHeight="1" x14ac:dyDescent="0.35">
      <c r="A27" s="525"/>
      <c r="B27" s="485"/>
      <c r="C27" s="553"/>
      <c r="D27" s="554"/>
      <c r="E27" s="595"/>
      <c r="F27" s="485"/>
      <c r="G27" s="596"/>
      <c r="H27" s="549" t="s">
        <v>77</v>
      </c>
      <c r="I27" s="903">
        <f>I25*I26/100</f>
        <v>1440</v>
      </c>
      <c r="J27" s="1982"/>
      <c r="K27" s="581" t="s">
        <v>29</v>
      </c>
      <c r="L27" s="111">
        <f t="shared" si="2"/>
        <v>34.045391849529778</v>
      </c>
      <c r="M27" s="112">
        <f>IF($E$28="Sim",I$13*'R-Avançado'!$H$11/100*$E$29/$N$13,0)</f>
        <v>2.0313479623824451</v>
      </c>
      <c r="N27" s="112">
        <f>IF($E$32="Sim",I$13*'R-Avançado'!$G$11/100*$E$33/$N$13,0)</f>
        <v>18.282131661442005</v>
      </c>
      <c r="O27" s="584">
        <f>IF(AND($I$25&gt;0,$I$24="Sim"),$I$27/$N$15*I$15*'R-Avançado'!$F$11/100,0)</f>
        <v>13.731912225705329</v>
      </c>
      <c r="P27" s="388"/>
      <c r="Q27" s="499"/>
      <c r="R27" s="499"/>
      <c r="S27" s="499"/>
      <c r="T27" s="499"/>
      <c r="U27" s="499"/>
      <c r="V27" s="499"/>
      <c r="W27" s="499"/>
      <c r="X27" s="499"/>
      <c r="Y27" s="499"/>
      <c r="Z27" s="499"/>
      <c r="AA27" s="3"/>
      <c r="AB27" s="3"/>
      <c r="AC27" s="3"/>
      <c r="AD27" s="3"/>
      <c r="AE27" s="7"/>
      <c r="AF27" s="7"/>
      <c r="AG27" s="3"/>
      <c r="AH27" s="3"/>
      <c r="AI27" s="3"/>
    </row>
    <row r="28" spans="1:35" ht="18" customHeight="1" x14ac:dyDescent="0.35">
      <c r="A28" s="525"/>
      <c r="B28" s="484"/>
      <c r="C28" s="587"/>
      <c r="D28" s="548" t="s">
        <v>90</v>
      </c>
      <c r="E28" s="591" t="str">
        <f>IF(AND(E24&gt;0,E25&gt;0),"Sim","Não")</f>
        <v>Sim</v>
      </c>
      <c r="F28" s="1981" t="str">
        <f>IF(E29&gt;50,"Máx. é 50 t/d. Rever Célula E25","")</f>
        <v/>
      </c>
      <c r="G28" s="596"/>
      <c r="H28" s="549" t="s">
        <v>79</v>
      </c>
      <c r="I28" s="905" t="s">
        <v>62</v>
      </c>
      <c r="J28" s="485"/>
      <c r="K28" s="581" t="s">
        <v>30</v>
      </c>
      <c r="L28" s="111">
        <f t="shared" si="2"/>
        <v>32.626833855799369</v>
      </c>
      <c r="M28" s="112">
        <f>IF($E$28="Sim",J$13*'R-Avançado'!$H$11/100*$E$29/$N$13,0)</f>
        <v>1.9467084639498431</v>
      </c>
      <c r="N28" s="112">
        <f>IF($E$32="Sim",J$13*'R-Avançado'!$G$11/100*$E$33/$N$13,0)</f>
        <v>17.520376175548588</v>
      </c>
      <c r="O28" s="584">
        <f>IF(AND($I$25&gt;0,$I$24="Sim"),$I$27/$N$15*J$15*'R-Avançado'!$F$11/100,0)</f>
        <v>13.159749216300936</v>
      </c>
      <c r="P28" s="388"/>
      <c r="Q28" s="499"/>
      <c r="R28" s="499"/>
      <c r="S28" s="499"/>
      <c r="T28" s="499"/>
      <c r="U28" s="499"/>
      <c r="V28" s="499"/>
      <c r="W28" s="499"/>
      <c r="X28" s="499"/>
      <c r="Y28" s="499"/>
      <c r="Z28" s="499"/>
      <c r="AA28" s="3"/>
      <c r="AB28" s="7"/>
      <c r="AC28" s="7"/>
      <c r="AD28" s="7"/>
      <c r="AE28" s="7"/>
      <c r="AF28" s="7"/>
      <c r="AG28" s="3"/>
      <c r="AH28" s="3"/>
      <c r="AI28" s="3"/>
    </row>
    <row r="29" spans="1:35" ht="18" customHeight="1" x14ac:dyDescent="0.35">
      <c r="A29" s="525"/>
      <c r="B29" s="484"/>
      <c r="C29" s="588"/>
      <c r="D29" s="555" t="s">
        <v>80</v>
      </c>
      <c r="E29" s="96">
        <f>E24*E25/100</f>
        <v>44.999999999999993</v>
      </c>
      <c r="F29" s="1982"/>
      <c r="G29" s="596"/>
      <c r="H29" s="549" t="s">
        <v>81</v>
      </c>
      <c r="I29" s="905" t="s">
        <v>59</v>
      </c>
      <c r="J29" s="485"/>
      <c r="K29" s="581" t="s">
        <v>82</v>
      </c>
      <c r="L29" s="111">
        <f t="shared" si="2"/>
        <v>8.5113479623824446</v>
      </c>
      <c r="M29" s="112">
        <f>IF($E$28="Sim",K$13*'R-Avançado'!$H$11/100*$E$29/$N$13,0)</f>
        <v>0.50783699059561127</v>
      </c>
      <c r="N29" s="112">
        <f>IF($E$32="Sim",K$13*'R-Avançado'!$G$11/100*$E$33/$N$13,0)</f>
        <v>4.5705329153605012</v>
      </c>
      <c r="O29" s="584">
        <f>IF(AND($I$25&gt;0,$I$24="Sim"),$I$27/$N$15*K$15*'R-Avançado'!$F$11/100,0)</f>
        <v>3.4329780564263324</v>
      </c>
      <c r="P29" s="388"/>
      <c r="Q29" s="499"/>
      <c r="R29" s="499"/>
      <c r="S29" s="499"/>
      <c r="T29" s="499"/>
      <c r="U29" s="499"/>
      <c r="V29" s="499"/>
      <c r="W29" s="499"/>
      <c r="X29" s="499"/>
      <c r="Y29" s="499"/>
      <c r="Z29" s="499"/>
      <c r="AA29" s="3"/>
      <c r="AB29" s="7"/>
      <c r="AC29" s="7"/>
      <c r="AD29" s="7"/>
      <c r="AE29" s="7"/>
      <c r="AF29" s="7"/>
      <c r="AG29" s="3"/>
      <c r="AH29" s="3"/>
      <c r="AI29" s="3"/>
    </row>
    <row r="30" spans="1:35" ht="18" customHeight="1" x14ac:dyDescent="0.35">
      <c r="A30" s="525"/>
      <c r="B30" s="484"/>
      <c r="C30" s="589"/>
      <c r="D30" s="555" t="s">
        <v>79</v>
      </c>
      <c r="E30" s="916" t="s">
        <v>60</v>
      </c>
      <c r="F30" s="1982"/>
      <c r="G30" s="388"/>
      <c r="H30" s="388"/>
      <c r="I30" s="388"/>
      <c r="J30" s="557"/>
      <c r="K30" s="582" t="s">
        <v>517</v>
      </c>
      <c r="L30" s="113">
        <f t="shared" ref="L30:O30" si="3">SUM(L24:L29)</f>
        <v>452.51999999999992</v>
      </c>
      <c r="M30" s="196">
        <f t="shared" si="3"/>
        <v>26.999999999999996</v>
      </c>
      <c r="N30" s="196">
        <f t="shared" si="3"/>
        <v>242.99999999999997</v>
      </c>
      <c r="O30" s="585">
        <f t="shared" si="3"/>
        <v>182.51999999999998</v>
      </c>
      <c r="P30" s="388"/>
      <c r="Q30" s="499"/>
      <c r="R30" s="499"/>
      <c r="S30" s="499"/>
      <c r="T30" s="499"/>
      <c r="U30" s="499"/>
      <c r="V30" s="499"/>
      <c r="W30" s="499"/>
      <c r="X30" s="499"/>
      <c r="Y30" s="499"/>
      <c r="Z30" s="499"/>
      <c r="AA30" s="3"/>
      <c r="AB30" s="3"/>
      <c r="AC30" s="3"/>
      <c r="AD30" s="3"/>
      <c r="AE30" s="3"/>
      <c r="AF30" s="3"/>
      <c r="AG30" s="3"/>
      <c r="AH30" s="3"/>
      <c r="AI30" s="3"/>
    </row>
    <row r="31" spans="1:35" ht="17.899999999999999" customHeight="1" x14ac:dyDescent="0.35">
      <c r="A31" s="525"/>
      <c r="B31" s="83"/>
      <c r="C31" s="519"/>
      <c r="D31" s="520"/>
      <c r="E31" s="521"/>
      <c r="F31" s="547"/>
      <c r="G31" s="1962" t="s">
        <v>83</v>
      </c>
      <c r="H31" s="1963"/>
      <c r="I31" s="1964"/>
      <c r="J31" s="388"/>
      <c r="K31" s="388"/>
      <c r="L31" s="388"/>
      <c r="M31" s="388"/>
      <c r="N31" s="388"/>
      <c r="O31" s="388"/>
      <c r="P31" s="388"/>
      <c r="Q31" s="499"/>
      <c r="R31" s="499" t="s">
        <v>84</v>
      </c>
      <c r="S31" s="499"/>
      <c r="T31" s="499"/>
      <c r="U31" s="499"/>
      <c r="V31" s="499"/>
      <c r="W31" s="499"/>
      <c r="X31" s="499"/>
      <c r="Y31" s="499"/>
      <c r="Z31" s="499"/>
      <c r="AA31" s="3"/>
      <c r="AB31" s="3"/>
      <c r="AC31" s="3"/>
      <c r="AD31" s="3"/>
      <c r="AE31" s="3"/>
      <c r="AF31" s="3"/>
      <c r="AG31" s="3"/>
      <c r="AH31" s="3"/>
      <c r="AI31" s="3"/>
    </row>
    <row r="32" spans="1:35" ht="18" customHeight="1" x14ac:dyDescent="0.35">
      <c r="A32" s="525"/>
      <c r="B32" s="388"/>
      <c r="C32" s="587"/>
      <c r="D32" s="548" t="s">
        <v>91</v>
      </c>
      <c r="E32" s="591" t="str">
        <f>IF(AND(E24&gt;0,E26&gt;0),"Sim","Não")</f>
        <v>Sim</v>
      </c>
      <c r="F32" s="1981" t="str">
        <f>IF(AND(E24&gt;0,E33&lt;50,E33&gt;0),"Mín. é 50 t/d. Rever Célula E25","")</f>
        <v/>
      </c>
      <c r="G32" s="587"/>
      <c r="H32" s="549" t="s">
        <v>90</v>
      </c>
      <c r="I32" s="687" t="s">
        <v>87</v>
      </c>
      <c r="J32" s="388"/>
      <c r="K32" s="230" t="s">
        <v>792</v>
      </c>
      <c r="L32" s="96">
        <f>O32+O33</f>
        <v>709.92</v>
      </c>
      <c r="M32" s="600"/>
      <c r="N32" s="933" t="s">
        <v>52</v>
      </c>
      <c r="O32" s="931">
        <f>IF(AND($I$25&gt;0,$I$24="Sim"),I27/N15*D15*'R-Avançado'!E11/100,0)</f>
        <v>668.48498054474703</v>
      </c>
      <c r="P32" s="388"/>
      <c r="Q32" s="499"/>
      <c r="R32" s="499" t="s">
        <v>88</v>
      </c>
      <c r="S32" s="499"/>
      <c r="T32" s="499"/>
      <c r="U32" s="499"/>
      <c r="V32" s="499"/>
      <c r="W32" s="499"/>
      <c r="X32" s="499"/>
      <c r="Y32" s="499"/>
      <c r="Z32" s="499"/>
      <c r="AA32" s="3"/>
      <c r="AB32" s="3"/>
      <c r="AC32" s="3"/>
      <c r="AD32" s="3"/>
      <c r="AE32" s="3"/>
      <c r="AF32" s="3"/>
      <c r="AG32" s="3"/>
      <c r="AH32" s="3"/>
      <c r="AI32" s="3"/>
    </row>
    <row r="33" spans="1:35" ht="18" customHeight="1" x14ac:dyDescent="0.35">
      <c r="A33" s="525"/>
      <c r="B33" s="388"/>
      <c r="C33" s="588"/>
      <c r="D33" s="520" t="s">
        <v>89</v>
      </c>
      <c r="E33" s="96">
        <f>E24*E26/100</f>
        <v>404.99999999999994</v>
      </c>
      <c r="F33" s="1982"/>
      <c r="G33" s="587"/>
      <c r="H33" s="549" t="s">
        <v>91</v>
      </c>
      <c r="I33" s="687" t="s">
        <v>87</v>
      </c>
      <c r="J33" s="388"/>
      <c r="K33" s="230" t="s">
        <v>793</v>
      </c>
      <c r="L33" s="96">
        <f>'R-Entrada'!E45</f>
        <v>150</v>
      </c>
      <c r="M33" s="601"/>
      <c r="N33" s="933" t="s">
        <v>53</v>
      </c>
      <c r="O33" s="931">
        <f>IF(AND($I$25&gt;0,$I$24="Sim"),I27/N15*E15*'R-Avançado'!E11/100,0)</f>
        <v>41.435019455252913</v>
      </c>
      <c r="P33" s="388"/>
      <c r="Q33" s="499"/>
      <c r="R33" s="499"/>
      <c r="S33" s="499"/>
      <c r="T33" s="499"/>
      <c r="U33" s="499"/>
      <c r="V33" s="499"/>
      <c r="W33" s="499"/>
      <c r="X33" s="499"/>
      <c r="Y33" s="499"/>
      <c r="Z33" s="499"/>
      <c r="AA33" s="3"/>
      <c r="AB33" s="3"/>
      <c r="AC33" s="3"/>
      <c r="AD33" s="3"/>
      <c r="AE33" s="3"/>
      <c r="AF33" s="3"/>
      <c r="AG33" s="3"/>
      <c r="AH33" s="3"/>
      <c r="AI33" s="3"/>
    </row>
    <row r="34" spans="1:35" ht="18" customHeight="1" x14ac:dyDescent="0.35">
      <c r="A34" s="525"/>
      <c r="B34" s="388"/>
      <c r="C34" s="589"/>
      <c r="D34" s="555" t="s">
        <v>79</v>
      </c>
      <c r="E34" s="916" t="s">
        <v>60</v>
      </c>
      <c r="F34" s="1982"/>
      <c r="G34" s="597"/>
      <c r="H34" s="549" t="s">
        <v>985</v>
      </c>
      <c r="I34" s="904" t="s">
        <v>87</v>
      </c>
      <c r="J34" s="388"/>
      <c r="K34" s="598" t="s">
        <v>830</v>
      </c>
      <c r="L34" s="96">
        <f>SUM(M34:O34)</f>
        <v>604.74357366771176</v>
      </c>
      <c r="M34" s="96">
        <f>IF(E28="Sim",E29*(1-'R-Avançado'!H11/100)*0.9,0)</f>
        <v>16.199999999999996</v>
      </c>
      <c r="N34" s="932">
        <f>IF(E32="Sim",E33*(1-'R-Avançado'!G11/100)*0.9,0)</f>
        <v>145.80000000000001</v>
      </c>
      <c r="O34" s="96">
        <f>D43+E43+F43+G43+H43+L43</f>
        <v>442.74357366771176</v>
      </c>
      <c r="P34" s="388"/>
      <c r="Q34" s="499"/>
      <c r="R34" s="499"/>
      <c r="S34" s="499"/>
      <c r="T34" s="499"/>
      <c r="U34" s="499"/>
      <c r="V34" s="499"/>
      <c r="W34" s="499"/>
      <c r="X34" s="499"/>
      <c r="Y34" s="499"/>
      <c r="Z34" s="499"/>
      <c r="AA34" s="3"/>
      <c r="AB34" s="3"/>
      <c r="AC34" s="3"/>
      <c r="AD34" s="3"/>
      <c r="AE34" s="3"/>
      <c r="AF34" s="3"/>
      <c r="AG34" s="3"/>
      <c r="AH34" s="3"/>
      <c r="AI34" s="3"/>
    </row>
    <row r="35" spans="1:35" ht="18" customHeight="1" x14ac:dyDescent="0.35">
      <c r="A35" s="525"/>
      <c r="B35" s="388"/>
      <c r="C35" s="503"/>
      <c r="D35" s="388"/>
      <c r="E35" s="388"/>
      <c r="F35" s="388"/>
      <c r="G35" s="597"/>
      <c r="H35" s="549" t="s">
        <v>986</v>
      </c>
      <c r="I35" s="904" t="s">
        <v>87</v>
      </c>
      <c r="J35" s="388"/>
      <c r="K35" s="598" t="s">
        <v>841</v>
      </c>
      <c r="L35" s="96">
        <f>SUM(M35:O35)</f>
        <v>122.8164263322884</v>
      </c>
      <c r="M35" s="96">
        <f>IF(E28="Sim",E29*(1-'R-Avançado'!H11/100)*0.1,0)</f>
        <v>1.7999999999999998</v>
      </c>
      <c r="N35" s="96">
        <f>IF(E32="Sim",E33*(1-'R-Avançado'!G11/100)*0.1,0)</f>
        <v>16.2</v>
      </c>
      <c r="O35" s="96">
        <f>M43+K43+J43+I43</f>
        <v>104.8164263322884</v>
      </c>
      <c r="P35" s="388"/>
      <c r="Q35" s="499"/>
      <c r="R35" s="499"/>
      <c r="S35" s="499"/>
      <c r="T35" s="499"/>
      <c r="U35" s="499"/>
      <c r="V35" s="499"/>
      <c r="W35" s="499"/>
      <c r="X35" s="499"/>
      <c r="Y35" s="499"/>
      <c r="Z35" s="499"/>
      <c r="AA35" s="3"/>
      <c r="AB35" s="3"/>
      <c r="AC35" s="3"/>
      <c r="AD35" s="3"/>
      <c r="AE35" s="3"/>
      <c r="AF35" s="3"/>
      <c r="AG35" s="3"/>
      <c r="AH35" s="3"/>
      <c r="AI35" s="3"/>
    </row>
    <row r="36" spans="1:35" ht="19.399999999999999" customHeight="1" x14ac:dyDescent="0.35">
      <c r="A36" s="525"/>
      <c r="B36" s="388"/>
      <c r="C36" s="388"/>
      <c r="D36" s="388"/>
      <c r="E36" s="388"/>
      <c r="F36" s="388"/>
      <c r="G36" s="388"/>
      <c r="H36" s="388"/>
      <c r="I36" s="388"/>
      <c r="J36" s="388"/>
      <c r="K36" s="499"/>
      <c r="L36" s="503"/>
      <c r="M36" s="503"/>
      <c r="N36" s="503"/>
      <c r="O36" s="503"/>
      <c r="P36" s="388"/>
      <c r="Q36" s="499"/>
      <c r="R36" s="499"/>
      <c r="S36" s="499"/>
      <c r="T36" s="499"/>
      <c r="U36" s="499"/>
      <c r="V36" s="499"/>
      <c r="W36" s="499"/>
      <c r="X36" s="499"/>
      <c r="Y36" s="499"/>
      <c r="Z36" s="499"/>
      <c r="AA36" s="3"/>
      <c r="AB36" s="3"/>
      <c r="AC36" s="3"/>
      <c r="AD36" s="3"/>
      <c r="AE36" s="3"/>
      <c r="AF36" s="3"/>
      <c r="AG36" s="3"/>
      <c r="AH36" s="3"/>
      <c r="AI36" s="3"/>
    </row>
    <row r="37" spans="1:35" ht="4.4000000000000004" customHeight="1" x14ac:dyDescent="0.35">
      <c r="A37" s="525"/>
      <c r="B37" s="388"/>
      <c r="C37" s="503"/>
      <c r="D37" s="503"/>
      <c r="E37" s="388"/>
      <c r="F37" s="388"/>
      <c r="G37" s="388"/>
      <c r="H37" s="388"/>
      <c r="I37" s="388"/>
      <c r="J37" s="388"/>
      <c r="K37" s="499"/>
      <c r="L37" s="388"/>
      <c r="M37" s="388"/>
      <c r="N37" s="499"/>
      <c r="O37" s="388"/>
      <c r="P37" s="388"/>
      <c r="Q37" s="499"/>
      <c r="R37" s="499"/>
      <c r="S37" s="499"/>
      <c r="T37" s="499"/>
      <c r="U37" s="499"/>
      <c r="V37" s="499"/>
      <c r="W37" s="499"/>
      <c r="X37" s="499"/>
      <c r="Y37" s="499"/>
      <c r="Z37" s="499"/>
      <c r="AA37" s="3"/>
      <c r="AB37" s="3"/>
      <c r="AC37" s="3"/>
      <c r="AD37" s="3"/>
      <c r="AE37" s="3"/>
      <c r="AF37" s="3"/>
      <c r="AG37" s="3"/>
      <c r="AH37" s="3"/>
      <c r="AI37" s="3"/>
    </row>
    <row r="38" spans="1:35" ht="22.5" customHeight="1" x14ac:dyDescent="0.35">
      <c r="A38" s="525"/>
      <c r="B38" s="388"/>
      <c r="C38" s="485"/>
      <c r="D38" s="1942" t="s">
        <v>518</v>
      </c>
      <c r="E38" s="1943"/>
      <c r="F38" s="1943"/>
      <c r="G38" s="1943"/>
      <c r="H38" s="1943"/>
      <c r="I38" s="1943"/>
      <c r="J38" s="1943"/>
      <c r="K38" s="1943"/>
      <c r="L38" s="1943"/>
      <c r="M38" s="1943"/>
      <c r="N38" s="1943"/>
      <c r="O38" s="388"/>
      <c r="P38" s="388"/>
      <c r="Q38" s="499"/>
      <c r="R38" s="499"/>
      <c r="S38" s="499" t="s">
        <v>92</v>
      </c>
      <c r="T38" s="499"/>
      <c r="U38" s="499"/>
      <c r="V38" s="499"/>
      <c r="W38" s="499"/>
      <c r="X38" s="499"/>
      <c r="Y38" s="499"/>
      <c r="Z38" s="499"/>
      <c r="AA38" s="3"/>
      <c r="AB38" s="3"/>
      <c r="AC38" s="3"/>
      <c r="AD38" s="3"/>
      <c r="AE38" s="3"/>
      <c r="AF38" s="3"/>
      <c r="AG38" s="3"/>
      <c r="AH38" s="3"/>
      <c r="AI38" s="3"/>
    </row>
    <row r="39" spans="1:35" ht="17.899999999999999" customHeight="1" x14ac:dyDescent="0.35">
      <c r="A39" s="525"/>
      <c r="B39" s="388"/>
      <c r="C39" s="393"/>
      <c r="D39" s="1942" t="s">
        <v>23</v>
      </c>
      <c r="E39" s="1980"/>
      <c r="F39" s="1957" t="s">
        <v>47</v>
      </c>
      <c r="G39" s="1942" t="s">
        <v>476</v>
      </c>
      <c r="H39" s="1980"/>
      <c r="I39" s="1942" t="s">
        <v>49</v>
      </c>
      <c r="J39" s="1942" t="s">
        <v>50</v>
      </c>
      <c r="K39" s="1980"/>
      <c r="L39" s="1942" t="s">
        <v>478</v>
      </c>
      <c r="M39" s="1980"/>
      <c r="N39" s="1951" t="s">
        <v>51</v>
      </c>
      <c r="O39" s="388"/>
      <c r="P39" s="388"/>
      <c r="Q39" s="499"/>
      <c r="R39" s="499"/>
      <c r="S39" s="499" t="s">
        <v>60</v>
      </c>
      <c r="T39" s="499">
        <f>IF($E$30="CDR",M34,0)</f>
        <v>16.199999999999996</v>
      </c>
      <c r="U39" s="499"/>
      <c r="V39" s="499"/>
      <c r="W39" s="499"/>
      <c r="X39" s="499"/>
      <c r="Y39" s="499"/>
      <c r="Z39" s="499"/>
      <c r="AA39" s="3"/>
      <c r="AB39" s="3"/>
      <c r="AC39" s="3"/>
      <c r="AD39" s="3"/>
      <c r="AE39" s="3"/>
      <c r="AF39" s="3"/>
      <c r="AG39" s="3"/>
      <c r="AH39" s="3"/>
      <c r="AI39" s="3"/>
    </row>
    <row r="40" spans="1:35" ht="32.9" customHeight="1" x14ac:dyDescent="0.35">
      <c r="A40" s="525"/>
      <c r="B40" s="388"/>
      <c r="C40" s="393"/>
      <c r="D40" s="456" t="s">
        <v>52</v>
      </c>
      <c r="E40" s="456" t="s">
        <v>53</v>
      </c>
      <c r="F40" s="1983"/>
      <c r="G40" s="456" t="s">
        <v>54</v>
      </c>
      <c r="H40" s="456" t="s">
        <v>55</v>
      </c>
      <c r="I40" s="1980"/>
      <c r="J40" s="456" t="s">
        <v>56</v>
      </c>
      <c r="K40" s="456" t="s">
        <v>514</v>
      </c>
      <c r="L40" s="456" t="s">
        <v>479</v>
      </c>
      <c r="M40" s="457" t="s">
        <v>513</v>
      </c>
      <c r="N40" s="1980"/>
      <c r="O40" s="388"/>
      <c r="P40" s="388"/>
      <c r="Q40" s="499"/>
      <c r="R40" s="499" t="s">
        <v>93</v>
      </c>
      <c r="S40" s="499" t="s">
        <v>62</v>
      </c>
      <c r="T40" s="499">
        <f>IF($E$30="Incineração",M34+M35,0)</f>
        <v>0</v>
      </c>
      <c r="U40" s="499"/>
      <c r="V40" s="499"/>
      <c r="W40" s="499"/>
      <c r="X40" s="499"/>
      <c r="Y40" s="499"/>
      <c r="Z40" s="499"/>
      <c r="AA40" s="3"/>
      <c r="AB40" s="3"/>
      <c r="AC40" s="3"/>
      <c r="AD40" s="3"/>
      <c r="AE40" s="3"/>
      <c r="AF40" s="3"/>
      <c r="AG40" s="3"/>
      <c r="AH40" s="3"/>
      <c r="AI40" s="3"/>
    </row>
    <row r="41" spans="1:35" ht="18" hidden="1" customHeight="1" x14ac:dyDescent="0.35">
      <c r="A41" s="525"/>
      <c r="B41" s="388"/>
      <c r="C41" s="603" t="s">
        <v>828</v>
      </c>
      <c r="D41" s="118">
        <f t="shared" ref="D41:M41" si="4">IF(AND($I$25&gt;0,$I$24="Sim"),D15*$I$27/$N$15,0)</f>
        <v>786.45291828793779</v>
      </c>
      <c r="E41" s="118">
        <f t="shared" si="4"/>
        <v>48.747081712062254</v>
      </c>
      <c r="F41" s="118">
        <f t="shared" si="4"/>
        <v>124.92225705329155</v>
      </c>
      <c r="G41" s="118">
        <f t="shared" si="4"/>
        <v>84.870846394984341</v>
      </c>
      <c r="H41" s="118">
        <f t="shared" si="4"/>
        <v>43.865830721003121</v>
      </c>
      <c r="I41" s="118">
        <f t="shared" si="4"/>
        <v>22.886520376175554</v>
      </c>
      <c r="J41" s="118">
        <f t="shared" si="4"/>
        <v>21.932915360501561</v>
      </c>
      <c r="K41" s="118">
        <f t="shared" si="4"/>
        <v>5.7216300940438884</v>
      </c>
      <c r="L41" s="118">
        <f t="shared" si="4"/>
        <v>216</v>
      </c>
      <c r="M41" s="118">
        <f t="shared" si="4"/>
        <v>84.6</v>
      </c>
      <c r="N41" s="96">
        <f t="shared" ref="N41:N44" si="5">SUM(D41:M41)</f>
        <v>1439.9999999999995</v>
      </c>
      <c r="O41" s="388"/>
      <c r="P41" s="449"/>
      <c r="Q41" s="499"/>
      <c r="R41" s="499"/>
      <c r="S41" s="499" t="s">
        <v>60</v>
      </c>
      <c r="T41" s="499">
        <f>IF($E$34="CDR",N34,0)</f>
        <v>145.80000000000001</v>
      </c>
      <c r="U41" s="499"/>
      <c r="V41" s="499"/>
      <c r="W41" s="499"/>
      <c r="X41" s="499"/>
      <c r="Y41" s="499"/>
      <c r="Z41" s="499"/>
      <c r="AA41" s="3"/>
      <c r="AB41" s="3"/>
      <c r="AC41" s="3"/>
      <c r="AD41" s="3"/>
      <c r="AE41" s="3"/>
      <c r="AF41" s="3"/>
      <c r="AG41" s="3"/>
      <c r="AH41" s="3"/>
      <c r="AI41" s="3"/>
    </row>
    <row r="42" spans="1:35" ht="18" hidden="1" customHeight="1" x14ac:dyDescent="0.35">
      <c r="A42" s="525"/>
      <c r="B42" s="388"/>
      <c r="C42" s="604" t="s">
        <v>94</v>
      </c>
      <c r="D42" s="118">
        <f>O32</f>
        <v>668.48498054474703</v>
      </c>
      <c r="E42" s="118">
        <f>O33</f>
        <v>41.435019455252913</v>
      </c>
      <c r="F42" s="118">
        <f>O24</f>
        <v>74.953354231974927</v>
      </c>
      <c r="G42" s="118">
        <f>O25</f>
        <v>50.922507836990597</v>
      </c>
      <c r="H42" s="118">
        <f>O26</f>
        <v>26.319498432601872</v>
      </c>
      <c r="I42" s="118">
        <f>O27</f>
        <v>13.731912225705329</v>
      </c>
      <c r="J42" s="118">
        <f>O28</f>
        <v>13.159749216300936</v>
      </c>
      <c r="K42" s="118">
        <f>O29</f>
        <v>3.4329780564263324</v>
      </c>
      <c r="L42" s="118">
        <v>0</v>
      </c>
      <c r="M42" s="118">
        <v>0</v>
      </c>
      <c r="N42" s="96">
        <f t="shared" si="5"/>
        <v>892.43999999999994</v>
      </c>
      <c r="O42" s="388"/>
      <c r="P42" s="449"/>
      <c r="Q42" s="499"/>
      <c r="R42" s="499" t="s">
        <v>95</v>
      </c>
      <c r="S42" s="499" t="s">
        <v>62</v>
      </c>
      <c r="T42" s="499">
        <f>IF($E$34="Incineração",N34+N35,0)</f>
        <v>0</v>
      </c>
      <c r="U42" s="499"/>
      <c r="V42" s="499"/>
      <c r="W42" s="499"/>
      <c r="X42" s="499"/>
      <c r="Y42" s="499"/>
      <c r="Z42" s="499"/>
      <c r="AA42" s="3"/>
      <c r="AB42" s="3"/>
      <c r="AC42" s="3"/>
      <c r="AD42" s="3"/>
      <c r="AE42" s="3"/>
      <c r="AF42" s="3"/>
      <c r="AG42" s="3"/>
      <c r="AH42" s="3"/>
      <c r="AI42" s="3"/>
    </row>
    <row r="43" spans="1:35" ht="18" customHeight="1" x14ac:dyDescent="0.35">
      <c r="A43" s="525"/>
      <c r="B43" s="388"/>
      <c r="C43" s="604" t="s">
        <v>829</v>
      </c>
      <c r="D43" s="119">
        <f t="shared" ref="D43:M43" si="6">D41-D42</f>
        <v>117.96793774319076</v>
      </c>
      <c r="E43" s="119">
        <f t="shared" si="6"/>
        <v>7.312062256809341</v>
      </c>
      <c r="F43" s="119">
        <f t="shared" si="6"/>
        <v>49.968902821316618</v>
      </c>
      <c r="G43" s="119">
        <f t="shared" si="6"/>
        <v>33.948338557993743</v>
      </c>
      <c r="H43" s="119">
        <f t="shared" si="6"/>
        <v>17.546332288401249</v>
      </c>
      <c r="I43" s="119">
        <f t="shared" si="6"/>
        <v>9.1546081504702244</v>
      </c>
      <c r="J43" s="119">
        <f t="shared" si="6"/>
        <v>8.7731661442006246</v>
      </c>
      <c r="K43" s="119">
        <f t="shared" si="6"/>
        <v>2.2886520376175561</v>
      </c>
      <c r="L43" s="119">
        <f t="shared" si="6"/>
        <v>216</v>
      </c>
      <c r="M43" s="119">
        <f t="shared" si="6"/>
        <v>84.6</v>
      </c>
      <c r="N43" s="96">
        <f t="shared" si="5"/>
        <v>547.56000000000017</v>
      </c>
      <c r="O43" s="503"/>
      <c r="P43" s="449"/>
      <c r="Q43" s="499"/>
      <c r="R43" s="499"/>
      <c r="S43" s="499" t="s">
        <v>60</v>
      </c>
      <c r="T43" s="499">
        <f>IF($I$28="CDR",O34,0)</f>
        <v>0</v>
      </c>
      <c r="U43" s="499" t="s">
        <v>51</v>
      </c>
      <c r="V43" s="499"/>
      <c r="W43" s="499"/>
      <c r="X43" s="499"/>
      <c r="Y43" s="499"/>
      <c r="Z43" s="499"/>
      <c r="AA43" s="3"/>
      <c r="AB43" s="3"/>
      <c r="AC43" s="3"/>
      <c r="AD43" s="3"/>
      <c r="AE43" s="3"/>
      <c r="AF43" s="3"/>
      <c r="AG43" s="3"/>
      <c r="AH43" s="3"/>
      <c r="AI43" s="3"/>
    </row>
    <row r="44" spans="1:35" ht="18" customHeight="1" x14ac:dyDescent="0.35">
      <c r="A44" s="525"/>
      <c r="B44" s="388"/>
      <c r="C44" s="604" t="s">
        <v>96</v>
      </c>
      <c r="D44" s="96">
        <f t="shared" ref="D44:M44" si="7">D15-D41</f>
        <v>524.30194552529179</v>
      </c>
      <c r="E44" s="96">
        <f t="shared" si="7"/>
        <v>32.498054474708169</v>
      </c>
      <c r="F44" s="96">
        <f t="shared" si="7"/>
        <v>83.281504702194368</v>
      </c>
      <c r="G44" s="96">
        <f t="shared" si="7"/>
        <v>56.580564263322884</v>
      </c>
      <c r="H44" s="96">
        <f t="shared" si="7"/>
        <v>29.243887147335414</v>
      </c>
      <c r="I44" s="96">
        <f t="shared" si="7"/>
        <v>15.2576802507837</v>
      </c>
      <c r="J44" s="96">
        <f t="shared" si="7"/>
        <v>14.621943573667707</v>
      </c>
      <c r="K44" s="96">
        <f t="shared" si="7"/>
        <v>3.814420062695925</v>
      </c>
      <c r="L44" s="96">
        <f t="shared" si="7"/>
        <v>144</v>
      </c>
      <c r="M44" s="96">
        <f t="shared" si="7"/>
        <v>56.400000000000006</v>
      </c>
      <c r="N44" s="96">
        <f t="shared" si="5"/>
        <v>960</v>
      </c>
      <c r="O44" s="503"/>
      <c r="P44" s="449"/>
      <c r="Q44" s="499"/>
      <c r="R44" s="499" t="s">
        <v>97</v>
      </c>
      <c r="S44" s="499" t="s">
        <v>62</v>
      </c>
      <c r="T44" s="499">
        <f>IF($I$28="Incineração",O34+O35,0)</f>
        <v>547.56000000000017</v>
      </c>
      <c r="U44" s="499"/>
      <c r="V44" s="499"/>
      <c r="W44" s="499"/>
      <c r="X44" s="499"/>
      <c r="Y44" s="499"/>
      <c r="Z44" s="499"/>
      <c r="AA44" s="3"/>
      <c r="AB44" s="3"/>
      <c r="AC44" s="3"/>
      <c r="AD44" s="3"/>
      <c r="AE44" s="3"/>
      <c r="AF44" s="3"/>
      <c r="AG44" s="3"/>
      <c r="AH44" s="3"/>
      <c r="AI44" s="3"/>
    </row>
    <row r="45" spans="1:35" ht="18" customHeight="1" x14ac:dyDescent="0.35">
      <c r="A45" s="525"/>
      <c r="B45" s="388"/>
      <c r="C45" s="499"/>
      <c r="D45" s="449"/>
      <c r="E45" s="449"/>
      <c r="F45" s="449"/>
      <c r="G45" s="449"/>
      <c r="H45" s="449"/>
      <c r="I45" s="449"/>
      <c r="J45" s="449"/>
      <c r="K45" s="449"/>
      <c r="L45" s="449"/>
      <c r="M45" s="449"/>
      <c r="N45" s="449"/>
      <c r="O45" s="449"/>
      <c r="P45" s="449"/>
      <c r="Q45" s="499"/>
      <c r="R45" s="499"/>
      <c r="S45" s="499"/>
      <c r="T45" s="499"/>
      <c r="U45" s="499"/>
      <c r="V45" s="499"/>
      <c r="W45" s="499"/>
      <c r="X45" s="499"/>
      <c r="Y45" s="499"/>
      <c r="Z45" s="499"/>
      <c r="AA45" s="3"/>
      <c r="AB45" s="3"/>
      <c r="AC45" s="3"/>
      <c r="AD45" s="3"/>
      <c r="AE45" s="3"/>
      <c r="AF45" s="3"/>
      <c r="AG45" s="3"/>
      <c r="AH45" s="3"/>
      <c r="AI45" s="3"/>
    </row>
    <row r="46" spans="1:35" ht="4.4000000000000004" customHeight="1" x14ac:dyDescent="0.35">
      <c r="A46" s="529"/>
      <c r="B46" s="388"/>
      <c r="C46" s="388"/>
      <c r="D46" s="449"/>
      <c r="E46" s="449"/>
      <c r="F46" s="449"/>
      <c r="G46" s="449"/>
      <c r="H46" s="449"/>
      <c r="I46" s="449"/>
      <c r="J46" s="388"/>
      <c r="K46" s="388"/>
      <c r="L46" s="388"/>
      <c r="M46" s="388"/>
      <c r="N46" s="449"/>
      <c r="O46" s="449"/>
      <c r="P46" s="449"/>
      <c r="Q46" s="499"/>
      <c r="R46" s="499"/>
      <c r="S46" s="499"/>
      <c r="T46" s="499"/>
      <c r="U46" s="499"/>
      <c r="V46" s="499"/>
      <c r="W46" s="499"/>
      <c r="X46" s="499"/>
      <c r="Y46" s="499"/>
      <c r="Z46" s="499"/>
      <c r="AA46" s="3"/>
      <c r="AB46" s="3"/>
      <c r="AC46" s="3"/>
      <c r="AD46" s="3"/>
      <c r="AE46" s="3"/>
      <c r="AF46" s="3"/>
      <c r="AG46" s="3"/>
      <c r="AH46" s="3"/>
      <c r="AI46" s="3"/>
    </row>
    <row r="47" spans="1:35" ht="18" customHeight="1" x14ac:dyDescent="0.35">
      <c r="A47" s="526"/>
      <c r="B47" s="627"/>
      <c r="C47" s="660" t="s">
        <v>98</v>
      </c>
      <c r="D47" s="661"/>
      <c r="E47" s="665"/>
      <c r="F47" s="388"/>
      <c r="G47" s="388"/>
      <c r="H47" s="388"/>
      <c r="I47" s="388"/>
      <c r="J47" s="388"/>
      <c r="K47" s="388"/>
      <c r="L47" s="388"/>
      <c r="M47" s="388"/>
      <c r="N47" s="388"/>
      <c r="O47" s="388"/>
      <c r="P47" s="388"/>
      <c r="Q47" s="499"/>
      <c r="R47" s="499"/>
      <c r="S47" s="499"/>
      <c r="T47" s="499"/>
      <c r="U47" s="499"/>
      <c r="V47" s="499"/>
      <c r="W47" s="499"/>
      <c r="X47" s="499"/>
      <c r="Y47" s="499"/>
      <c r="Z47" s="499"/>
      <c r="AA47" s="3"/>
      <c r="AB47" s="3"/>
      <c r="AC47" s="3"/>
      <c r="AD47" s="3"/>
      <c r="AE47" s="3"/>
      <c r="AF47" s="3"/>
      <c r="AG47" s="3"/>
      <c r="AH47" s="3"/>
      <c r="AI47" s="3"/>
    </row>
    <row r="48" spans="1:35" ht="18" customHeight="1" x14ac:dyDescent="0.35">
      <c r="A48" s="529"/>
      <c r="B48" s="388"/>
      <c r="C48" s="192" t="s">
        <v>99</v>
      </c>
      <c r="D48" s="124"/>
      <c r="E48" s="121"/>
      <c r="F48" s="388"/>
      <c r="G48" s="388"/>
      <c r="H48" s="388"/>
      <c r="I48" s="388"/>
      <c r="J48" s="388"/>
      <c r="K48" s="388"/>
      <c r="L48" s="388"/>
      <c r="M48" s="388"/>
      <c r="N48" s="192" t="s">
        <v>100</v>
      </c>
      <c r="O48" s="121"/>
      <c r="P48" s="388"/>
      <c r="Q48" s="499"/>
      <c r="R48" s="499"/>
      <c r="S48" s="499"/>
      <c r="T48" s="499"/>
      <c r="U48" s="499"/>
      <c r="V48" s="499"/>
      <c r="W48" s="499"/>
      <c r="X48" s="499"/>
      <c r="Y48" s="499"/>
      <c r="Z48" s="499"/>
      <c r="AA48" s="3"/>
      <c r="AB48" s="3"/>
      <c r="AC48" s="3"/>
      <c r="AD48" s="3"/>
      <c r="AE48" s="3"/>
      <c r="AF48" s="3"/>
      <c r="AG48" s="3"/>
      <c r="AH48" s="3"/>
      <c r="AI48" s="3"/>
    </row>
    <row r="49" spans="1:35" ht="18" customHeight="1" x14ac:dyDescent="0.35">
      <c r="A49" s="529"/>
      <c r="B49" s="388"/>
      <c r="C49" s="90"/>
      <c r="D49" s="115" t="s">
        <v>519</v>
      </c>
      <c r="E49" s="119">
        <f>IF(E30="CDR",M34,0)</f>
        <v>16.199999999999996</v>
      </c>
      <c r="F49" s="388"/>
      <c r="G49" s="90"/>
      <c r="H49" s="115" t="s">
        <v>70</v>
      </c>
      <c r="I49" s="96">
        <f>SUM(E49:E52)</f>
        <v>162</v>
      </c>
      <c r="J49" s="388"/>
      <c r="K49" s="115" t="s">
        <v>101</v>
      </c>
      <c r="L49" s="920">
        <v>0</v>
      </c>
      <c r="M49" s="388"/>
      <c r="N49" s="115" t="s">
        <v>102</v>
      </c>
      <c r="O49" s="914">
        <f>(I49-O53-O55)*L49/100</f>
        <v>0</v>
      </c>
      <c r="P49" s="388"/>
      <c r="Q49" s="499"/>
      <c r="R49" s="499"/>
      <c r="S49" s="499"/>
      <c r="T49" s="499"/>
      <c r="U49" s="499"/>
      <c r="V49" s="499"/>
      <c r="W49" s="499"/>
      <c r="X49" s="499"/>
      <c r="Y49" s="499"/>
      <c r="Z49" s="499"/>
      <c r="AA49" s="3"/>
      <c r="AB49" s="3"/>
      <c r="AC49" s="3"/>
      <c r="AD49" s="3"/>
      <c r="AE49" s="3"/>
      <c r="AF49" s="3"/>
      <c r="AG49" s="3"/>
      <c r="AH49" s="3"/>
      <c r="AI49" s="3"/>
    </row>
    <row r="50" spans="1:35" ht="18" customHeight="1" x14ac:dyDescent="0.35">
      <c r="A50" s="529"/>
      <c r="B50" s="388"/>
      <c r="C50" s="90"/>
      <c r="D50" s="115" t="s">
        <v>520</v>
      </c>
      <c r="E50" s="119">
        <f>IF(E34="CDR",N34,0)</f>
        <v>145.80000000000001</v>
      </c>
      <c r="F50" s="388"/>
      <c r="G50" s="519"/>
      <c r="H50" s="519"/>
      <c r="I50" s="912"/>
      <c r="J50" s="388"/>
      <c r="K50" s="115" t="s">
        <v>103</v>
      </c>
      <c r="L50" s="913">
        <f>100-L49</f>
        <v>100</v>
      </c>
      <c r="M50" s="388"/>
      <c r="N50" s="115" t="s">
        <v>104</v>
      </c>
      <c r="O50" s="914">
        <f>(I49-O53-O55)*L50/100</f>
        <v>137.69999999999999</v>
      </c>
      <c r="P50" s="388"/>
      <c r="Q50" s="499"/>
      <c r="R50" s="499"/>
      <c r="S50" s="499"/>
      <c r="T50" s="499"/>
      <c r="U50" s="499"/>
      <c r="V50" s="499"/>
      <c r="W50" s="499"/>
      <c r="X50" s="499"/>
      <c r="Y50" s="499"/>
      <c r="Z50" s="499"/>
      <c r="AA50" s="3"/>
      <c r="AB50" s="3"/>
      <c r="AC50" s="3"/>
      <c r="AD50" s="3"/>
      <c r="AE50" s="3"/>
      <c r="AF50" s="3"/>
      <c r="AG50" s="3"/>
      <c r="AH50" s="3"/>
      <c r="AI50" s="3"/>
    </row>
    <row r="51" spans="1:35" ht="18" customHeight="1" x14ac:dyDescent="0.35">
      <c r="A51" s="529"/>
      <c r="B51" s="388"/>
      <c r="C51" s="90"/>
      <c r="D51" s="115" t="s">
        <v>521</v>
      </c>
      <c r="E51" s="119">
        <f>IF(I28="CDR",O34,0)</f>
        <v>0</v>
      </c>
      <c r="F51" s="388"/>
      <c r="G51" s="90"/>
      <c r="H51" s="115" t="s">
        <v>524</v>
      </c>
      <c r="I51" s="96">
        <f>IF(E52=0,I49,0)</f>
        <v>162</v>
      </c>
      <c r="J51" s="930" t="str">
        <f>IF(AND(I51&gt;0,I51&lt;50),"Massa mín. é 50 t/d. Rever destino dos rejeitos das triagens","")</f>
        <v/>
      </c>
      <c r="K51" s="388"/>
      <c r="L51" s="388"/>
      <c r="M51" s="388"/>
      <c r="N51" s="388"/>
      <c r="O51" s="388"/>
      <c r="P51" s="388"/>
      <c r="Q51" s="499"/>
      <c r="R51" s="499"/>
      <c r="S51" s="499"/>
      <c r="T51" s="499"/>
      <c r="U51" s="499"/>
      <c r="V51" s="499"/>
      <c r="W51" s="499"/>
      <c r="X51" s="499"/>
      <c r="Y51" s="499"/>
      <c r="Z51" s="499"/>
      <c r="AA51" s="3"/>
      <c r="AB51" s="3"/>
      <c r="AC51" s="3"/>
      <c r="AD51" s="3"/>
      <c r="AE51" s="3"/>
      <c r="AF51" s="3"/>
      <c r="AG51" s="3"/>
      <c r="AH51" s="3"/>
      <c r="AI51" s="3"/>
    </row>
    <row r="52" spans="1:35" ht="18" customHeight="1" x14ac:dyDescent="0.35">
      <c r="A52" s="529"/>
      <c r="B52" s="388"/>
      <c r="C52" s="90"/>
      <c r="D52" s="115" t="s">
        <v>522</v>
      </c>
      <c r="E52" s="119">
        <f>IF(I29="Biosecagem CDR",L32,0)</f>
        <v>0</v>
      </c>
      <c r="F52" s="388"/>
      <c r="G52" s="90"/>
      <c r="H52" s="115" t="s">
        <v>525</v>
      </c>
      <c r="I52" s="96">
        <f>IF(E52&gt;0,I49,0)</f>
        <v>0</v>
      </c>
      <c r="J52" s="930" t="str">
        <f>IF(AND(I52&gt;0,I52&lt;250),"Massa mín. é 250 t/d","")</f>
        <v/>
      </c>
      <c r="K52" s="388"/>
      <c r="L52" s="500" t="str">
        <f>IF(AND(I51&gt;0,I51&lt;50),"em E30, E34 e I28","")</f>
        <v/>
      </c>
      <c r="M52" s="605"/>
      <c r="N52" s="121" t="s">
        <v>523</v>
      </c>
      <c r="O52" s="193"/>
      <c r="P52" s="388"/>
      <c r="Q52" s="499"/>
      <c r="R52" s="499"/>
      <c r="S52" s="499"/>
      <c r="T52" s="499"/>
      <c r="U52" s="499"/>
      <c r="V52" s="499"/>
      <c r="W52" s="499"/>
      <c r="X52" s="499"/>
      <c r="Y52" s="499"/>
      <c r="Z52" s="499"/>
      <c r="AA52" s="3"/>
      <c r="AB52" s="3"/>
      <c r="AC52" s="3"/>
      <c r="AD52" s="3"/>
      <c r="AE52" s="3"/>
      <c r="AF52" s="3"/>
      <c r="AG52" s="3"/>
      <c r="AH52" s="3"/>
      <c r="AI52" s="3"/>
    </row>
    <row r="53" spans="1:35" ht="18" customHeight="1" x14ac:dyDescent="0.35">
      <c r="A53" s="525"/>
      <c r="B53" s="388"/>
      <c r="C53" s="388"/>
      <c r="D53" s="499"/>
      <c r="E53" s="388"/>
      <c r="F53" s="388"/>
      <c r="G53" s="388"/>
      <c r="H53" s="388"/>
      <c r="I53" s="388"/>
      <c r="J53" s="930" t="str">
        <f>IF(AND(I52&gt;0,I52&lt;250),"Alterar I29 para 'Tratat. Biológico'","")</f>
        <v/>
      </c>
      <c r="K53" s="388"/>
      <c r="L53" s="388"/>
      <c r="M53" s="606"/>
      <c r="N53" s="466" t="s">
        <v>105</v>
      </c>
      <c r="O53" s="914">
        <f>I52*'R-Avançado'!M12/100+I51*'R-Avançado'!M11/100</f>
        <v>20.25</v>
      </c>
      <c r="P53" s="388"/>
      <c r="Q53" s="499"/>
      <c r="R53" s="499"/>
      <c r="S53" s="499"/>
      <c r="T53" s="499"/>
      <c r="U53" s="499"/>
      <c r="V53" s="499"/>
      <c r="W53" s="499"/>
      <c r="X53" s="499"/>
      <c r="Y53" s="499"/>
      <c r="Z53" s="499"/>
      <c r="AA53" s="3"/>
      <c r="AB53" s="3"/>
      <c r="AC53" s="3"/>
      <c r="AD53" s="3"/>
      <c r="AE53" s="3"/>
      <c r="AF53" s="3"/>
      <c r="AG53" s="3"/>
      <c r="AH53" s="3"/>
      <c r="AI53" s="3"/>
    </row>
    <row r="54" spans="1:35" ht="18" customHeight="1" x14ac:dyDescent="0.35">
      <c r="A54" s="525"/>
      <c r="B54" s="388"/>
      <c r="C54" s="388"/>
      <c r="D54" s="499"/>
      <c r="E54" s="388"/>
      <c r="F54" s="388"/>
      <c r="G54" s="388"/>
      <c r="H54" s="388"/>
      <c r="I54" s="388"/>
      <c r="J54" s="930" t="str">
        <f>IF(AND(I52&gt;0,I52&lt;250),"ou aumentar massa triada em I26","")</f>
        <v/>
      </c>
      <c r="K54" s="388"/>
      <c r="L54" s="388"/>
      <c r="M54" s="388"/>
      <c r="N54" s="388"/>
      <c r="O54" s="387"/>
      <c r="P54" s="388"/>
      <c r="Q54" s="499"/>
      <c r="R54" s="499"/>
      <c r="S54" s="499"/>
      <c r="T54" s="499"/>
      <c r="U54" s="499"/>
      <c r="V54" s="499"/>
      <c r="W54" s="499"/>
      <c r="X54" s="499"/>
      <c r="Y54" s="499"/>
      <c r="Z54" s="499"/>
      <c r="AA54" s="3"/>
      <c r="AB54" s="3"/>
      <c r="AC54" s="3"/>
      <c r="AD54" s="3"/>
      <c r="AE54" s="3"/>
      <c r="AF54" s="3"/>
      <c r="AG54" s="3"/>
      <c r="AH54" s="3"/>
      <c r="AI54" s="3"/>
    </row>
    <row r="55" spans="1:35" ht="18" customHeight="1" x14ac:dyDescent="0.35">
      <c r="A55" s="525"/>
      <c r="B55" s="388"/>
      <c r="C55" s="388"/>
      <c r="D55" s="499"/>
      <c r="E55" s="388"/>
      <c r="F55" s="388"/>
      <c r="G55" s="388"/>
      <c r="H55" s="388"/>
      <c r="I55" s="388"/>
      <c r="J55" s="930" t="str">
        <f>IF(AND(I52&gt;0,I52&lt;250),"ou rever destino dos rejeitos em E30 e E34","")</f>
        <v/>
      </c>
      <c r="K55" s="388"/>
      <c r="L55" s="388"/>
      <c r="M55" s="129"/>
      <c r="N55" s="466" t="s">
        <v>854</v>
      </c>
      <c r="O55" s="654">
        <f>I52*'R-Avançado'!L12/100+I51*'R-Avançado'!L11/100</f>
        <v>4.05</v>
      </c>
      <c r="P55" s="388"/>
      <c r="Q55" s="499"/>
      <c r="R55" s="499"/>
      <c r="S55" s="499"/>
      <c r="T55" s="499"/>
      <c r="U55" s="499"/>
      <c r="V55" s="499"/>
      <c r="W55" s="499"/>
      <c r="X55" s="499"/>
      <c r="Y55" s="499"/>
      <c r="Z55" s="499"/>
      <c r="AA55" s="3"/>
      <c r="AB55" s="3"/>
      <c r="AC55" s="3"/>
      <c r="AD55" s="3"/>
      <c r="AE55" s="3"/>
      <c r="AF55" s="3"/>
      <c r="AG55" s="3"/>
      <c r="AH55" s="3"/>
      <c r="AI55" s="3"/>
    </row>
    <row r="56" spans="1:35" ht="6" customHeight="1" x14ac:dyDescent="0.35">
      <c r="A56" s="525"/>
      <c r="B56" s="388"/>
      <c r="C56" s="388"/>
      <c r="D56" s="499"/>
      <c r="E56" s="388"/>
      <c r="F56" s="388"/>
      <c r="G56" s="388"/>
      <c r="H56" s="388"/>
      <c r="I56" s="388"/>
      <c r="J56" s="388"/>
      <c r="K56" s="388"/>
      <c r="L56" s="388"/>
      <c r="M56" s="388"/>
      <c r="N56" s="388"/>
      <c r="O56" s="388"/>
      <c r="P56" s="388"/>
      <c r="Q56" s="499"/>
      <c r="R56" s="499"/>
      <c r="S56" s="499"/>
      <c r="T56" s="499"/>
      <c r="U56" s="499"/>
      <c r="V56" s="499"/>
      <c r="W56" s="499"/>
      <c r="X56" s="499"/>
      <c r="Y56" s="499"/>
      <c r="Z56" s="499"/>
      <c r="AA56" s="3"/>
      <c r="AB56" s="3"/>
      <c r="AC56" s="3"/>
      <c r="AD56" s="3"/>
      <c r="AE56" s="3"/>
      <c r="AF56" s="3"/>
      <c r="AG56" s="3"/>
      <c r="AH56" s="3"/>
      <c r="AI56" s="3"/>
    </row>
    <row r="57" spans="1:35" ht="18.649999999999999" customHeight="1" x14ac:dyDescent="0.35">
      <c r="A57" s="526"/>
      <c r="B57" s="631"/>
      <c r="C57" s="660" t="s">
        <v>181</v>
      </c>
      <c r="D57" s="661"/>
      <c r="E57" s="661"/>
      <c r="F57" s="662"/>
      <c r="G57" s="388"/>
      <c r="H57" s="388"/>
      <c r="I57" s="388"/>
      <c r="J57" s="388"/>
      <c r="K57" s="388"/>
      <c r="L57" s="388"/>
      <c r="M57" s="388"/>
      <c r="N57" s="388"/>
      <c r="O57" s="388"/>
      <c r="P57" s="388"/>
      <c r="Q57" s="499"/>
      <c r="R57" s="499"/>
      <c r="S57" s="499"/>
      <c r="T57" s="499"/>
      <c r="U57" s="499"/>
      <c r="V57" s="499"/>
      <c r="W57" s="499"/>
      <c r="X57" s="499"/>
      <c r="Y57" s="499"/>
      <c r="Z57" s="499"/>
      <c r="AA57" s="3"/>
      <c r="AB57" s="3"/>
      <c r="AC57" s="3"/>
      <c r="AD57" s="3"/>
      <c r="AE57" s="3"/>
      <c r="AF57" s="3"/>
      <c r="AG57" s="3"/>
      <c r="AH57" s="3"/>
      <c r="AI57" s="3"/>
    </row>
    <row r="58" spans="1:35" ht="18" customHeight="1" x14ac:dyDescent="0.35">
      <c r="A58" s="525"/>
      <c r="B58" s="485"/>
      <c r="C58" s="663"/>
      <c r="D58" s="115" t="s">
        <v>106</v>
      </c>
      <c r="E58" s="119">
        <f>L33</f>
        <v>150</v>
      </c>
      <c r="F58" s="331">
        <f>IF(E58&gt;0,E58/E60, " ")</f>
        <v>0.17443483114708347</v>
      </c>
      <c r="G58" s="388"/>
      <c r="H58" s="611"/>
      <c r="I58" s="611"/>
      <c r="J58" s="612"/>
      <c r="K58" s="612"/>
      <c r="L58" s="612"/>
      <c r="M58" s="613" t="s">
        <v>107</v>
      </c>
      <c r="N58" s="614"/>
      <c r="O58" s="612"/>
      <c r="P58" s="388"/>
      <c r="Q58" s="499"/>
      <c r="R58" s="499"/>
      <c r="S58" s="499"/>
      <c r="T58" s="499"/>
      <c r="U58" s="499"/>
      <c r="V58" s="499"/>
      <c r="W58" s="499"/>
      <c r="X58" s="499"/>
      <c r="Y58" s="499"/>
      <c r="Z58" s="499"/>
      <c r="AA58" s="3"/>
      <c r="AB58" s="3"/>
      <c r="AC58" s="3"/>
      <c r="AD58" s="3"/>
      <c r="AE58" s="3"/>
      <c r="AF58" s="3"/>
      <c r="AG58" s="3"/>
      <c r="AH58" s="3"/>
      <c r="AI58" s="3"/>
    </row>
    <row r="59" spans="1:35" ht="18" customHeight="1" thickBot="1" x14ac:dyDescent="0.4">
      <c r="A59" s="530"/>
      <c r="B59" s="393"/>
      <c r="C59" s="663"/>
      <c r="D59" s="115" t="s">
        <v>526</v>
      </c>
      <c r="E59" s="119">
        <f>IF(AND(I29&lt;&gt;"Biosecagem CDR",I29&lt;&gt;"Aterro sanitário"),L32,0)</f>
        <v>709.92</v>
      </c>
      <c r="F59" s="331">
        <f>IF(E59&gt;0,E59/E60,"")</f>
        <v>0.82556516885291653</v>
      </c>
      <c r="G59" s="387"/>
      <c r="H59" s="129"/>
      <c r="I59" s="115" t="s">
        <v>108</v>
      </c>
      <c r="J59" s="128">
        <v>100</v>
      </c>
      <c r="K59" s="609" t="str">
        <f t="shared" ref="K59:K60" si="8">IF(J59&lt;&gt;0,"&gt;&gt;&gt;&gt;","")</f>
        <v>&gt;&gt;&gt;&gt;</v>
      </c>
      <c r="L59" s="610">
        <f>IF(J59&gt;0,J59/100*E60,"")</f>
        <v>859.92</v>
      </c>
      <c r="M59" s="599" t="str">
        <f t="shared" ref="M59:M61" si="9">IF(J59&gt;0,"t/d","")</f>
        <v>t/d</v>
      </c>
      <c r="N59" s="1422" t="str">
        <f>IF(AND(L59&gt;0,L59&lt;50),"Capacidade mín. é de 50 t/d","")</f>
        <v/>
      </c>
      <c r="O59" s="393"/>
      <c r="P59" s="388"/>
      <c r="Q59" s="499"/>
      <c r="R59" s="499"/>
      <c r="S59" s="499"/>
      <c r="T59" s="499"/>
      <c r="U59" s="499"/>
      <c r="V59" s="499"/>
      <c r="W59" s="499"/>
      <c r="X59" s="499"/>
      <c r="Y59" s="499"/>
      <c r="Z59" s="499"/>
      <c r="AA59" s="3"/>
      <c r="AB59" s="3"/>
      <c r="AC59" s="3"/>
      <c r="AD59" s="3"/>
      <c r="AE59" s="3"/>
      <c r="AF59" s="3"/>
      <c r="AG59" s="3"/>
      <c r="AH59" s="3"/>
      <c r="AI59" s="3"/>
    </row>
    <row r="60" spans="1:35" ht="18" customHeight="1" thickBot="1" x14ac:dyDescent="0.4">
      <c r="A60" s="530"/>
      <c r="B60" s="393"/>
      <c r="C60" s="663"/>
      <c r="D60" s="115" t="s">
        <v>109</v>
      </c>
      <c r="E60" s="119">
        <f>SUM(E58:E59)</f>
        <v>859.92</v>
      </c>
      <c r="F60" s="332">
        <f>IF(E60&gt;0,E60/E60,"")</f>
        <v>1</v>
      </c>
      <c r="G60" s="387"/>
      <c r="H60" s="129"/>
      <c r="I60" s="115" t="s">
        <v>110</v>
      </c>
      <c r="J60" s="128">
        <v>0</v>
      </c>
      <c r="K60" s="389" t="str">
        <f t="shared" si="8"/>
        <v/>
      </c>
      <c r="L60" s="607" t="str">
        <f>IF(J60&gt;0,J60/100*E60,"")</f>
        <v/>
      </c>
      <c r="M60" s="390" t="str">
        <f t="shared" si="9"/>
        <v/>
      </c>
      <c r="N60" s="926" t="str">
        <f>IF(AND(L59&gt;0,L59&lt;50),"Rever valor em J59","")</f>
        <v/>
      </c>
      <c r="O60" s="387"/>
      <c r="P60" s="388"/>
      <c r="Q60" s="499"/>
      <c r="R60" s="499"/>
      <c r="S60" s="499"/>
      <c r="T60" s="499"/>
      <c r="U60" s="499"/>
      <c r="V60" s="499"/>
      <c r="W60" s="499"/>
      <c r="X60" s="499"/>
      <c r="Y60" s="499"/>
      <c r="Z60" s="499"/>
      <c r="AA60" s="3"/>
      <c r="AB60" s="3"/>
      <c r="AC60" s="3"/>
      <c r="AD60" s="3"/>
      <c r="AE60" s="3"/>
      <c r="AF60" s="3"/>
      <c r="AG60" s="3"/>
      <c r="AH60" s="3"/>
      <c r="AI60" s="3"/>
    </row>
    <row r="61" spans="1:35" ht="18" customHeight="1" thickTop="1" x14ac:dyDescent="0.35">
      <c r="A61" s="530"/>
      <c r="B61" s="393"/>
      <c r="C61" s="628"/>
      <c r="D61" s="504"/>
      <c r="E61" s="387"/>
      <c r="F61" s="387"/>
      <c r="G61" s="387"/>
      <c r="H61" s="129"/>
      <c r="I61" s="115" t="s">
        <v>527</v>
      </c>
      <c r="J61" s="93">
        <f>IF(E60&gt;0,100-J59-J60,0)</f>
        <v>0</v>
      </c>
      <c r="K61" s="523" t="str">
        <f>IF(J61&gt;0,"&gt;&gt;&gt;&gt;","")</f>
        <v/>
      </c>
      <c r="L61" s="558" t="str">
        <f>IF(J61&gt;0,J61/100*E60,"")</f>
        <v/>
      </c>
      <c r="M61" s="387" t="str">
        <f t="shared" si="9"/>
        <v/>
      </c>
      <c r="N61" s="1960" t="s">
        <v>111</v>
      </c>
      <c r="O61" s="1961"/>
      <c r="P61" s="388"/>
      <c r="Q61" s="499"/>
      <c r="R61" s="499"/>
      <c r="S61" s="499" t="s">
        <v>1028</v>
      </c>
      <c r="T61" s="499"/>
      <c r="U61" s="499"/>
      <c r="V61" s="499"/>
      <c r="W61" s="499"/>
      <c r="X61" s="499"/>
      <c r="Y61" s="499"/>
      <c r="Z61" s="499"/>
      <c r="AA61" s="3"/>
      <c r="AB61" s="3"/>
      <c r="AC61" s="3"/>
      <c r="AD61" s="3"/>
      <c r="AE61" s="3"/>
      <c r="AF61" s="3"/>
      <c r="AG61" s="3"/>
      <c r="AH61" s="3"/>
      <c r="AI61" s="3"/>
    </row>
    <row r="62" spans="1:35" ht="18" customHeight="1" x14ac:dyDescent="0.35">
      <c r="A62" s="530"/>
      <c r="B62" s="393"/>
      <c r="C62" s="619"/>
      <c r="D62" s="126" t="s">
        <v>112</v>
      </c>
      <c r="E62" s="125"/>
      <c r="F62" s="664"/>
      <c r="G62" s="387"/>
      <c r="H62" s="387"/>
      <c r="I62" s="387"/>
      <c r="J62" s="567" t="str">
        <f>IF(AND(E60&gt;0,SUM(J59:J60)&gt;100),"     Erro: valor em J61 não pode dar negativo!","")</f>
        <v/>
      </c>
      <c r="K62" s="523"/>
      <c r="L62" s="559"/>
      <c r="M62" s="129"/>
      <c r="N62" s="910" t="s">
        <v>113</v>
      </c>
      <c r="O62" s="911">
        <f>E60*J59/100</f>
        <v>859.92</v>
      </c>
      <c r="P62" s="388"/>
      <c r="Q62" s="499"/>
      <c r="R62" s="499"/>
      <c r="S62" s="499" t="s">
        <v>1029</v>
      </c>
      <c r="T62" s="499"/>
      <c r="U62" s="499"/>
      <c r="V62" s="499"/>
      <c r="W62" s="499"/>
      <c r="X62" s="499"/>
      <c r="Y62" s="499"/>
      <c r="Z62" s="499"/>
      <c r="AA62" s="3"/>
      <c r="AB62" s="3"/>
      <c r="AC62" s="3"/>
      <c r="AD62" s="3"/>
      <c r="AE62" s="3"/>
      <c r="AF62" s="3"/>
      <c r="AG62" s="3"/>
      <c r="AH62" s="3"/>
      <c r="AI62" s="3"/>
    </row>
    <row r="63" spans="1:35" ht="18" customHeight="1" x14ac:dyDescent="0.35">
      <c r="A63" s="530"/>
      <c r="B63" s="393"/>
      <c r="C63" s="620"/>
      <c r="D63" s="555" t="s">
        <v>114</v>
      </c>
      <c r="E63" s="127" t="s">
        <v>170</v>
      </c>
      <c r="F63" s="331">
        <f>IF(E63="Alta",'R-Avançado'!I19/100,IF(E63="Baixa",'R-Avançado'!I21/100,'R-Avançado'!I20/100))</f>
        <v>0.15</v>
      </c>
      <c r="G63" s="387"/>
      <c r="H63" s="192"/>
      <c r="I63" s="121"/>
      <c r="J63" s="616" t="s">
        <v>268</v>
      </c>
      <c r="K63" s="387"/>
      <c r="L63" s="387"/>
      <c r="M63" s="129"/>
      <c r="N63" s="115" t="s">
        <v>1026</v>
      </c>
      <c r="O63" s="615">
        <f>IF(J67="Compost. Uso nobre",E60*J60/100+J68,E60*J60/100)</f>
        <v>0</v>
      </c>
      <c r="P63" s="388"/>
      <c r="Q63" s="499"/>
      <c r="R63" s="499"/>
      <c r="S63" s="499"/>
      <c r="T63" s="499"/>
      <c r="U63" s="499"/>
      <c r="V63" s="499"/>
      <c r="W63" s="499"/>
      <c r="X63" s="499"/>
      <c r="Y63" s="499"/>
      <c r="Z63" s="499"/>
      <c r="AA63" s="3"/>
      <c r="AB63" s="3"/>
      <c r="AC63" s="3"/>
      <c r="AD63" s="3"/>
      <c r="AE63" s="3"/>
      <c r="AF63" s="3"/>
      <c r="AG63" s="3"/>
      <c r="AH63" s="3"/>
      <c r="AI63" s="3"/>
    </row>
    <row r="64" spans="1:35" ht="18" customHeight="1" x14ac:dyDescent="0.35">
      <c r="A64" s="530"/>
      <c r="B64" s="393"/>
      <c r="C64" s="129"/>
      <c r="D64" s="115" t="s">
        <v>116</v>
      </c>
      <c r="E64" s="127" t="s">
        <v>117</v>
      </c>
      <c r="F64" s="129"/>
      <c r="G64" s="387"/>
      <c r="H64" s="129"/>
      <c r="I64" s="115" t="s">
        <v>118</v>
      </c>
      <c r="J64" s="127" t="s">
        <v>3</v>
      </c>
      <c r="K64" s="387"/>
      <c r="L64" s="387"/>
      <c r="M64" s="129"/>
      <c r="N64" s="115" t="s">
        <v>1027</v>
      </c>
      <c r="O64" s="615">
        <f>IF(J67&lt;&gt;"Compost. Uso nobre",E60*J61/100+J68,E60*J61/100)</f>
        <v>730.9319999999999</v>
      </c>
      <c r="P64" s="388"/>
      <c r="Q64" s="499"/>
      <c r="R64" s="499"/>
      <c r="S64" s="499"/>
      <c r="T64" s="499"/>
      <c r="U64" s="499"/>
      <c r="V64" s="499"/>
      <c r="W64" s="499"/>
      <c r="X64" s="499"/>
      <c r="Y64" s="499"/>
      <c r="Z64" s="499"/>
      <c r="AA64" s="3"/>
      <c r="AB64" s="3"/>
      <c r="AC64" s="3"/>
      <c r="AD64" s="3"/>
      <c r="AE64" s="3"/>
      <c r="AF64" s="3"/>
      <c r="AG64" s="3"/>
      <c r="AH64" s="3"/>
      <c r="AI64" s="3"/>
    </row>
    <row r="65" spans="1:35" ht="18" customHeight="1" x14ac:dyDescent="0.35">
      <c r="A65" s="530"/>
      <c r="B65" s="393"/>
      <c r="C65" s="620"/>
      <c r="D65" s="555"/>
      <c r="E65" s="115" t="s">
        <v>119</v>
      </c>
      <c r="F65" s="253">
        <f>IF(E64="Alto",'R-Avançado'!E19,IF(E64="Baixo",'R-Avançado'!E21,'R-Avançado'!E20))</f>
        <v>100</v>
      </c>
      <c r="G65" s="387"/>
      <c r="H65" s="129"/>
      <c r="I65" s="115" t="s">
        <v>120</v>
      </c>
      <c r="J65" s="493" t="str">
        <f>IF(J64="Não","Sim","Não")</f>
        <v>Não</v>
      </c>
      <c r="K65" s="387"/>
      <c r="L65" s="387"/>
      <c r="M65" s="387"/>
      <c r="N65" s="504"/>
      <c r="O65" s="387"/>
      <c r="P65" s="388"/>
      <c r="Q65" s="499"/>
      <c r="R65" s="499"/>
      <c r="S65" s="499" t="s">
        <v>121</v>
      </c>
      <c r="T65" s="499"/>
      <c r="U65" s="499"/>
      <c r="V65" s="499"/>
      <c r="W65" s="499"/>
      <c r="X65" s="499"/>
      <c r="Y65" s="499"/>
      <c r="Z65" s="499"/>
      <c r="AA65" s="3"/>
      <c r="AB65" s="3"/>
      <c r="AC65" s="3"/>
      <c r="AD65" s="3"/>
      <c r="AE65" s="3"/>
      <c r="AF65" s="3"/>
      <c r="AG65" s="3"/>
      <c r="AH65" s="3"/>
      <c r="AI65" s="3"/>
    </row>
    <row r="66" spans="1:35" ht="18" customHeight="1" x14ac:dyDescent="0.35">
      <c r="A66" s="530"/>
      <c r="B66" s="393"/>
      <c r="C66" s="620"/>
      <c r="D66" s="555"/>
      <c r="E66" s="115" t="s">
        <v>122</v>
      </c>
      <c r="F66" s="253">
        <f>IF(E64="Alto",'R-Avançado'!F19,IF(E64="Baixo",'R-Avançado'!F21,'R-Avançado'!F20))</f>
        <v>150</v>
      </c>
      <c r="G66" s="387"/>
      <c r="H66" s="560"/>
      <c r="I66" s="387"/>
      <c r="J66" s="387"/>
      <c r="K66" s="387"/>
      <c r="L66" s="387"/>
      <c r="M66" s="619"/>
      <c r="N66" s="126" t="s">
        <v>123</v>
      </c>
      <c r="O66" s="616"/>
      <c r="P66" s="388"/>
      <c r="Q66" s="499"/>
      <c r="R66" s="499"/>
      <c r="S66" s="499" t="s">
        <v>124</v>
      </c>
      <c r="T66" s="499"/>
      <c r="U66" s="499"/>
      <c r="V66" s="499"/>
      <c r="W66" s="499"/>
      <c r="X66" s="499"/>
      <c r="Y66" s="499"/>
      <c r="Z66" s="499"/>
      <c r="AA66" s="3"/>
      <c r="AB66" s="3"/>
      <c r="AC66" s="3"/>
      <c r="AD66" s="3"/>
      <c r="AE66" s="3"/>
      <c r="AF66" s="3"/>
      <c r="AG66" s="3"/>
      <c r="AH66" s="3"/>
      <c r="AI66" s="3"/>
    </row>
    <row r="67" spans="1:35" ht="18" customHeight="1" x14ac:dyDescent="0.35">
      <c r="A67" s="530"/>
      <c r="B67" s="393"/>
      <c r="C67" s="393"/>
      <c r="D67" s="387"/>
      <c r="E67" s="387"/>
      <c r="F67" s="387"/>
      <c r="G67" s="387"/>
      <c r="H67" s="129"/>
      <c r="I67" s="115" t="s">
        <v>125</v>
      </c>
      <c r="J67" s="1852" t="s">
        <v>1029</v>
      </c>
      <c r="K67" s="387"/>
      <c r="L67" s="387"/>
      <c r="M67" s="129"/>
      <c r="N67" s="115" t="s">
        <v>1024</v>
      </c>
      <c r="O67" s="617">
        <f>O63-O63*(F69+F71)</f>
        <v>0</v>
      </c>
      <c r="P67" s="388"/>
      <c r="Q67" s="499"/>
      <c r="R67" s="499"/>
      <c r="S67" s="499"/>
      <c r="T67" s="499"/>
      <c r="U67" s="499"/>
      <c r="V67" s="499"/>
      <c r="W67" s="499"/>
      <c r="X67" s="499"/>
      <c r="Y67" s="499"/>
      <c r="Z67" s="499"/>
      <c r="AA67" s="3"/>
      <c r="AB67" s="3"/>
      <c r="AC67" s="3"/>
      <c r="AD67" s="3"/>
      <c r="AE67" s="3"/>
      <c r="AF67" s="3"/>
      <c r="AG67" s="3"/>
      <c r="AH67" s="3"/>
      <c r="AI67" s="3"/>
    </row>
    <row r="68" spans="1:35" ht="18" customHeight="1" x14ac:dyDescent="0.35">
      <c r="A68" s="530"/>
      <c r="B68" s="393"/>
      <c r="C68" s="619"/>
      <c r="D68" s="125" t="s">
        <v>126</v>
      </c>
      <c r="E68" s="125"/>
      <c r="F68" s="664"/>
      <c r="G68" s="387"/>
      <c r="H68" s="129"/>
      <c r="I68" s="115" t="s">
        <v>127</v>
      </c>
      <c r="J68" s="615">
        <f>E60*J59/100*(1-F63)</f>
        <v>730.9319999999999</v>
      </c>
      <c r="K68" s="387"/>
      <c r="L68" s="387"/>
      <c r="M68" s="129"/>
      <c r="N68" s="115" t="s">
        <v>1025</v>
      </c>
      <c r="O68" s="617">
        <f>O64-O64*(F69+F71)</f>
        <v>402.01259999999996</v>
      </c>
      <c r="P68" s="388"/>
      <c r="Q68" s="499"/>
      <c r="R68" s="499"/>
      <c r="S68" s="499"/>
      <c r="T68" s="499"/>
      <c r="U68" s="499"/>
      <c r="V68" s="499"/>
      <c r="W68" s="499"/>
      <c r="X68" s="499"/>
      <c r="Y68" s="499"/>
      <c r="Z68" s="499"/>
      <c r="AA68" s="3"/>
      <c r="AB68" s="3"/>
      <c r="AC68" s="3"/>
      <c r="AD68" s="3"/>
      <c r="AE68" s="3"/>
      <c r="AF68" s="3"/>
      <c r="AG68" s="3"/>
      <c r="AH68" s="3"/>
      <c r="AI68" s="3"/>
    </row>
    <row r="69" spans="1:35" ht="18" customHeight="1" x14ac:dyDescent="0.35">
      <c r="A69" s="530"/>
      <c r="B69" s="393"/>
      <c r="C69" s="620"/>
      <c r="D69" s="555" t="s">
        <v>114</v>
      </c>
      <c r="E69" s="128" t="s">
        <v>115</v>
      </c>
      <c r="F69" s="331">
        <f>IF(E69="Alta",'R-Avançado'!J19/100,IF(E69="Baixa",'R-Avançado'!J21/100,'R-Avançado'!J20/100))</f>
        <v>0.4</v>
      </c>
      <c r="G69" s="387"/>
      <c r="H69" s="387"/>
      <c r="I69" s="387"/>
      <c r="J69" s="387"/>
      <c r="K69" s="436"/>
      <c r="L69" s="387"/>
      <c r="M69" s="129"/>
      <c r="N69" s="115" t="s">
        <v>128</v>
      </c>
      <c r="O69" s="618">
        <f>IF(J65="Sim",O62*F66*'R-Avançado'!F23/100*'R-Avançado'!F24/100,0)</f>
        <v>0</v>
      </c>
      <c r="P69" s="388"/>
      <c r="Q69" s="499"/>
      <c r="R69" s="499"/>
      <c r="S69" s="499"/>
      <c r="T69" s="499"/>
      <c r="U69" s="499"/>
      <c r="V69" s="499"/>
      <c r="W69" s="499"/>
      <c r="X69" s="499"/>
      <c r="Y69" s="499"/>
      <c r="Z69" s="499"/>
      <c r="AA69" s="3"/>
      <c r="AB69" s="3"/>
      <c r="AC69" s="3"/>
      <c r="AD69" s="3"/>
      <c r="AE69" s="3"/>
      <c r="AF69" s="3"/>
      <c r="AG69" s="3"/>
      <c r="AH69" s="3"/>
      <c r="AI69" s="3"/>
    </row>
    <row r="70" spans="1:35" ht="18" customHeight="1" x14ac:dyDescent="0.35">
      <c r="A70" s="530"/>
      <c r="B70" s="393"/>
      <c r="C70" s="393"/>
      <c r="D70" s="551"/>
      <c r="E70" s="393"/>
      <c r="F70" s="393"/>
      <c r="G70" s="387"/>
      <c r="H70" s="387"/>
      <c r="I70" s="621"/>
      <c r="J70" s="622" t="s">
        <v>528</v>
      </c>
      <c r="K70" s="436"/>
      <c r="L70" s="387"/>
      <c r="M70" s="620"/>
      <c r="N70" s="555" t="s">
        <v>129</v>
      </c>
      <c r="O70" s="618">
        <f>IF(J64="Sim",O62*F65*'R-Avançado'!F23/100*'R-Avançado'!F24/100,0)</f>
        <v>50305.32</v>
      </c>
      <c r="P70" s="388"/>
      <c r="Q70" s="499"/>
      <c r="R70" s="499"/>
      <c r="S70" s="499"/>
      <c r="T70" s="499"/>
      <c r="U70" s="499"/>
      <c r="V70" s="499"/>
      <c r="W70" s="499"/>
      <c r="X70" s="499"/>
      <c r="Y70" s="499"/>
      <c r="Z70" s="499"/>
      <c r="AA70" s="3"/>
      <c r="AB70" s="3"/>
      <c r="AC70" s="3"/>
      <c r="AD70" s="3"/>
      <c r="AE70" s="3"/>
      <c r="AF70" s="3"/>
      <c r="AG70" s="3"/>
      <c r="AH70" s="3"/>
      <c r="AI70" s="3"/>
    </row>
    <row r="71" spans="1:35" ht="18" customHeight="1" x14ac:dyDescent="0.35">
      <c r="A71" s="530"/>
      <c r="B71" s="393"/>
      <c r="C71" s="122"/>
      <c r="D71" s="466" t="s">
        <v>130</v>
      </c>
      <c r="E71" s="128" t="s">
        <v>131</v>
      </c>
      <c r="F71" s="331">
        <f>IF(E71="Alto",'R-Avançado'!M19/100,'R-Avançado'!M20/100)</f>
        <v>0.05</v>
      </c>
      <c r="G71" s="387"/>
      <c r="H71" s="387"/>
      <c r="I71" s="623"/>
      <c r="J71" s="624" t="s">
        <v>1023</v>
      </c>
      <c r="K71" s="387"/>
      <c r="L71" s="387"/>
      <c r="M71" s="387"/>
      <c r="N71" s="387"/>
      <c r="O71" s="387"/>
      <c r="P71" s="388"/>
      <c r="Q71" s="499"/>
      <c r="R71" s="499"/>
      <c r="S71" s="499"/>
      <c r="T71" s="499"/>
      <c r="U71" s="499"/>
      <c r="V71" s="499"/>
      <c r="W71" s="499"/>
      <c r="X71" s="499"/>
      <c r="Y71" s="499"/>
      <c r="Z71" s="499"/>
      <c r="AA71" s="3"/>
      <c r="AB71" s="3"/>
      <c r="AC71" s="3"/>
      <c r="AD71" s="3"/>
      <c r="AE71" s="3"/>
      <c r="AF71" s="3"/>
      <c r="AG71" s="3"/>
      <c r="AH71" s="3"/>
      <c r="AI71" s="3"/>
    </row>
    <row r="72" spans="1:35" ht="18" customHeight="1" x14ac:dyDescent="0.35">
      <c r="A72" s="530"/>
      <c r="B72" s="393"/>
      <c r="C72" s="393"/>
      <c r="D72" s="387"/>
      <c r="E72" s="387"/>
      <c r="F72" s="387"/>
      <c r="G72" s="387"/>
      <c r="H72" s="387"/>
      <c r="I72" s="1969" t="s">
        <v>121</v>
      </c>
      <c r="J72" s="1970"/>
      <c r="K72" s="117"/>
      <c r="L72" s="619"/>
      <c r="M72" s="125"/>
      <c r="N72" s="125" t="s">
        <v>132</v>
      </c>
      <c r="O72" s="616"/>
      <c r="P72" s="388"/>
      <c r="Q72" s="499"/>
      <c r="R72" s="499"/>
      <c r="S72" s="499"/>
      <c r="T72" s="499"/>
      <c r="U72" s="499"/>
      <c r="V72" s="499"/>
      <c r="W72" s="499"/>
      <c r="X72" s="499"/>
      <c r="Y72" s="499"/>
      <c r="Z72" s="499"/>
      <c r="AA72" s="3"/>
      <c r="AB72" s="3"/>
      <c r="AC72" s="3"/>
      <c r="AD72" s="3"/>
      <c r="AE72" s="3"/>
      <c r="AF72" s="3"/>
      <c r="AG72" s="3"/>
      <c r="AH72" s="3"/>
      <c r="AI72" s="3"/>
    </row>
    <row r="73" spans="1:35" ht="18" customHeight="1" x14ac:dyDescent="0.35">
      <c r="A73" s="530"/>
      <c r="B73" s="393"/>
      <c r="C73" s="393"/>
      <c r="D73" s="387"/>
      <c r="E73" s="387"/>
      <c r="F73" s="387"/>
      <c r="G73" s="387"/>
      <c r="H73" s="387"/>
      <c r="I73" s="387"/>
      <c r="J73" s="387"/>
      <c r="K73" s="387"/>
      <c r="L73" s="129"/>
      <c r="M73" s="129"/>
      <c r="N73" s="115" t="s">
        <v>529</v>
      </c>
      <c r="O73" s="617">
        <f>(O63+O64)*F71</f>
        <v>36.546599999999998</v>
      </c>
      <c r="P73" s="388"/>
      <c r="Q73" s="499"/>
      <c r="R73" s="499"/>
      <c r="S73" s="499"/>
      <c r="T73" s="499"/>
      <c r="U73" s="499"/>
      <c r="V73" s="499"/>
      <c r="W73" s="499"/>
      <c r="X73" s="499"/>
      <c r="Y73" s="499"/>
      <c r="Z73" s="499"/>
      <c r="AA73" s="3"/>
      <c r="AB73" s="3"/>
      <c r="AC73" s="3"/>
      <c r="AD73" s="3"/>
      <c r="AE73" s="3"/>
      <c r="AF73" s="3"/>
      <c r="AG73" s="3"/>
      <c r="AH73" s="3"/>
      <c r="AI73" s="3"/>
    </row>
    <row r="74" spans="1:35" ht="18" customHeight="1" x14ac:dyDescent="0.35">
      <c r="A74" s="525"/>
      <c r="B74" s="485"/>
      <c r="C74" s="485"/>
      <c r="D74" s="388"/>
      <c r="E74" s="388"/>
      <c r="F74" s="388"/>
      <c r="G74" s="388"/>
      <c r="H74" s="388"/>
      <c r="I74" s="388"/>
      <c r="J74" s="388"/>
      <c r="K74" s="388"/>
      <c r="L74" s="90"/>
      <c r="M74" s="90"/>
      <c r="N74" s="115" t="s">
        <v>133</v>
      </c>
      <c r="O74" s="915">
        <f>O62*F63+O63*F69+O64*F69</f>
        <v>421.36079999999998</v>
      </c>
      <c r="P74" s="388"/>
      <c r="Q74" s="499"/>
      <c r="R74" s="499"/>
      <c r="S74" s="499"/>
      <c r="T74" s="499"/>
      <c r="U74" s="499"/>
      <c r="V74" s="499"/>
      <c r="W74" s="499"/>
      <c r="X74" s="499"/>
      <c r="Y74" s="499"/>
      <c r="Z74" s="499"/>
      <c r="AA74" s="3"/>
      <c r="AB74" s="3"/>
      <c r="AC74" s="3"/>
      <c r="AD74" s="3"/>
      <c r="AE74" s="3"/>
      <c r="AF74" s="3"/>
      <c r="AG74" s="3"/>
      <c r="AH74" s="3"/>
      <c r="AI74" s="3"/>
    </row>
    <row r="75" spans="1:35" ht="18" customHeight="1" x14ac:dyDescent="0.35">
      <c r="A75" s="525"/>
      <c r="B75" s="629"/>
      <c r="C75" s="629"/>
      <c r="D75" s="561"/>
      <c r="E75" s="524"/>
      <c r="F75" s="524"/>
      <c r="G75" s="524"/>
      <c r="H75" s="524"/>
      <c r="I75" s="524"/>
      <c r="J75" s="524"/>
      <c r="K75" s="524"/>
      <c r="L75" s="524"/>
      <c r="M75" s="524"/>
      <c r="N75" s="524"/>
      <c r="O75" s="524"/>
      <c r="P75" s="524"/>
      <c r="Q75" s="499"/>
      <c r="R75" s="499"/>
      <c r="S75" s="499"/>
      <c r="T75" s="499"/>
      <c r="U75" s="499"/>
      <c r="V75" s="499"/>
      <c r="W75" s="499"/>
      <c r="X75" s="499"/>
      <c r="Y75" s="499"/>
      <c r="Z75" s="499"/>
      <c r="AA75" s="3"/>
      <c r="AB75" s="3"/>
      <c r="AC75" s="3"/>
      <c r="AD75" s="3"/>
      <c r="AE75" s="3"/>
      <c r="AF75" s="3"/>
      <c r="AG75" s="3"/>
      <c r="AH75" s="3"/>
      <c r="AI75" s="3"/>
    </row>
    <row r="76" spans="1:35" ht="18" customHeight="1" x14ac:dyDescent="0.35">
      <c r="A76" s="525"/>
      <c r="B76" s="629"/>
      <c r="C76" s="629"/>
      <c r="D76" s="524"/>
      <c r="E76" s="524"/>
      <c r="F76" s="524"/>
      <c r="G76" s="524"/>
      <c r="H76" s="524"/>
      <c r="I76" s="524"/>
      <c r="J76" s="524"/>
      <c r="K76" s="524"/>
      <c r="L76" s="524"/>
      <c r="M76" s="524"/>
      <c r="N76" s="533"/>
      <c r="O76" s="524"/>
      <c r="P76" s="524"/>
      <c r="Q76" s="499"/>
      <c r="R76" s="499"/>
      <c r="S76" s="499"/>
      <c r="T76" s="499"/>
      <c r="U76" s="499"/>
      <c r="V76" s="499"/>
      <c r="W76" s="499"/>
      <c r="X76" s="499"/>
      <c r="Y76" s="499"/>
      <c r="Z76" s="499"/>
      <c r="AA76" s="3"/>
      <c r="AB76" s="3"/>
      <c r="AC76" s="3"/>
      <c r="AD76" s="3"/>
      <c r="AE76" s="3"/>
      <c r="AF76" s="3"/>
      <c r="AG76" s="3"/>
      <c r="AH76" s="3"/>
      <c r="AI76" s="3"/>
    </row>
    <row r="77" spans="1:35" ht="18" customHeight="1" x14ac:dyDescent="0.35">
      <c r="A77" s="525"/>
      <c r="B77" s="421"/>
      <c r="C77" s="421"/>
      <c r="D77" s="1967" t="s">
        <v>535</v>
      </c>
      <c r="E77" s="1968"/>
      <c r="F77" s="1968"/>
      <c r="G77" s="1968"/>
      <c r="H77" s="1968"/>
      <c r="I77" s="1968"/>
      <c r="J77" s="1968"/>
      <c r="K77" s="1968"/>
      <c r="L77" s="1968"/>
      <c r="M77" s="1968"/>
      <c r="N77" s="1968"/>
      <c r="O77" s="524"/>
      <c r="P77" s="524"/>
      <c r="Q77" s="499"/>
      <c r="R77" s="499"/>
      <c r="S77" s="499"/>
      <c r="T77" s="499"/>
      <c r="U77" s="499"/>
      <c r="V77" s="499"/>
      <c r="W77" s="499"/>
      <c r="X77" s="499"/>
      <c r="Y77" s="499"/>
      <c r="Z77" s="499"/>
      <c r="AA77" s="23"/>
      <c r="AB77" s="3"/>
      <c r="AC77" s="3"/>
      <c r="AD77" s="3"/>
      <c r="AE77" s="3"/>
      <c r="AF77" s="3"/>
      <c r="AG77" s="3"/>
      <c r="AH77" s="3"/>
      <c r="AI77" s="3"/>
    </row>
    <row r="78" spans="1:35" ht="18" customHeight="1" x14ac:dyDescent="0.35">
      <c r="A78" s="525"/>
      <c r="B78" s="421"/>
      <c r="C78" s="421"/>
      <c r="D78" s="1967" t="s">
        <v>23</v>
      </c>
      <c r="E78" s="1968"/>
      <c r="F78" s="1972" t="s">
        <v>47</v>
      </c>
      <c r="G78" s="1967" t="s">
        <v>476</v>
      </c>
      <c r="H78" s="1968"/>
      <c r="I78" s="1967" t="s">
        <v>477</v>
      </c>
      <c r="J78" s="1967" t="s">
        <v>50</v>
      </c>
      <c r="K78" s="1968"/>
      <c r="L78" s="1967" t="s">
        <v>478</v>
      </c>
      <c r="M78" s="1968"/>
      <c r="N78" s="1971" t="s">
        <v>51</v>
      </c>
      <c r="O78" s="524"/>
      <c r="P78" s="542"/>
      <c r="Q78" s="499"/>
      <c r="R78" s="499"/>
      <c r="S78" s="499"/>
      <c r="T78" s="499"/>
      <c r="U78" s="499"/>
      <c r="V78" s="499"/>
      <c r="W78" s="499"/>
      <c r="X78" s="499"/>
      <c r="Y78" s="499"/>
      <c r="Z78" s="499"/>
      <c r="AA78" s="3"/>
      <c r="AB78" s="3"/>
      <c r="AC78" s="3"/>
      <c r="AD78" s="3"/>
      <c r="AE78" s="3"/>
      <c r="AF78" s="3"/>
      <c r="AG78" s="3"/>
      <c r="AH78" s="3"/>
      <c r="AI78" s="3"/>
    </row>
    <row r="79" spans="1:35" ht="33" customHeight="1" x14ac:dyDescent="0.35">
      <c r="A79" s="525"/>
      <c r="B79" s="421"/>
      <c r="C79" s="562"/>
      <c r="D79" s="462" t="s">
        <v>52</v>
      </c>
      <c r="E79" s="462" t="s">
        <v>53</v>
      </c>
      <c r="F79" s="1973"/>
      <c r="G79" s="462" t="s">
        <v>54</v>
      </c>
      <c r="H79" s="462" t="s">
        <v>55</v>
      </c>
      <c r="I79" s="1968"/>
      <c r="J79" s="462" t="s">
        <v>56</v>
      </c>
      <c r="K79" s="462" t="s">
        <v>514</v>
      </c>
      <c r="L79" s="462" t="s">
        <v>479</v>
      </c>
      <c r="M79" s="463" t="s">
        <v>513</v>
      </c>
      <c r="N79" s="1968"/>
      <c r="O79" s="524"/>
      <c r="P79" s="524"/>
      <c r="Q79" s="499"/>
      <c r="R79" s="499"/>
      <c r="S79" s="499"/>
      <c r="T79" s="499"/>
      <c r="U79" s="499"/>
      <c r="V79" s="499"/>
      <c r="W79" s="499"/>
      <c r="X79" s="499"/>
      <c r="Y79" s="499"/>
      <c r="Z79" s="499"/>
      <c r="AA79" s="3"/>
      <c r="AB79" s="3"/>
      <c r="AC79" s="3"/>
      <c r="AD79" s="3"/>
      <c r="AE79" s="3"/>
      <c r="AF79" s="3"/>
      <c r="AG79" s="3"/>
      <c r="AH79" s="3"/>
      <c r="AI79" s="3"/>
    </row>
    <row r="80" spans="1:35" ht="18" customHeight="1" x14ac:dyDescent="0.35">
      <c r="A80" s="525"/>
      <c r="B80" s="421"/>
      <c r="C80" s="115" t="s">
        <v>851</v>
      </c>
      <c r="D80" s="132">
        <f t="shared" ref="D80:M80" si="10">SUM(D81:D84)</f>
        <v>642.26988326848254</v>
      </c>
      <c r="E80" s="132">
        <f t="shared" si="10"/>
        <v>39.81011673151751</v>
      </c>
      <c r="F80" s="132">
        <f t="shared" si="10"/>
        <v>133.250407523511</v>
      </c>
      <c r="G80" s="132">
        <f t="shared" si="10"/>
        <v>90.52890282131662</v>
      </c>
      <c r="H80" s="132">
        <f t="shared" si="10"/>
        <v>46.79021943573666</v>
      </c>
      <c r="I80" s="132">
        <f t="shared" si="10"/>
        <v>24.412288401253925</v>
      </c>
      <c r="J80" s="132">
        <f t="shared" si="10"/>
        <v>23.39510971786833</v>
      </c>
      <c r="K80" s="132">
        <f t="shared" si="10"/>
        <v>6.1030721003134811</v>
      </c>
      <c r="L80" s="132">
        <f t="shared" si="10"/>
        <v>522</v>
      </c>
      <c r="M80" s="132">
        <f t="shared" si="10"/>
        <v>159</v>
      </c>
      <c r="N80" s="625">
        <f t="shared" ref="N80:N84" si="11">SUM(D80:M80)</f>
        <v>1687.56</v>
      </c>
      <c r="O80" s="524"/>
      <c r="P80" s="543"/>
      <c r="Q80" s="499"/>
      <c r="R80" s="499"/>
      <c r="S80" s="499"/>
      <c r="T80" s="499"/>
      <c r="U80" s="499"/>
      <c r="V80" s="499"/>
      <c r="W80" s="499"/>
      <c r="X80" s="499"/>
      <c r="Y80" s="499"/>
      <c r="Z80" s="499"/>
      <c r="AA80" s="3"/>
      <c r="AB80" s="3"/>
      <c r="AC80" s="3"/>
      <c r="AD80" s="3"/>
      <c r="AE80" s="3"/>
      <c r="AF80" s="3"/>
      <c r="AG80" s="3"/>
      <c r="AH80" s="3"/>
      <c r="AI80" s="3"/>
    </row>
    <row r="81" spans="1:35" ht="18" hidden="1" customHeight="1" x14ac:dyDescent="0.35">
      <c r="A81" s="525"/>
      <c r="B81" s="421"/>
      <c r="C81" s="114" t="s">
        <v>96</v>
      </c>
      <c r="D81" s="138">
        <f t="shared" ref="D81:M81" si="12">D44</f>
        <v>524.30194552529179</v>
      </c>
      <c r="E81" s="138">
        <f t="shared" si="12"/>
        <v>32.498054474708169</v>
      </c>
      <c r="F81" s="138">
        <f t="shared" si="12"/>
        <v>83.281504702194368</v>
      </c>
      <c r="G81" s="138">
        <f t="shared" si="12"/>
        <v>56.580564263322884</v>
      </c>
      <c r="H81" s="138">
        <f t="shared" si="12"/>
        <v>29.243887147335414</v>
      </c>
      <c r="I81" s="138">
        <f t="shared" si="12"/>
        <v>15.2576802507837</v>
      </c>
      <c r="J81" s="138">
        <f t="shared" si="12"/>
        <v>14.621943573667707</v>
      </c>
      <c r="K81" s="138">
        <f t="shared" si="12"/>
        <v>3.814420062695925</v>
      </c>
      <c r="L81" s="138">
        <f t="shared" si="12"/>
        <v>144</v>
      </c>
      <c r="M81" s="138">
        <f t="shared" si="12"/>
        <v>56.400000000000006</v>
      </c>
      <c r="N81" s="626">
        <f t="shared" si="11"/>
        <v>960</v>
      </c>
      <c r="O81" s="524"/>
      <c r="P81" s="543"/>
      <c r="Q81" s="499"/>
      <c r="R81" s="499"/>
      <c r="S81" s="499"/>
      <c r="T81" s="499"/>
      <c r="U81" s="499"/>
      <c r="V81" s="499"/>
      <c r="W81" s="499"/>
      <c r="X81" s="499"/>
      <c r="Y81" s="499"/>
      <c r="Z81" s="499"/>
      <c r="AA81" s="3"/>
      <c r="AB81" s="3"/>
      <c r="AC81" s="3"/>
      <c r="AD81" s="3"/>
      <c r="AE81" s="3"/>
      <c r="AF81" s="3"/>
      <c r="AG81" s="3"/>
      <c r="AH81" s="3"/>
      <c r="AI81" s="3"/>
    </row>
    <row r="82" spans="1:35" ht="18" hidden="1" customHeight="1" x14ac:dyDescent="0.35">
      <c r="A82" s="525"/>
      <c r="B82" s="421"/>
      <c r="C82" s="114" t="s">
        <v>134</v>
      </c>
      <c r="D82" s="138">
        <f t="shared" ref="D82:M82" si="13">D43</f>
        <v>117.96793774319076</v>
      </c>
      <c r="E82" s="138">
        <f t="shared" si="13"/>
        <v>7.312062256809341</v>
      </c>
      <c r="F82" s="138">
        <f t="shared" si="13"/>
        <v>49.968902821316618</v>
      </c>
      <c r="G82" s="138">
        <f t="shared" si="13"/>
        <v>33.948338557993743</v>
      </c>
      <c r="H82" s="138">
        <f t="shared" si="13"/>
        <v>17.546332288401249</v>
      </c>
      <c r="I82" s="138">
        <f t="shared" si="13"/>
        <v>9.1546081504702244</v>
      </c>
      <c r="J82" s="138">
        <f t="shared" si="13"/>
        <v>8.7731661442006246</v>
      </c>
      <c r="K82" s="138">
        <f t="shared" si="13"/>
        <v>2.2886520376175561</v>
      </c>
      <c r="L82" s="138">
        <f t="shared" si="13"/>
        <v>216</v>
      </c>
      <c r="M82" s="138">
        <f t="shared" si="13"/>
        <v>84.6</v>
      </c>
      <c r="N82" s="626">
        <f t="shared" si="11"/>
        <v>547.56000000000017</v>
      </c>
      <c r="O82" s="524"/>
      <c r="P82" s="544"/>
      <c r="Q82" s="499"/>
      <c r="R82" s="499"/>
      <c r="S82" s="499"/>
      <c r="T82" s="499"/>
      <c r="U82" s="499"/>
      <c r="V82" s="499"/>
      <c r="W82" s="499"/>
      <c r="X82" s="499"/>
      <c r="Y82" s="499"/>
      <c r="Z82" s="499"/>
      <c r="AA82" s="3"/>
      <c r="AB82" s="3"/>
      <c r="AC82" s="3"/>
      <c r="AD82" s="3"/>
      <c r="AE82" s="3"/>
      <c r="AF82" s="3"/>
      <c r="AG82" s="3"/>
      <c r="AH82" s="3"/>
      <c r="AI82" s="3"/>
    </row>
    <row r="83" spans="1:35" ht="18" hidden="1" customHeight="1" x14ac:dyDescent="0.35">
      <c r="A83" s="525"/>
      <c r="B83" s="421"/>
      <c r="C83" s="114" t="s">
        <v>135</v>
      </c>
      <c r="D83" s="138"/>
      <c r="E83" s="138"/>
      <c r="F83" s="138"/>
      <c r="G83" s="138"/>
      <c r="H83" s="138"/>
      <c r="I83" s="138"/>
      <c r="J83" s="138"/>
      <c r="K83" s="138"/>
      <c r="L83" s="138">
        <f>N34</f>
        <v>145.80000000000001</v>
      </c>
      <c r="M83" s="138">
        <f>N35</f>
        <v>16.2</v>
      </c>
      <c r="N83" s="626">
        <f t="shared" si="11"/>
        <v>162</v>
      </c>
      <c r="O83" s="524"/>
      <c r="P83" s="545"/>
      <c r="Q83" s="499"/>
      <c r="R83" s="499"/>
      <c r="S83" s="499"/>
      <c r="T83" s="499"/>
      <c r="U83" s="499"/>
      <c r="V83" s="499"/>
      <c r="W83" s="499"/>
      <c r="X83" s="499"/>
      <c r="Y83" s="499"/>
      <c r="Z83" s="499"/>
      <c r="AA83" s="3"/>
      <c r="AB83" s="3"/>
      <c r="AC83" s="3"/>
      <c r="AD83" s="3"/>
      <c r="AE83" s="3"/>
      <c r="AF83" s="3"/>
      <c r="AG83" s="3"/>
      <c r="AH83" s="3"/>
      <c r="AI83" s="3"/>
    </row>
    <row r="84" spans="1:35" ht="18" hidden="1" customHeight="1" x14ac:dyDescent="0.35">
      <c r="A84" s="525"/>
      <c r="B84" s="421"/>
      <c r="C84" s="114" t="s">
        <v>136</v>
      </c>
      <c r="D84" s="138"/>
      <c r="E84" s="138"/>
      <c r="F84" s="138"/>
      <c r="G84" s="138"/>
      <c r="H84" s="138"/>
      <c r="I84" s="138"/>
      <c r="J84" s="138"/>
      <c r="K84" s="138"/>
      <c r="L84" s="138">
        <f>M34</f>
        <v>16.199999999999996</v>
      </c>
      <c r="M84" s="138">
        <f>M35</f>
        <v>1.7999999999999998</v>
      </c>
      <c r="N84" s="626">
        <f t="shared" si="11"/>
        <v>17.999999999999996</v>
      </c>
      <c r="O84" s="524"/>
      <c r="P84" s="524"/>
      <c r="Q84" s="499"/>
      <c r="R84" s="499"/>
      <c r="S84" s="499"/>
      <c r="T84" s="499"/>
      <c r="U84" s="499"/>
      <c r="V84" s="499"/>
      <c r="W84" s="499"/>
      <c r="X84" s="499"/>
      <c r="Y84" s="499"/>
      <c r="Z84" s="499"/>
      <c r="AA84" s="3"/>
      <c r="AB84" s="3"/>
      <c r="AC84" s="3"/>
      <c r="AD84" s="3"/>
      <c r="AE84" s="3"/>
      <c r="AF84" s="3"/>
      <c r="AG84" s="3"/>
      <c r="AH84" s="3"/>
      <c r="AI84" s="3"/>
    </row>
    <row r="85" spans="1:35" ht="2.15" customHeight="1" x14ac:dyDescent="0.35">
      <c r="A85" s="525"/>
      <c r="B85" s="421"/>
      <c r="C85" s="135"/>
      <c r="D85" s="133"/>
      <c r="E85" s="133"/>
      <c r="F85" s="134"/>
      <c r="G85" s="133"/>
      <c r="H85" s="133"/>
      <c r="I85" s="133"/>
      <c r="J85" s="133"/>
      <c r="K85" s="133"/>
      <c r="L85" s="139"/>
      <c r="M85" s="139"/>
      <c r="N85" s="139"/>
      <c r="O85" s="524"/>
      <c r="P85" s="524"/>
      <c r="Q85" s="499"/>
      <c r="R85" s="499"/>
      <c r="S85" s="499"/>
      <c r="T85" s="499"/>
      <c r="U85" s="499"/>
      <c r="V85" s="499"/>
      <c r="W85" s="499"/>
      <c r="X85" s="499"/>
      <c r="Y85" s="499"/>
      <c r="Z85" s="499"/>
      <c r="AA85" s="3"/>
      <c r="AB85" s="3"/>
      <c r="AC85" s="3"/>
      <c r="AD85" s="3"/>
      <c r="AE85" s="3"/>
      <c r="AF85" s="3"/>
      <c r="AG85" s="3"/>
      <c r="AH85" s="3"/>
      <c r="AI85" s="3"/>
    </row>
    <row r="86" spans="1:35" ht="18" customHeight="1" x14ac:dyDescent="0.35">
      <c r="A86" s="525"/>
      <c r="B86" s="421"/>
      <c r="C86" s="115" t="s">
        <v>850</v>
      </c>
      <c r="D86" s="197">
        <f t="shared" ref="D86:M86" si="14">SUM(D87:D89)</f>
        <v>0</v>
      </c>
      <c r="E86" s="197">
        <f t="shared" si="14"/>
        <v>0</v>
      </c>
      <c r="F86" s="197">
        <f t="shared" si="14"/>
        <v>0</v>
      </c>
      <c r="G86" s="197">
        <f t="shared" si="14"/>
        <v>0</v>
      </c>
      <c r="H86" s="197">
        <f t="shared" si="14"/>
        <v>0</v>
      </c>
      <c r="I86" s="197">
        <f t="shared" si="14"/>
        <v>0</v>
      </c>
      <c r="J86" s="197">
        <f t="shared" si="14"/>
        <v>0</v>
      </c>
      <c r="K86" s="197">
        <f t="shared" si="14"/>
        <v>0</v>
      </c>
      <c r="L86" s="197">
        <f t="shared" si="14"/>
        <v>162</v>
      </c>
      <c r="M86" s="197">
        <f t="shared" si="14"/>
        <v>0</v>
      </c>
      <c r="N86" s="197">
        <f t="shared" ref="N86:N90" si="15">SUM(D86:M86)</f>
        <v>162</v>
      </c>
      <c r="O86" s="524"/>
      <c r="P86" s="524"/>
      <c r="Q86" s="499"/>
      <c r="R86" s="499"/>
      <c r="S86" s="499"/>
      <c r="T86" s="499"/>
      <c r="U86" s="499"/>
      <c r="V86" s="499"/>
      <c r="W86" s="499"/>
      <c r="X86" s="499"/>
      <c r="Y86" s="499"/>
      <c r="Z86" s="499"/>
      <c r="AA86" s="3"/>
      <c r="AB86" s="3"/>
      <c r="AC86" s="3"/>
      <c r="AD86" s="3"/>
      <c r="AE86" s="3"/>
      <c r="AF86" s="3"/>
      <c r="AG86" s="3"/>
      <c r="AH86" s="3"/>
      <c r="AI86" s="3"/>
    </row>
    <row r="87" spans="1:35" ht="18" hidden="1" customHeight="1" x14ac:dyDescent="0.35">
      <c r="A87" s="525"/>
      <c r="B87" s="421"/>
      <c r="C87" s="114" t="s">
        <v>134</v>
      </c>
      <c r="D87" s="153">
        <f t="shared" ref="D87:H87" si="16">IF($E$51&gt;0,D43,0)</f>
        <v>0</v>
      </c>
      <c r="E87" s="140">
        <f t="shared" si="16"/>
        <v>0</v>
      </c>
      <c r="F87" s="140">
        <f t="shared" si="16"/>
        <v>0</v>
      </c>
      <c r="G87" s="140">
        <f t="shared" si="16"/>
        <v>0</v>
      </c>
      <c r="H87" s="140">
        <f t="shared" si="16"/>
        <v>0</v>
      </c>
      <c r="I87" s="130"/>
      <c r="J87" s="130"/>
      <c r="K87" s="130"/>
      <c r="L87" s="153">
        <f>IF($E$51&gt;0,L43,0)</f>
        <v>0</v>
      </c>
      <c r="M87" s="140"/>
      <c r="N87" s="633">
        <f t="shared" si="15"/>
        <v>0</v>
      </c>
      <c r="O87" s="524"/>
      <c r="P87" s="545"/>
      <c r="Q87" s="499"/>
      <c r="R87" s="499"/>
      <c r="S87" s="499"/>
      <c r="T87" s="499"/>
      <c r="U87" s="499"/>
      <c r="V87" s="499"/>
      <c r="W87" s="499"/>
      <c r="X87" s="499"/>
      <c r="Y87" s="499"/>
      <c r="Z87" s="499"/>
      <c r="AA87" s="3"/>
      <c r="AB87" s="3"/>
      <c r="AC87" s="3"/>
      <c r="AD87" s="3"/>
      <c r="AE87" s="3"/>
      <c r="AF87" s="3"/>
      <c r="AG87" s="3"/>
      <c r="AH87" s="3"/>
      <c r="AI87" s="3"/>
    </row>
    <row r="88" spans="1:35" ht="18" hidden="1" customHeight="1" x14ac:dyDescent="0.35">
      <c r="A88" s="525"/>
      <c r="B88" s="421"/>
      <c r="C88" s="114" t="s">
        <v>135</v>
      </c>
      <c r="D88" s="130"/>
      <c r="E88" s="130"/>
      <c r="F88" s="131"/>
      <c r="G88" s="130"/>
      <c r="H88" s="130"/>
      <c r="I88" s="130"/>
      <c r="J88" s="130"/>
      <c r="K88" s="130"/>
      <c r="L88" s="153">
        <f>IF(E50&gt;0,N34,0)</f>
        <v>145.80000000000001</v>
      </c>
      <c r="M88" s="140"/>
      <c r="N88" s="633">
        <f t="shared" si="15"/>
        <v>145.80000000000001</v>
      </c>
      <c r="O88" s="524"/>
      <c r="P88" s="524"/>
      <c r="Q88" s="499"/>
      <c r="R88" s="499"/>
      <c r="S88" s="499"/>
      <c r="T88" s="499"/>
      <c r="U88" s="499"/>
      <c r="V88" s="499"/>
      <c r="W88" s="499"/>
      <c r="X88" s="499"/>
      <c r="Y88" s="499"/>
      <c r="Z88" s="499"/>
      <c r="AA88" s="3"/>
      <c r="AB88" s="3"/>
      <c r="AC88" s="3"/>
      <c r="AD88" s="3"/>
      <c r="AE88" s="3"/>
      <c r="AF88" s="3"/>
      <c r="AG88" s="3"/>
      <c r="AH88" s="3"/>
      <c r="AI88" s="3"/>
    </row>
    <row r="89" spans="1:35" ht="18" hidden="1" customHeight="1" x14ac:dyDescent="0.35">
      <c r="A89" s="525"/>
      <c r="B89" s="421"/>
      <c r="C89" s="114" t="s">
        <v>136</v>
      </c>
      <c r="D89" s="130"/>
      <c r="E89" s="130"/>
      <c r="F89" s="131"/>
      <c r="G89" s="130"/>
      <c r="H89" s="130"/>
      <c r="I89" s="130"/>
      <c r="J89" s="130"/>
      <c r="K89" s="130"/>
      <c r="L89" s="153">
        <f>IF(E49&gt;0,M34,0)</f>
        <v>16.199999999999996</v>
      </c>
      <c r="M89" s="140"/>
      <c r="N89" s="633">
        <f t="shared" si="15"/>
        <v>16.199999999999996</v>
      </c>
      <c r="O89" s="524"/>
      <c r="P89" s="524"/>
      <c r="Q89" s="499"/>
      <c r="R89" s="499"/>
      <c r="S89" s="499"/>
      <c r="T89" s="499"/>
      <c r="U89" s="499"/>
      <c r="V89" s="499"/>
      <c r="W89" s="499"/>
      <c r="X89" s="499"/>
      <c r="Y89" s="499"/>
      <c r="Z89" s="499"/>
      <c r="AA89" s="3"/>
      <c r="AB89" s="3"/>
      <c r="AC89" s="3"/>
      <c r="AD89" s="3"/>
      <c r="AE89" s="3"/>
      <c r="AF89" s="3"/>
      <c r="AG89" s="3"/>
      <c r="AH89" s="3"/>
      <c r="AI89" s="3"/>
    </row>
    <row r="90" spans="1:35" ht="18" customHeight="1" x14ac:dyDescent="0.35">
      <c r="A90" s="525"/>
      <c r="B90" s="421"/>
      <c r="C90" s="115" t="s">
        <v>557</v>
      </c>
      <c r="D90" s="132">
        <f t="shared" ref="D90:M90" si="17">D80-D86</f>
        <v>642.26988326848254</v>
      </c>
      <c r="E90" s="132">
        <f t="shared" si="17"/>
        <v>39.81011673151751</v>
      </c>
      <c r="F90" s="132">
        <f t="shared" si="17"/>
        <v>133.250407523511</v>
      </c>
      <c r="G90" s="132">
        <f t="shared" si="17"/>
        <v>90.52890282131662</v>
      </c>
      <c r="H90" s="132">
        <f t="shared" si="17"/>
        <v>46.79021943573666</v>
      </c>
      <c r="I90" s="132">
        <f t="shared" si="17"/>
        <v>24.412288401253925</v>
      </c>
      <c r="J90" s="132">
        <f t="shared" si="17"/>
        <v>23.39510971786833</v>
      </c>
      <c r="K90" s="132">
        <f t="shared" si="17"/>
        <v>6.1030721003134811</v>
      </c>
      <c r="L90" s="132">
        <f t="shared" si="17"/>
        <v>360</v>
      </c>
      <c r="M90" s="132">
        <f t="shared" si="17"/>
        <v>159</v>
      </c>
      <c r="N90" s="625">
        <f t="shared" si="15"/>
        <v>1525.56</v>
      </c>
      <c r="O90" s="524"/>
      <c r="P90" s="543"/>
      <c r="Q90" s="499"/>
      <c r="R90" s="499"/>
      <c r="S90" s="499"/>
      <c r="T90" s="499"/>
      <c r="U90" s="499"/>
      <c r="V90" s="499"/>
      <c r="W90" s="499"/>
      <c r="X90" s="499"/>
      <c r="Y90" s="499"/>
      <c r="Z90" s="499"/>
      <c r="AA90" s="3"/>
      <c r="AB90" s="3"/>
      <c r="AC90" s="3"/>
      <c r="AD90" s="3"/>
      <c r="AE90" s="3"/>
      <c r="AF90" s="3"/>
      <c r="AG90" s="3"/>
      <c r="AH90" s="3"/>
      <c r="AI90" s="3"/>
    </row>
    <row r="91" spans="1:35" ht="2.15" customHeight="1" x14ac:dyDescent="0.35">
      <c r="A91" s="525"/>
      <c r="B91" s="421"/>
      <c r="C91" s="464"/>
      <c r="D91" s="146"/>
      <c r="E91" s="146"/>
      <c r="F91" s="146"/>
      <c r="G91" s="146"/>
      <c r="H91" s="146"/>
      <c r="I91" s="146"/>
      <c r="J91" s="146"/>
      <c r="K91" s="146"/>
      <c r="L91" s="146"/>
      <c r="M91" s="146"/>
      <c r="N91" s="146"/>
      <c r="O91" s="524"/>
      <c r="P91" s="524"/>
      <c r="Q91" s="499"/>
      <c r="R91" s="499"/>
      <c r="S91" s="499"/>
      <c r="T91" s="499"/>
      <c r="U91" s="499"/>
      <c r="V91" s="499"/>
      <c r="W91" s="499"/>
      <c r="X91" s="499"/>
      <c r="Y91" s="499"/>
      <c r="Z91" s="499"/>
      <c r="AA91" s="3"/>
      <c r="AB91" s="3"/>
      <c r="AC91" s="3"/>
      <c r="AD91" s="3"/>
      <c r="AE91" s="3"/>
      <c r="AF91" s="3"/>
      <c r="AG91" s="3"/>
      <c r="AH91" s="3"/>
      <c r="AI91" s="3"/>
    </row>
    <row r="92" spans="1:35" ht="18" customHeight="1" x14ac:dyDescent="0.35">
      <c r="A92" s="525"/>
      <c r="B92" s="421"/>
      <c r="C92" s="114" t="s">
        <v>137</v>
      </c>
      <c r="D92" s="197">
        <f t="shared" ref="D92:E92" si="18">D90-D94+D97</f>
        <v>117.96793774319076</v>
      </c>
      <c r="E92" s="197">
        <f t="shared" si="18"/>
        <v>7.312062256809341</v>
      </c>
      <c r="F92" s="197">
        <f t="shared" ref="F92:L92" si="19">F90-F94</f>
        <v>49.968902821316632</v>
      </c>
      <c r="G92" s="197">
        <f t="shared" si="19"/>
        <v>33.948338557993736</v>
      </c>
      <c r="H92" s="197">
        <f t="shared" si="19"/>
        <v>17.546332288401246</v>
      </c>
      <c r="I92" s="197">
        <f t="shared" si="19"/>
        <v>9.1546081504702244</v>
      </c>
      <c r="J92" s="197">
        <f t="shared" si="19"/>
        <v>8.7731661442006228</v>
      </c>
      <c r="K92" s="197">
        <f t="shared" si="19"/>
        <v>2.2886520376175561</v>
      </c>
      <c r="L92" s="197">
        <f t="shared" si="19"/>
        <v>216</v>
      </c>
      <c r="M92" s="197">
        <f>M90-M94+M100+M101</f>
        <v>84.6</v>
      </c>
      <c r="N92" s="197">
        <f>SUM(D92:M93)</f>
        <v>547.56000000000006</v>
      </c>
      <c r="O92" s="524"/>
      <c r="P92" s="524"/>
      <c r="Q92" s="499"/>
      <c r="R92" s="499"/>
      <c r="S92" s="499"/>
      <c r="T92" s="499"/>
      <c r="U92" s="499"/>
      <c r="V92" s="499"/>
      <c r="W92" s="499"/>
      <c r="X92" s="499"/>
      <c r="Y92" s="499"/>
      <c r="Z92" s="499"/>
      <c r="AA92" s="3"/>
      <c r="AB92" s="3"/>
      <c r="AC92" s="3"/>
      <c r="AD92" s="3"/>
      <c r="AE92" s="3"/>
      <c r="AF92" s="3"/>
      <c r="AG92" s="3"/>
      <c r="AH92" s="3"/>
      <c r="AI92" s="3"/>
    </row>
    <row r="93" spans="1:35" ht="2.15" customHeight="1" x14ac:dyDescent="0.35">
      <c r="A93" s="525"/>
      <c r="B93" s="421"/>
      <c r="C93" s="464"/>
      <c r="D93" s="238"/>
      <c r="E93" s="238"/>
      <c r="F93" s="238"/>
      <c r="G93" s="238"/>
      <c r="H93" s="238"/>
      <c r="I93" s="238"/>
      <c r="J93" s="238"/>
      <c r="K93" s="238"/>
      <c r="L93" s="238"/>
      <c r="M93" s="238"/>
      <c r="N93" s="634"/>
      <c r="O93" s="524"/>
      <c r="P93" s="524"/>
      <c r="Q93" s="499"/>
      <c r="R93" s="499"/>
      <c r="S93" s="499"/>
      <c r="T93" s="499"/>
      <c r="U93" s="499"/>
      <c r="V93" s="499"/>
      <c r="W93" s="499"/>
      <c r="X93" s="499"/>
      <c r="Y93" s="499"/>
      <c r="Z93" s="499"/>
      <c r="AA93" s="3"/>
      <c r="AB93" s="3"/>
      <c r="AC93" s="3"/>
      <c r="AD93" s="3"/>
      <c r="AE93" s="3"/>
      <c r="AF93" s="3"/>
      <c r="AG93" s="3"/>
      <c r="AH93" s="3"/>
      <c r="AI93" s="3"/>
    </row>
    <row r="94" spans="1:35" ht="18" customHeight="1" x14ac:dyDescent="0.35">
      <c r="A94" s="525"/>
      <c r="B94" s="421"/>
      <c r="C94" s="114" t="s">
        <v>138</v>
      </c>
      <c r="D94" s="197">
        <f t="shared" ref="D94:L94" si="20">SUM(D95:D99)</f>
        <v>524.30194552529179</v>
      </c>
      <c r="E94" s="197">
        <f t="shared" si="20"/>
        <v>32.498054474708169</v>
      </c>
      <c r="F94" s="197">
        <f t="shared" si="20"/>
        <v>83.281504702194368</v>
      </c>
      <c r="G94" s="197">
        <f t="shared" si="20"/>
        <v>56.580564263322884</v>
      </c>
      <c r="H94" s="197">
        <f t="shared" si="20"/>
        <v>29.243887147335414</v>
      </c>
      <c r="I94" s="197">
        <f t="shared" si="20"/>
        <v>15.2576802507837</v>
      </c>
      <c r="J94" s="197">
        <f t="shared" si="20"/>
        <v>14.621943573667707</v>
      </c>
      <c r="K94" s="197">
        <f t="shared" si="20"/>
        <v>3.814420062695925</v>
      </c>
      <c r="L94" s="197">
        <f t="shared" si="20"/>
        <v>144</v>
      </c>
      <c r="M94" s="197">
        <f>SUM(M95:M101)</f>
        <v>240.70860000000005</v>
      </c>
      <c r="N94" s="197">
        <f t="shared" ref="N94:N101" si="21">SUM(D94:M94)</f>
        <v>1144.3086000000001</v>
      </c>
      <c r="O94" s="524"/>
      <c r="P94" s="545"/>
      <c r="Q94" s="499"/>
      <c r="R94" s="499"/>
      <c r="S94" s="499"/>
      <c r="T94" s="499"/>
      <c r="U94" s="499"/>
      <c r="V94" s="499"/>
      <c r="W94" s="499"/>
      <c r="X94" s="499"/>
      <c r="Y94" s="499"/>
      <c r="Z94" s="499"/>
      <c r="AA94" s="3"/>
      <c r="AB94" s="3"/>
      <c r="AC94" s="3"/>
      <c r="AD94" s="3"/>
      <c r="AE94" s="3"/>
      <c r="AF94" s="3"/>
      <c r="AG94" s="3"/>
      <c r="AH94" s="3"/>
      <c r="AI94" s="3"/>
    </row>
    <row r="95" spans="1:35" ht="18" hidden="1" customHeight="1" x14ac:dyDescent="0.35">
      <c r="A95" s="525"/>
      <c r="B95" s="421"/>
      <c r="C95" s="114" t="s">
        <v>96</v>
      </c>
      <c r="D95" s="138">
        <f t="shared" ref="D95:K95" si="22">IF($H$106&lt;&gt;"Sim",D81,0)</f>
        <v>524.30194552529179</v>
      </c>
      <c r="E95" s="138">
        <f t="shared" si="22"/>
        <v>32.498054474708169</v>
      </c>
      <c r="F95" s="138">
        <f t="shared" si="22"/>
        <v>83.281504702194368</v>
      </c>
      <c r="G95" s="138">
        <f t="shared" si="22"/>
        <v>56.580564263322884</v>
      </c>
      <c r="H95" s="138">
        <f t="shared" si="22"/>
        <v>29.243887147335414</v>
      </c>
      <c r="I95" s="138">
        <f t="shared" si="22"/>
        <v>15.2576802507837</v>
      </c>
      <c r="J95" s="138">
        <f t="shared" si="22"/>
        <v>14.621943573667707</v>
      </c>
      <c r="K95" s="138">
        <f t="shared" si="22"/>
        <v>3.814420062695925</v>
      </c>
      <c r="L95" s="138">
        <f>IF(H106&lt;&gt;"Sim",L81,0)</f>
        <v>144</v>
      </c>
      <c r="M95" s="138">
        <f>IF(H106&lt;&gt;"Sim",M81,0)</f>
        <v>56.400000000000006</v>
      </c>
      <c r="N95" s="626">
        <f t="shared" si="21"/>
        <v>960</v>
      </c>
      <c r="O95" s="524"/>
      <c r="P95" s="545"/>
      <c r="Q95" s="499"/>
      <c r="R95" s="499"/>
      <c r="S95" s="499"/>
      <c r="T95" s="499"/>
      <c r="U95" s="499"/>
      <c r="V95" s="499"/>
      <c r="W95" s="499"/>
      <c r="X95" s="499"/>
      <c r="Y95" s="499"/>
      <c r="Z95" s="499"/>
      <c r="AA95" s="3"/>
      <c r="AB95" s="3"/>
      <c r="AC95" s="3"/>
      <c r="AD95" s="3"/>
      <c r="AE95" s="3"/>
      <c r="AF95" s="3"/>
      <c r="AG95" s="3"/>
      <c r="AH95" s="3"/>
      <c r="AI95" s="3"/>
    </row>
    <row r="96" spans="1:35" ht="18" hidden="1" customHeight="1" x14ac:dyDescent="0.35">
      <c r="A96" s="525"/>
      <c r="B96" s="421"/>
      <c r="C96" s="114" t="s">
        <v>134</v>
      </c>
      <c r="D96" s="138">
        <f t="shared" ref="D96:K96" si="23">IF($E$110&gt;0,0,D82-D86)</f>
        <v>0</v>
      </c>
      <c r="E96" s="138">
        <f t="shared" si="23"/>
        <v>0</v>
      </c>
      <c r="F96" s="138">
        <f t="shared" si="23"/>
        <v>0</v>
      </c>
      <c r="G96" s="138">
        <f t="shared" si="23"/>
        <v>0</v>
      </c>
      <c r="H96" s="138">
        <f t="shared" si="23"/>
        <v>0</v>
      </c>
      <c r="I96" s="138">
        <f t="shared" si="23"/>
        <v>0</v>
      </c>
      <c r="J96" s="138">
        <f t="shared" si="23"/>
        <v>0</v>
      </c>
      <c r="K96" s="138">
        <f t="shared" si="23"/>
        <v>0</v>
      </c>
      <c r="L96" s="138">
        <f>IF(OR($I$28="Incineração",I28="CDR"),0,L43)</f>
        <v>0</v>
      </c>
      <c r="M96" s="138">
        <f>IF($I$28="Incineração",0,M43)</f>
        <v>0</v>
      </c>
      <c r="N96" s="626">
        <f t="shared" si="21"/>
        <v>0</v>
      </c>
      <c r="O96" s="524"/>
      <c r="P96" s="545"/>
      <c r="Q96" s="499"/>
      <c r="R96" s="499"/>
      <c r="S96" s="499"/>
      <c r="T96" s="499"/>
      <c r="U96" s="499"/>
      <c r="V96" s="499"/>
      <c r="W96" s="499"/>
      <c r="X96" s="499"/>
      <c r="Y96" s="499"/>
      <c r="Z96" s="499"/>
      <c r="AA96" s="3"/>
      <c r="AB96" s="3"/>
      <c r="AC96" s="3"/>
      <c r="AD96" s="3"/>
      <c r="AE96" s="3"/>
      <c r="AF96" s="3"/>
      <c r="AG96" s="3"/>
      <c r="AH96" s="3"/>
      <c r="AI96" s="3"/>
    </row>
    <row r="97" spans="1:35" ht="18" hidden="1" customHeight="1" x14ac:dyDescent="0.35">
      <c r="A97" s="525"/>
      <c r="B97" s="421"/>
      <c r="C97" s="114" t="s">
        <v>139</v>
      </c>
      <c r="D97" s="138">
        <f>IF(I29="Aterro sanitário",O32,0)</f>
        <v>0</v>
      </c>
      <c r="E97" s="138">
        <f>IF(I29="Aterro sanitário",O33,0)</f>
        <v>0</v>
      </c>
      <c r="F97" s="138"/>
      <c r="G97" s="138"/>
      <c r="H97" s="138"/>
      <c r="I97" s="138"/>
      <c r="J97" s="138"/>
      <c r="K97" s="138"/>
      <c r="L97" s="138"/>
      <c r="M97" s="138"/>
      <c r="N97" s="626">
        <f t="shared" si="21"/>
        <v>0</v>
      </c>
      <c r="O97" s="524"/>
      <c r="P97" s="545"/>
      <c r="Q97" s="499"/>
      <c r="R97" s="499"/>
      <c r="S97" s="499"/>
      <c r="T97" s="499"/>
      <c r="U97" s="499"/>
      <c r="V97" s="499"/>
      <c r="W97" s="499"/>
      <c r="X97" s="499"/>
      <c r="Y97" s="499"/>
      <c r="Z97" s="499"/>
      <c r="AA97" s="3"/>
      <c r="AB97" s="3"/>
      <c r="AC97" s="3"/>
      <c r="AD97" s="3"/>
      <c r="AE97" s="3"/>
      <c r="AF97" s="3"/>
      <c r="AG97" s="3"/>
      <c r="AH97" s="3"/>
      <c r="AI97" s="3"/>
    </row>
    <row r="98" spans="1:35" ht="18" hidden="1" customHeight="1" x14ac:dyDescent="0.35">
      <c r="A98" s="525"/>
      <c r="B98" s="421"/>
      <c r="C98" s="114" t="s">
        <v>135</v>
      </c>
      <c r="D98" s="138"/>
      <c r="E98" s="138"/>
      <c r="F98" s="138"/>
      <c r="G98" s="138"/>
      <c r="H98" s="138"/>
      <c r="I98" s="138"/>
      <c r="J98" s="138"/>
      <c r="K98" s="138"/>
      <c r="L98" s="138">
        <f>IF(OR($E$34="Incineração",$E$34="CDR"),0,$N$34)</f>
        <v>0</v>
      </c>
      <c r="M98" s="138">
        <f>IF($E$34="Incineração",0,$N$35)</f>
        <v>16.2</v>
      </c>
      <c r="N98" s="626">
        <f t="shared" si="21"/>
        <v>16.2</v>
      </c>
      <c r="O98" s="524"/>
      <c r="P98" s="545"/>
      <c r="Q98" s="499"/>
      <c r="R98" s="499"/>
      <c r="S98" s="499"/>
      <c r="T98" s="499"/>
      <c r="U98" s="499"/>
      <c r="V98" s="499"/>
      <c r="W98" s="499"/>
      <c r="X98" s="499"/>
      <c r="Y98" s="499"/>
      <c r="Z98" s="499"/>
      <c r="AA98" s="3"/>
      <c r="AB98" s="3"/>
      <c r="AC98" s="3"/>
      <c r="AD98" s="3"/>
      <c r="AE98" s="3"/>
      <c r="AF98" s="3"/>
      <c r="AG98" s="3"/>
      <c r="AH98" s="3"/>
      <c r="AI98" s="3"/>
    </row>
    <row r="99" spans="1:35" ht="18" hidden="1" customHeight="1" x14ac:dyDescent="0.35">
      <c r="A99" s="525"/>
      <c r="B99" s="421"/>
      <c r="C99" s="114" t="s">
        <v>136</v>
      </c>
      <c r="D99" s="138"/>
      <c r="E99" s="138"/>
      <c r="F99" s="138"/>
      <c r="G99" s="138"/>
      <c r="H99" s="138"/>
      <c r="I99" s="138"/>
      <c r="J99" s="138"/>
      <c r="K99" s="138"/>
      <c r="L99" s="138">
        <f>IF(OR($E$30="Incineração",$E$30="CDR"),0,M34)</f>
        <v>0</v>
      </c>
      <c r="M99" s="138">
        <f>IF($E$30="Incineração",0,$M$35)</f>
        <v>1.7999999999999998</v>
      </c>
      <c r="N99" s="626">
        <f t="shared" si="21"/>
        <v>1.7999999999999998</v>
      </c>
      <c r="O99" s="524"/>
      <c r="P99" s="545"/>
      <c r="Q99" s="499"/>
      <c r="R99" s="499"/>
      <c r="S99" s="499"/>
      <c r="T99" s="499"/>
      <c r="U99" s="499"/>
      <c r="V99" s="499"/>
      <c r="W99" s="499"/>
      <c r="X99" s="499"/>
      <c r="Y99" s="499"/>
      <c r="Z99" s="499"/>
      <c r="AA99" s="3"/>
      <c r="AB99" s="3"/>
      <c r="AC99" s="3"/>
      <c r="AD99" s="3"/>
      <c r="AE99" s="3"/>
      <c r="AF99" s="3"/>
      <c r="AG99" s="3"/>
      <c r="AH99" s="3"/>
      <c r="AI99" s="3"/>
    </row>
    <row r="100" spans="1:35" ht="18" hidden="1" customHeight="1" x14ac:dyDescent="0.35">
      <c r="A100" s="525"/>
      <c r="B100" s="421"/>
      <c r="C100" s="114" t="s">
        <v>140</v>
      </c>
      <c r="D100" s="138"/>
      <c r="E100" s="138"/>
      <c r="F100" s="138"/>
      <c r="G100" s="138"/>
      <c r="H100" s="138"/>
      <c r="I100" s="138"/>
      <c r="J100" s="138"/>
      <c r="K100" s="138"/>
      <c r="L100" s="138"/>
      <c r="M100" s="138">
        <f>O73+O53</f>
        <v>56.796599999999998</v>
      </c>
      <c r="N100" s="626">
        <f t="shared" si="21"/>
        <v>56.796599999999998</v>
      </c>
      <c r="O100" s="524"/>
      <c r="P100" s="545"/>
      <c r="Q100" s="499"/>
      <c r="R100" s="499"/>
      <c r="S100" s="499"/>
      <c r="T100" s="499"/>
      <c r="U100" s="499"/>
      <c r="V100" s="499"/>
      <c r="W100" s="499"/>
      <c r="X100" s="499"/>
      <c r="Y100" s="499"/>
      <c r="Z100" s="499"/>
      <c r="AA100" s="3"/>
      <c r="AB100" s="3"/>
      <c r="AC100" s="3"/>
      <c r="AD100" s="3"/>
      <c r="AE100" s="3"/>
      <c r="AF100" s="3"/>
      <c r="AG100" s="3"/>
      <c r="AH100" s="3"/>
      <c r="AI100" s="3"/>
    </row>
    <row r="101" spans="1:35" ht="18" hidden="1" customHeight="1" x14ac:dyDescent="0.35">
      <c r="A101" s="525"/>
      <c r="B101" s="421"/>
      <c r="C101" s="114" t="s">
        <v>141</v>
      </c>
      <c r="D101" s="138"/>
      <c r="E101" s="138"/>
      <c r="F101" s="138"/>
      <c r="G101" s="138"/>
      <c r="H101" s="138"/>
      <c r="I101" s="138"/>
      <c r="J101" s="138"/>
      <c r="K101" s="138"/>
      <c r="L101" s="138"/>
      <c r="M101" s="138">
        <f>O110</f>
        <v>109.51200000000004</v>
      </c>
      <c r="N101" s="626">
        <f t="shared" si="21"/>
        <v>109.51200000000004</v>
      </c>
      <c r="O101" s="524"/>
      <c r="P101" s="524"/>
      <c r="Q101" s="499"/>
      <c r="R101" s="499"/>
      <c r="S101" s="499"/>
      <c r="T101" s="499"/>
      <c r="U101" s="499"/>
      <c r="V101" s="499"/>
      <c r="W101" s="499"/>
      <c r="X101" s="499"/>
      <c r="Y101" s="499"/>
      <c r="Z101" s="499"/>
      <c r="AA101" s="3"/>
      <c r="AB101" s="3"/>
      <c r="AC101" s="3"/>
      <c r="AD101" s="3"/>
      <c r="AE101" s="3"/>
      <c r="AF101" s="3"/>
      <c r="AG101" s="3"/>
      <c r="AH101" s="3"/>
      <c r="AI101" s="3"/>
    </row>
    <row r="102" spans="1:35" ht="18" customHeight="1" x14ac:dyDescent="0.35">
      <c r="A102" s="525"/>
      <c r="B102" s="632"/>
      <c r="C102" s="630"/>
      <c r="D102" s="524"/>
      <c r="E102" s="524"/>
      <c r="F102" s="524"/>
      <c r="G102" s="524"/>
      <c r="H102" s="524"/>
      <c r="I102" s="524"/>
      <c r="J102" s="524"/>
      <c r="K102" s="524"/>
      <c r="L102" s="524"/>
      <c r="M102" s="524"/>
      <c r="N102" s="524"/>
      <c r="O102" s="524"/>
      <c r="P102" s="524"/>
      <c r="Q102" s="499"/>
      <c r="R102" s="499"/>
      <c r="S102" s="499"/>
      <c r="T102" s="499"/>
      <c r="U102" s="499"/>
      <c r="V102" s="499"/>
      <c r="W102" s="499"/>
      <c r="X102" s="499"/>
      <c r="Y102" s="499"/>
      <c r="Z102" s="499"/>
      <c r="AA102" s="3"/>
      <c r="AB102" s="3"/>
      <c r="AC102" s="3"/>
      <c r="AD102" s="3"/>
      <c r="AE102" s="3"/>
      <c r="AF102" s="3"/>
      <c r="AG102" s="3"/>
      <c r="AH102" s="3"/>
      <c r="AI102" s="3"/>
    </row>
    <row r="103" spans="1:35" ht="18" customHeight="1" x14ac:dyDescent="0.35">
      <c r="A103" s="525"/>
      <c r="B103" s="524"/>
      <c r="C103" s="565"/>
      <c r="D103" s="563"/>
      <c r="E103" s="563"/>
      <c r="F103" s="563"/>
      <c r="G103" s="563"/>
      <c r="H103" s="563"/>
      <c r="I103" s="563"/>
      <c r="J103" s="563"/>
      <c r="K103" s="563"/>
      <c r="L103" s="563"/>
      <c r="M103" s="563"/>
      <c r="N103" s="563"/>
      <c r="O103" s="524"/>
      <c r="P103" s="524"/>
      <c r="Q103" s="499"/>
      <c r="R103" s="499"/>
      <c r="S103" s="499"/>
      <c r="T103" s="499"/>
      <c r="U103" s="499"/>
      <c r="V103" s="499"/>
      <c r="W103" s="499"/>
      <c r="X103" s="499"/>
      <c r="Y103" s="499"/>
      <c r="Z103" s="499"/>
      <c r="AA103" s="3"/>
      <c r="AB103" s="3"/>
      <c r="AC103" s="3"/>
      <c r="AD103" s="3"/>
      <c r="AE103" s="3"/>
      <c r="AF103" s="3"/>
      <c r="AG103" s="3"/>
      <c r="AH103" s="3"/>
      <c r="AI103" s="3"/>
    </row>
    <row r="104" spans="1:35" ht="18" customHeight="1" x14ac:dyDescent="0.35">
      <c r="A104" s="526"/>
      <c r="B104" s="627"/>
      <c r="C104" s="108" t="s">
        <v>142</v>
      </c>
      <c r="D104" s="107"/>
      <c r="E104" s="107"/>
      <c r="F104" s="107"/>
      <c r="G104" s="107"/>
      <c r="H104" s="524"/>
      <c r="I104" s="524"/>
      <c r="J104" s="524"/>
      <c r="K104" s="524"/>
      <c r="L104" s="524"/>
      <c r="M104" s="524"/>
      <c r="N104" s="524"/>
      <c r="O104" s="524"/>
      <c r="P104" s="524"/>
      <c r="Q104" s="499"/>
      <c r="R104" s="499"/>
      <c r="S104" s="499"/>
      <c r="T104" s="499"/>
      <c r="U104" s="499"/>
      <c r="V104" s="499"/>
      <c r="W104" s="499"/>
      <c r="X104" s="499"/>
      <c r="Y104" s="499"/>
      <c r="Z104" s="499"/>
      <c r="AA104" s="3"/>
      <c r="AB104" s="3"/>
      <c r="AC104" s="3"/>
      <c r="AD104" s="3"/>
      <c r="AE104" s="3"/>
      <c r="AF104" s="3"/>
      <c r="AG104" s="3"/>
      <c r="AH104" s="3"/>
      <c r="AI104" s="3"/>
    </row>
    <row r="105" spans="1:35" ht="18" customHeight="1" x14ac:dyDescent="0.35">
      <c r="A105" s="531"/>
      <c r="B105" s="642"/>
      <c r="C105" s="666"/>
      <c r="D105" s="667" t="s">
        <v>62</v>
      </c>
      <c r="E105" s="536"/>
      <c r="F105" s="536"/>
      <c r="G105" s="536"/>
      <c r="H105" s="536"/>
      <c r="I105" s="536"/>
      <c r="J105" s="564"/>
      <c r="K105" s="536"/>
      <c r="L105" s="536"/>
      <c r="M105" s="536"/>
      <c r="N105" s="536"/>
      <c r="O105" s="536"/>
      <c r="P105" s="524"/>
      <c r="Q105" s="499"/>
      <c r="R105" s="499"/>
      <c r="S105" s="499"/>
      <c r="T105" s="499"/>
      <c r="U105" s="499"/>
      <c r="V105" s="499"/>
      <c r="W105" s="499"/>
      <c r="X105" s="499"/>
      <c r="Y105" s="499"/>
      <c r="Z105" s="499"/>
      <c r="AA105" s="3"/>
      <c r="AB105" s="3"/>
      <c r="AC105" s="3"/>
      <c r="AD105" s="3"/>
      <c r="AE105" s="3"/>
      <c r="AF105" s="3"/>
      <c r="AG105" s="3"/>
      <c r="AH105" s="3"/>
      <c r="AI105" s="3"/>
    </row>
    <row r="106" spans="1:35" ht="18" customHeight="1" x14ac:dyDescent="0.35">
      <c r="A106" s="525"/>
      <c r="B106" s="524"/>
      <c r="C106" s="536"/>
      <c r="D106" s="536"/>
      <c r="E106" s="536"/>
      <c r="F106" s="141"/>
      <c r="G106" s="142" t="s">
        <v>143</v>
      </c>
      <c r="H106" s="643" t="s">
        <v>5</v>
      </c>
      <c r="I106" s="536"/>
      <c r="J106" s="536"/>
      <c r="K106" s="536"/>
      <c r="L106" s="192"/>
      <c r="M106" s="152"/>
      <c r="N106" s="124" t="s">
        <v>144</v>
      </c>
      <c r="O106" s="639"/>
      <c r="P106" s="524"/>
      <c r="Q106" s="499"/>
      <c r="R106" s="499"/>
      <c r="S106" s="499"/>
      <c r="T106" s="499"/>
      <c r="U106" s="499"/>
      <c r="V106" s="499"/>
      <c r="W106" s="499"/>
      <c r="X106" s="499"/>
      <c r="Y106" s="499"/>
      <c r="Z106" s="499"/>
      <c r="AA106" s="3"/>
      <c r="AB106" s="3"/>
      <c r="AC106" s="3"/>
      <c r="AD106" s="3"/>
      <c r="AE106" s="3"/>
      <c r="AF106" s="3"/>
      <c r="AG106" s="3"/>
      <c r="AH106" s="3"/>
      <c r="AI106" s="3"/>
    </row>
    <row r="107" spans="1:35" ht="18" customHeight="1" x14ac:dyDescent="0.35">
      <c r="A107" s="525"/>
      <c r="B107" s="524"/>
      <c r="C107" s="468"/>
      <c r="D107" s="115" t="s">
        <v>145</v>
      </c>
      <c r="E107" s="238">
        <f>IF(AND(H106="Sim", I24="Sim"),N15-I27,IF(AND(H106="Sim", I24="Não"),N15,0))</f>
        <v>0</v>
      </c>
      <c r="F107" s="567" t="str">
        <f>IF(AND(H106="Sim",E107=0),"Valor '0,00', mesmo com 'Sim' porque não há mistos sem triagem disponíveis","")</f>
        <v/>
      </c>
      <c r="G107" s="536"/>
      <c r="H107" s="536"/>
      <c r="I107" s="536"/>
      <c r="J107" s="536"/>
      <c r="K107" s="536"/>
      <c r="L107" s="637"/>
      <c r="M107" s="570"/>
      <c r="N107" s="123" t="s">
        <v>533</v>
      </c>
      <c r="O107" s="640">
        <f>IF(E112&gt;0,K112*J90*(E110/E112+E107/E112)*(E110+E107)/E112,0)</f>
        <v>21.055598746081497</v>
      </c>
      <c r="P107" s="524"/>
      <c r="Q107" s="499"/>
      <c r="R107" s="499"/>
      <c r="S107" s="499"/>
      <c r="T107" s="499"/>
      <c r="U107" s="499"/>
      <c r="V107" s="499"/>
      <c r="W107" s="499"/>
      <c r="X107" s="499"/>
      <c r="Y107" s="499"/>
      <c r="Z107" s="499"/>
      <c r="AA107" s="3"/>
      <c r="AB107" s="3"/>
      <c r="AC107" s="3"/>
      <c r="AD107" s="3"/>
      <c r="AE107" s="3"/>
      <c r="AF107" s="3"/>
      <c r="AG107" s="3"/>
      <c r="AH107" s="3"/>
      <c r="AI107" s="3"/>
    </row>
    <row r="108" spans="1:35" ht="18" customHeight="1" x14ac:dyDescent="0.35">
      <c r="A108" s="525"/>
      <c r="B108" s="524"/>
      <c r="C108" s="468"/>
      <c r="D108" s="115" t="s">
        <v>530</v>
      </c>
      <c r="E108" s="238">
        <f>IF(E30="Incineração",M34+M35,0)</f>
        <v>0</v>
      </c>
      <c r="F108" s="567" t="str">
        <f>IF(AND(H106="Sim",E107=0),"Neste caso assinale 'Não' acima.","")</f>
        <v/>
      </c>
      <c r="G108" s="536"/>
      <c r="H108" s="568"/>
      <c r="I108" s="536"/>
      <c r="J108" s="566"/>
      <c r="K108" s="536"/>
      <c r="L108" s="637"/>
      <c r="M108" s="570"/>
      <c r="N108" s="123" t="s">
        <v>146</v>
      </c>
      <c r="O108" s="640">
        <f>IF(E112&gt;0,K90*K112*(E107/E112+E110/E112)*(E107+E110)/E112,0)</f>
        <v>5.4927648902821335</v>
      </c>
      <c r="P108" s="524"/>
      <c r="Q108" s="499"/>
      <c r="R108" s="499"/>
      <c r="S108" s="499"/>
      <c r="T108" s="499"/>
      <c r="U108" s="499"/>
      <c r="V108" s="499"/>
      <c r="W108" s="499"/>
      <c r="X108" s="499"/>
      <c r="Y108" s="499"/>
      <c r="Z108" s="499"/>
      <c r="AA108" s="3"/>
      <c r="AB108" s="3"/>
      <c r="AC108" s="3"/>
      <c r="AD108" s="3"/>
      <c r="AE108" s="3"/>
      <c r="AF108" s="3"/>
      <c r="AG108" s="3"/>
      <c r="AH108" s="3"/>
      <c r="AI108" s="3"/>
    </row>
    <row r="109" spans="1:35" ht="18" customHeight="1" x14ac:dyDescent="0.35">
      <c r="A109" s="525"/>
      <c r="B109" s="524"/>
      <c r="C109" s="468"/>
      <c r="D109" s="115" t="s">
        <v>531</v>
      </c>
      <c r="E109" s="238">
        <f>IF(E34="Incineração",N34+N35,0)</f>
        <v>0</v>
      </c>
      <c r="F109" s="1965" t="str">
        <f>IF(AND(E112&gt;0,E112&lt;500),"Cap. mín. é 500 t/d.  Rever envios à incineração em H106, E30, E34 ou I28","")</f>
        <v/>
      </c>
      <c r="G109" s="918"/>
      <c r="H109" s="146"/>
      <c r="I109" s="115" t="s">
        <v>147</v>
      </c>
      <c r="J109" s="198">
        <f>'R-Avançado'!F28</f>
        <v>21.6</v>
      </c>
      <c r="K109" s="279"/>
      <c r="L109" s="273"/>
      <c r="M109" s="477"/>
      <c r="N109" s="123" t="s">
        <v>148</v>
      </c>
      <c r="O109" s="640">
        <f>E112*J111/100*J113/100</f>
        <v>0</v>
      </c>
      <c r="P109" s="524"/>
      <c r="Q109" s="499"/>
      <c r="R109" s="499"/>
      <c r="S109" s="499"/>
      <c r="T109" s="499"/>
      <c r="U109" s="499"/>
      <c r="V109" s="499"/>
      <c r="W109" s="499"/>
      <c r="X109" s="499"/>
      <c r="Y109" s="499"/>
      <c r="Z109" s="499"/>
      <c r="AA109" s="3"/>
      <c r="AB109" s="3"/>
      <c r="AC109" s="3"/>
      <c r="AD109" s="3"/>
      <c r="AE109" s="3"/>
      <c r="AF109" s="3"/>
      <c r="AG109" s="3"/>
      <c r="AH109" s="3"/>
      <c r="AI109" s="3"/>
    </row>
    <row r="110" spans="1:35" ht="18" customHeight="1" x14ac:dyDescent="0.35">
      <c r="A110" s="525"/>
      <c r="B110" s="524"/>
      <c r="C110" s="468"/>
      <c r="D110" s="115" t="s">
        <v>532</v>
      </c>
      <c r="E110" s="238">
        <f>IF(I28="Incineração",N43,0)</f>
        <v>547.56000000000017</v>
      </c>
      <c r="F110" s="1966"/>
      <c r="G110" s="572"/>
      <c r="H110" s="572"/>
      <c r="I110" s="572"/>
      <c r="J110" s="576"/>
      <c r="K110" s="635"/>
      <c r="L110" s="637"/>
      <c r="M110" s="570"/>
      <c r="N110" s="123" t="s">
        <v>149</v>
      </c>
      <c r="O110" s="640">
        <f>(E112*J111/100)*(1-J113/100)</f>
        <v>109.51200000000004</v>
      </c>
      <c r="P110" s="524"/>
      <c r="Q110" s="499"/>
      <c r="R110" s="499"/>
      <c r="S110" s="499"/>
      <c r="T110" s="499"/>
      <c r="U110" s="499"/>
      <c r="V110" s="499"/>
      <c r="W110" s="499"/>
      <c r="X110" s="499"/>
      <c r="Y110" s="499"/>
      <c r="Z110" s="499"/>
      <c r="AA110" s="3"/>
      <c r="AB110" s="3"/>
      <c r="AC110" s="3"/>
      <c r="AD110" s="3"/>
      <c r="AE110" s="3"/>
      <c r="AF110" s="3"/>
      <c r="AG110" s="3"/>
      <c r="AH110" s="3"/>
      <c r="AI110" s="3"/>
    </row>
    <row r="111" spans="1:35" ht="18" customHeight="1" x14ac:dyDescent="0.35">
      <c r="A111" s="525"/>
      <c r="B111" s="524"/>
      <c r="C111" s="570"/>
      <c r="D111" s="571"/>
      <c r="E111" s="572"/>
      <c r="F111" s="1966"/>
      <c r="G111" s="637"/>
      <c r="H111" s="574"/>
      <c r="I111" s="115" t="s">
        <v>150</v>
      </c>
      <c r="J111" s="198">
        <f>'R-Avançado'!F29</f>
        <v>20</v>
      </c>
      <c r="K111" s="636"/>
      <c r="L111" s="637"/>
      <c r="M111" s="570"/>
      <c r="N111" s="123" t="s">
        <v>128</v>
      </c>
      <c r="O111" s="641">
        <f>E112*E114*J109/100</f>
        <v>269295.06920225313</v>
      </c>
      <c r="P111" s="524"/>
      <c r="Q111" s="499"/>
      <c r="R111" s="499"/>
      <c r="S111" s="499"/>
      <c r="T111" s="499"/>
      <c r="U111" s="499"/>
      <c r="V111" s="499"/>
      <c r="W111" s="499"/>
      <c r="X111" s="499"/>
      <c r="Y111" s="499"/>
      <c r="Z111" s="499"/>
      <c r="AA111" s="3"/>
      <c r="AB111" s="3"/>
      <c r="AC111" s="3"/>
      <c r="AD111" s="3"/>
      <c r="AE111" s="3"/>
      <c r="AF111" s="3"/>
      <c r="AG111" s="3"/>
      <c r="AH111" s="3"/>
      <c r="AI111" s="3"/>
    </row>
    <row r="112" spans="1:35" ht="18" customHeight="1" x14ac:dyDescent="0.35">
      <c r="A112" s="525"/>
      <c r="B112" s="524"/>
      <c r="C112" s="468"/>
      <c r="D112" s="115" t="s">
        <v>151</v>
      </c>
      <c r="E112" s="197">
        <f>SUM(E107:E111)</f>
        <v>547.56000000000017</v>
      </c>
      <c r="F112" s="1966"/>
      <c r="G112" s="637"/>
      <c r="H112" s="574"/>
      <c r="I112" s="115" t="s">
        <v>152</v>
      </c>
      <c r="J112" s="147" t="s">
        <v>3</v>
      </c>
      <c r="K112" s="907">
        <f>IF(J112="Sim",'R-Avançado'!F30/100,0)</f>
        <v>0.9</v>
      </c>
      <c r="L112" s="908"/>
      <c r="M112" s="570"/>
      <c r="N112" s="570"/>
      <c r="O112" s="572"/>
      <c r="P112" s="524"/>
      <c r="Q112" s="499"/>
      <c r="R112" s="499"/>
      <c r="S112" s="499"/>
      <c r="T112" s="499"/>
      <c r="U112" s="499"/>
      <c r="V112" s="499"/>
      <c r="W112" s="499"/>
      <c r="X112" s="499"/>
      <c r="Y112" s="499"/>
      <c r="Z112" s="499"/>
      <c r="AA112" s="3"/>
      <c r="AB112" s="3"/>
      <c r="AC112" s="3"/>
      <c r="AD112" s="3"/>
      <c r="AE112" s="3"/>
      <c r="AF112" s="3"/>
      <c r="AG112" s="3"/>
      <c r="AH112" s="3"/>
      <c r="AI112" s="3"/>
    </row>
    <row r="113" spans="1:35" ht="18" customHeight="1" x14ac:dyDescent="0.35">
      <c r="A113" s="525"/>
      <c r="B113" s="524"/>
      <c r="C113" s="570"/>
      <c r="D113" s="520"/>
      <c r="E113" s="572"/>
      <c r="F113" s="1966"/>
      <c r="G113" s="146"/>
      <c r="H113" s="146"/>
      <c r="I113" s="115" t="s">
        <v>153</v>
      </c>
      <c r="J113" s="147">
        <v>0</v>
      </c>
      <c r="K113" s="636"/>
      <c r="L113" s="637"/>
      <c r="M113" s="570"/>
      <c r="N113" s="123" t="s">
        <v>154</v>
      </c>
      <c r="O113" s="638">
        <f>E112*(1-J111/100)-O107-O108</f>
        <v>411.49963636363651</v>
      </c>
      <c r="P113" s="524"/>
      <c r="Q113" s="499"/>
      <c r="R113" s="499"/>
      <c r="S113" s="499"/>
      <c r="T113" s="499"/>
      <c r="U113" s="499"/>
      <c r="V113" s="499"/>
      <c r="W113" s="499"/>
      <c r="X113" s="499"/>
      <c r="Y113" s="499"/>
      <c r="Z113" s="499"/>
      <c r="AA113" s="3"/>
      <c r="AB113" s="3"/>
      <c r="AC113" s="3"/>
      <c r="AD113" s="3"/>
      <c r="AE113" s="3"/>
      <c r="AF113" s="3"/>
      <c r="AG113" s="3"/>
      <c r="AH113" s="3"/>
      <c r="AI113" s="3"/>
    </row>
    <row r="114" spans="1:35" ht="18" customHeight="1" x14ac:dyDescent="0.35">
      <c r="A114" s="525"/>
      <c r="B114" s="524"/>
      <c r="C114" s="468"/>
      <c r="D114" s="115" t="s">
        <v>155</v>
      </c>
      <c r="E114" s="575">
        <f>IF(E112&gt;0,277.78*((D92*'R-Avançado'!E36+E92*'R-Avançado'!F36+F92*'R-Avançado'!G36+G92*'R-Avançado'!H36+H92*'R-Avançado'!I36+I92*'R-Avançado'!J36+J92*'R-Avançado'!K36+K92*'R-Avançado'!L36+L92*'R-Avançado'!M36+M92*'R-Avançado'!N36)/N92),0)</f>
        <v>2276.8946444077583</v>
      </c>
      <c r="F114" s="1966"/>
      <c r="G114" s="536"/>
      <c r="H114" s="536"/>
      <c r="I114" s="568"/>
      <c r="J114" s="536"/>
      <c r="K114" s="563"/>
      <c r="L114" s="536"/>
      <c r="M114" s="569"/>
      <c r="N114" s="536"/>
      <c r="O114" s="536"/>
      <c r="P114" s="524"/>
      <c r="Q114" s="499"/>
      <c r="R114" s="499"/>
      <c r="S114" s="499"/>
      <c r="T114" s="499"/>
      <c r="U114" s="499"/>
      <c r="V114" s="499"/>
      <c r="W114" s="499"/>
      <c r="X114" s="499"/>
      <c r="Y114" s="499"/>
      <c r="Z114" s="499"/>
      <c r="AA114" s="3"/>
      <c r="AB114" s="3"/>
      <c r="AC114" s="3"/>
      <c r="AD114" s="3"/>
      <c r="AE114" s="3"/>
      <c r="AF114" s="3"/>
      <c r="AG114" s="3"/>
      <c r="AH114" s="3"/>
      <c r="AI114" s="3"/>
    </row>
    <row r="115" spans="1:35" ht="18" customHeight="1" x14ac:dyDescent="0.35">
      <c r="A115" s="525"/>
      <c r="B115" s="524"/>
      <c r="C115" s="536"/>
      <c r="D115" s="516"/>
      <c r="E115" s="536"/>
      <c r="F115" s="1966"/>
      <c r="G115" s="536"/>
      <c r="H115" s="536"/>
      <c r="I115" s="536"/>
      <c r="J115" s="536"/>
      <c r="K115" s="536"/>
      <c r="L115" s="536"/>
      <c r="M115" s="536"/>
      <c r="N115" s="536"/>
      <c r="O115" s="536"/>
      <c r="P115" s="524"/>
      <c r="Q115" s="499"/>
      <c r="R115" s="499"/>
      <c r="S115" s="499"/>
      <c r="T115" s="499"/>
      <c r="U115" s="499"/>
      <c r="V115" s="499"/>
      <c r="W115" s="499"/>
      <c r="X115" s="499"/>
      <c r="Y115" s="499"/>
      <c r="Z115" s="499"/>
      <c r="AA115" s="3"/>
      <c r="AB115" s="3"/>
      <c r="AC115" s="3"/>
      <c r="AD115" s="3"/>
      <c r="AE115" s="3"/>
      <c r="AF115" s="3"/>
      <c r="AG115" s="3"/>
      <c r="AH115" s="3"/>
      <c r="AI115" s="3"/>
    </row>
    <row r="116" spans="1:35" ht="18" customHeight="1" x14ac:dyDescent="0.35">
      <c r="A116" s="525"/>
      <c r="B116" s="524"/>
      <c r="C116" s="412"/>
      <c r="D116" s="412"/>
      <c r="E116" s="536"/>
      <c r="F116" s="536"/>
      <c r="G116" s="536"/>
      <c r="H116" s="536"/>
      <c r="I116" s="536"/>
      <c r="J116" s="536"/>
      <c r="K116" s="536"/>
      <c r="L116" s="536"/>
      <c r="M116" s="536"/>
      <c r="N116" s="536"/>
      <c r="O116" s="536"/>
      <c r="P116" s="524"/>
      <c r="Q116" s="499"/>
      <c r="R116" s="499"/>
      <c r="S116" s="499"/>
      <c r="T116" s="499"/>
      <c r="U116" s="499"/>
      <c r="V116" s="499"/>
      <c r="W116" s="499"/>
      <c r="X116" s="499"/>
      <c r="Y116" s="499"/>
      <c r="Z116" s="499"/>
      <c r="AA116" s="3"/>
      <c r="AB116" s="3"/>
      <c r="AC116" s="3"/>
      <c r="AD116" s="3"/>
      <c r="AE116" s="3"/>
      <c r="AF116" s="3"/>
      <c r="AG116" s="3"/>
      <c r="AH116" s="3"/>
      <c r="AI116" s="3"/>
    </row>
    <row r="117" spans="1:35" ht="18" customHeight="1" x14ac:dyDescent="0.35">
      <c r="A117" s="526"/>
      <c r="B117" s="627"/>
      <c r="C117" s="108" t="s">
        <v>156</v>
      </c>
      <c r="D117" s="107"/>
      <c r="E117" s="107"/>
      <c r="F117" s="107"/>
      <c r="G117" s="107"/>
      <c r="H117" s="412"/>
      <c r="I117" s="412"/>
      <c r="J117" s="536"/>
      <c r="K117" s="536"/>
      <c r="L117" s="536"/>
      <c r="M117" s="536"/>
      <c r="N117" s="536"/>
      <c r="O117" s="536"/>
      <c r="P117" s="524"/>
      <c r="Q117" s="499"/>
      <c r="R117" s="499"/>
      <c r="S117" s="499"/>
      <c r="T117" s="499"/>
      <c r="U117" s="499"/>
      <c r="V117" s="499"/>
      <c r="W117" s="499"/>
      <c r="X117" s="499"/>
      <c r="Y117" s="499"/>
      <c r="Z117" s="499"/>
      <c r="AA117" s="3"/>
      <c r="AB117" s="3"/>
      <c r="AC117" s="3"/>
      <c r="AD117" s="3"/>
      <c r="AE117" s="3"/>
      <c r="AF117" s="3"/>
      <c r="AG117" s="3"/>
      <c r="AH117" s="3"/>
      <c r="AI117" s="3"/>
    </row>
    <row r="118" spans="1:35" ht="18" customHeight="1" x14ac:dyDescent="0.35">
      <c r="A118" s="532"/>
      <c r="B118" s="532"/>
      <c r="C118" s="644"/>
      <c r="D118" s="645" t="s">
        <v>63</v>
      </c>
      <c r="E118" s="646"/>
      <c r="F118" s="536"/>
      <c r="G118" s="536"/>
      <c r="H118" s="257"/>
      <c r="I118" s="152" t="s">
        <v>268</v>
      </c>
      <c r="J118" s="255"/>
      <c r="K118" s="536"/>
      <c r="L118" s="536"/>
      <c r="M118" s="536"/>
      <c r="N118" s="536"/>
      <c r="O118" s="536"/>
      <c r="P118" s="524"/>
      <c r="Q118" s="499"/>
      <c r="R118" s="499"/>
      <c r="S118" s="499"/>
      <c r="T118" s="499"/>
      <c r="U118" s="499"/>
      <c r="V118" s="499"/>
      <c r="W118" s="499"/>
      <c r="X118" s="499"/>
      <c r="Y118" s="499"/>
      <c r="Z118" s="499"/>
      <c r="AA118" s="3"/>
      <c r="AB118" s="3"/>
      <c r="AC118" s="3"/>
      <c r="AD118" s="3"/>
      <c r="AE118" s="3"/>
      <c r="AF118" s="3"/>
      <c r="AG118" s="3"/>
      <c r="AH118" s="3"/>
      <c r="AI118" s="3"/>
    </row>
    <row r="119" spans="1:35" ht="18" customHeight="1" x14ac:dyDescent="0.35">
      <c r="A119" s="525"/>
      <c r="B119" s="524"/>
      <c r="C119" s="468"/>
      <c r="D119" s="115" t="s">
        <v>157</v>
      </c>
      <c r="E119" s="197">
        <f>N94</f>
        <v>1144.3086000000001</v>
      </c>
      <c r="F119" s="536"/>
      <c r="G119" s="536"/>
      <c r="H119" s="573"/>
      <c r="I119" s="555" t="s">
        <v>158</v>
      </c>
      <c r="J119" s="650">
        <f>IF(AND(E122="Rota atual",E123="Disp. Inadequada"),100,0)</f>
        <v>0</v>
      </c>
      <c r="K119" s="536"/>
      <c r="L119" s="257"/>
      <c r="M119" s="143"/>
      <c r="N119" s="124" t="s">
        <v>159</v>
      </c>
      <c r="O119" s="255"/>
      <c r="P119" s="524"/>
      <c r="Q119" s="499"/>
      <c r="R119" s="499"/>
      <c r="S119" s="499"/>
      <c r="T119" s="499"/>
      <c r="U119" s="499"/>
      <c r="V119" s="499"/>
      <c r="W119" s="499"/>
      <c r="X119" s="499"/>
      <c r="Y119" s="499"/>
      <c r="Z119" s="499"/>
      <c r="AA119" s="3"/>
      <c r="AB119" s="3"/>
      <c r="AC119" s="3"/>
      <c r="AD119" s="3"/>
      <c r="AE119" s="3"/>
      <c r="AF119" s="3"/>
      <c r="AG119" s="3"/>
      <c r="AH119" s="3"/>
      <c r="AI119" s="3"/>
    </row>
    <row r="120" spans="1:35" ht="18" customHeight="1" x14ac:dyDescent="0.35">
      <c r="A120" s="525"/>
      <c r="B120" s="524"/>
      <c r="C120" s="412"/>
      <c r="D120" s="390"/>
      <c r="E120" s="536"/>
      <c r="F120" s="536"/>
      <c r="G120" s="536"/>
      <c r="H120" s="468"/>
      <c r="I120" s="115" t="s">
        <v>160</v>
      </c>
      <c r="J120" s="473">
        <f>IF(J119=0,100-J121-J119,0)</f>
        <v>0</v>
      </c>
      <c r="K120" s="536"/>
      <c r="L120" s="146"/>
      <c r="M120" s="146"/>
      <c r="N120" s="115" t="s">
        <v>161</v>
      </c>
      <c r="O120" s="643" t="s">
        <v>3</v>
      </c>
      <c r="P120" s="524"/>
      <c r="Q120" s="499"/>
      <c r="R120" s="499" t="s">
        <v>162</v>
      </c>
      <c r="S120" s="499" t="s">
        <v>163</v>
      </c>
      <c r="T120" s="499" t="s">
        <v>164</v>
      </c>
      <c r="U120" s="499"/>
      <c r="V120" s="499"/>
      <c r="W120" s="499"/>
      <c r="X120" s="499"/>
      <c r="Y120" s="499"/>
      <c r="Z120" s="499"/>
      <c r="AA120" s="3"/>
      <c r="AB120" s="3"/>
      <c r="AC120" s="3"/>
      <c r="AD120" s="3"/>
      <c r="AE120" s="3"/>
      <c r="AF120" s="3"/>
      <c r="AG120" s="3"/>
      <c r="AH120" s="3"/>
      <c r="AI120" s="3"/>
    </row>
    <row r="121" spans="1:35" ht="18" customHeight="1" x14ac:dyDescent="0.35">
      <c r="A121" s="525"/>
      <c r="B121" s="524"/>
      <c r="C121" s="468"/>
      <c r="D121" s="115" t="s">
        <v>534</v>
      </c>
      <c r="E121" s="643" t="s">
        <v>162</v>
      </c>
      <c r="F121" s="536"/>
      <c r="G121" s="536"/>
      <c r="H121" s="468"/>
      <c r="I121" s="115" t="s">
        <v>165</v>
      </c>
      <c r="J121" s="651">
        <v>100</v>
      </c>
      <c r="K121" s="536"/>
      <c r="L121" s="637"/>
      <c r="M121" s="574"/>
      <c r="N121" s="115" t="s">
        <v>166</v>
      </c>
      <c r="O121" s="651">
        <v>120</v>
      </c>
      <c r="P121" s="524"/>
      <c r="Q121" s="499"/>
      <c r="R121" s="499" t="s">
        <v>167</v>
      </c>
      <c r="S121" s="499" t="s">
        <v>168</v>
      </c>
      <c r="T121" s="499" t="s">
        <v>63</v>
      </c>
      <c r="U121" s="499"/>
      <c r="V121" s="499"/>
      <c r="W121" s="499"/>
      <c r="X121" s="499"/>
      <c r="Y121" s="499"/>
      <c r="Z121" s="499"/>
      <c r="AA121" s="3"/>
      <c r="AB121" s="3"/>
      <c r="AC121" s="3"/>
      <c r="AD121" s="3"/>
      <c r="AE121" s="3"/>
      <c r="AF121" s="3"/>
      <c r="AG121" s="3"/>
      <c r="AH121" s="3"/>
      <c r="AI121" s="3"/>
    </row>
    <row r="122" spans="1:35" ht="18" customHeight="1" x14ac:dyDescent="0.35">
      <c r="A122" s="525"/>
      <c r="B122" s="524"/>
      <c r="C122" s="468"/>
      <c r="D122" s="115" t="s">
        <v>503</v>
      </c>
      <c r="E122" s="643" t="s">
        <v>168</v>
      </c>
      <c r="F122" s="536"/>
      <c r="G122" s="536"/>
      <c r="H122" s="412"/>
      <c r="I122" s="919" t="str">
        <f>IF(AND((J119+J121)&gt;100,J119=100),"                   Erro: rever valor! J121 deve ser zero","")</f>
        <v/>
      </c>
      <c r="J122" s="536"/>
      <c r="K122" s="536"/>
      <c r="L122" s="146"/>
      <c r="M122" s="146"/>
      <c r="N122" s="115" t="s">
        <v>169</v>
      </c>
      <c r="O122" s="651">
        <v>100</v>
      </c>
      <c r="P122" s="524"/>
      <c r="Q122" s="499"/>
      <c r="R122" s="499"/>
      <c r="S122" s="499"/>
      <c r="T122" s="499"/>
      <c r="U122" s="499"/>
      <c r="V122" s="499"/>
      <c r="W122" s="499"/>
      <c r="X122" s="499"/>
      <c r="Y122" s="499"/>
      <c r="Z122" s="499"/>
      <c r="AA122" s="3"/>
      <c r="AB122" s="3"/>
      <c r="AC122" s="3"/>
      <c r="AD122" s="3"/>
      <c r="AE122" s="3"/>
      <c r="AF122" s="3"/>
      <c r="AG122" s="3"/>
      <c r="AH122" s="3"/>
      <c r="AI122" s="3"/>
    </row>
    <row r="123" spans="1:35" ht="18" customHeight="1" x14ac:dyDescent="0.35">
      <c r="A123" s="525"/>
      <c r="B123" s="524"/>
      <c r="C123" s="412"/>
      <c r="D123" s="516" t="str">
        <f>IF(E122="Rota Atual","qual o tipo de disposição final atual? ","")</f>
        <v/>
      </c>
      <c r="E123" s="970" t="s">
        <v>164</v>
      </c>
      <c r="F123" s="536"/>
      <c r="G123" s="536"/>
      <c r="H123" s="468"/>
      <c r="I123" s="115" t="s">
        <v>120</v>
      </c>
      <c r="J123" s="651" t="s">
        <v>5</v>
      </c>
      <c r="K123" s="536"/>
      <c r="L123" s="572"/>
      <c r="M123" s="572"/>
      <c r="N123" s="572"/>
      <c r="O123" s="572"/>
      <c r="P123" s="524"/>
      <c r="Q123" s="499"/>
      <c r="R123" s="499" t="s">
        <v>170</v>
      </c>
      <c r="S123" s="499"/>
      <c r="T123" s="499"/>
      <c r="U123" s="499"/>
      <c r="V123" s="499"/>
      <c r="W123" s="499"/>
      <c r="X123" s="499"/>
      <c r="Y123" s="499"/>
      <c r="Z123" s="499"/>
      <c r="AA123" s="3"/>
      <c r="AB123" s="3"/>
      <c r="AC123" s="3"/>
      <c r="AD123" s="3"/>
      <c r="AE123" s="3"/>
      <c r="AF123" s="3"/>
      <c r="AG123" s="3"/>
      <c r="AH123" s="3"/>
      <c r="AI123" s="3"/>
    </row>
    <row r="124" spans="1:35" ht="18" customHeight="1" x14ac:dyDescent="0.35">
      <c r="A124" s="525"/>
      <c r="B124" s="524"/>
      <c r="C124" s="412"/>
      <c r="D124" s="390"/>
      <c r="E124" s="536"/>
      <c r="F124" s="536"/>
      <c r="G124" s="536"/>
      <c r="H124" s="468"/>
      <c r="I124" s="115" t="s">
        <v>118</v>
      </c>
      <c r="J124" s="650" t="str">
        <f>IF(J123="Não","Sim","Não")</f>
        <v>Sim</v>
      </c>
      <c r="K124" s="536"/>
      <c r="L124" s="637"/>
      <c r="M124" s="574"/>
      <c r="N124" s="115" t="s">
        <v>171</v>
      </c>
      <c r="O124" s="197">
        <f>IF(O120&lt;&gt;"Sim",0,IF(AND(O122=0,O120="Sim"),E119,E119*O122/100))</f>
        <v>1144.3086000000001</v>
      </c>
      <c r="P124" s="524"/>
      <c r="Q124" s="499"/>
      <c r="R124" s="499" t="s">
        <v>115</v>
      </c>
      <c r="S124" s="499"/>
      <c r="T124" s="499"/>
      <c r="U124" s="499"/>
      <c r="V124" s="499"/>
      <c r="W124" s="499"/>
      <c r="X124" s="499"/>
      <c r="Y124" s="499"/>
      <c r="Z124" s="499"/>
      <c r="AA124" s="3"/>
      <c r="AB124" s="3"/>
      <c r="AC124" s="3"/>
      <c r="AD124" s="3"/>
      <c r="AE124" s="3"/>
      <c r="AF124" s="3"/>
      <c r="AG124" s="3"/>
      <c r="AH124" s="3"/>
      <c r="AI124" s="3"/>
    </row>
    <row r="125" spans="1:35" ht="18" customHeight="1" x14ac:dyDescent="0.35">
      <c r="A125" s="525"/>
      <c r="B125" s="524"/>
      <c r="C125" s="468"/>
      <c r="D125" s="115" t="s">
        <v>172</v>
      </c>
      <c r="E125" s="647">
        <f>D94*'R-Avançado'!E37+E94*'R-Avançado'!F37+F94*'R-Avançado'!G37+G94*'R-Avançado'!H37+H94*'R-Avançado'!I37+I94*'R-Avançado'!J37+J94*'R-Avançado'!K37+K94*'R-Avançado'!L37+L94*'R-Avançado'!M37+M94*'R-Avançado'!N37</f>
        <v>166092.22570532915</v>
      </c>
      <c r="F125" s="536"/>
      <c r="G125" s="536"/>
      <c r="H125" s="412"/>
      <c r="I125" s="412"/>
      <c r="J125" s="536"/>
      <c r="K125" s="536"/>
      <c r="L125" s="536"/>
      <c r="M125" s="536"/>
      <c r="N125" s="516"/>
      <c r="O125" s="536"/>
      <c r="P125" s="524"/>
      <c r="Q125" s="499"/>
      <c r="R125" s="499" t="s">
        <v>87</v>
      </c>
      <c r="S125" s="499"/>
      <c r="T125" s="499"/>
      <c r="U125" s="499"/>
      <c r="V125" s="499"/>
      <c r="W125" s="499"/>
      <c r="X125" s="499"/>
      <c r="Y125" s="499"/>
      <c r="Z125" s="499"/>
      <c r="AA125" s="3"/>
      <c r="AB125" s="3"/>
      <c r="AC125" s="3"/>
      <c r="AD125" s="3"/>
      <c r="AE125" s="3"/>
      <c r="AF125" s="3"/>
      <c r="AG125" s="3"/>
      <c r="AH125" s="3"/>
      <c r="AI125" s="3"/>
    </row>
    <row r="126" spans="1:35" ht="18" customHeight="1" x14ac:dyDescent="0.35">
      <c r="A126" s="525"/>
      <c r="B126" s="524"/>
      <c r="C126" s="468"/>
      <c r="D126" s="115" t="s">
        <v>173</v>
      </c>
      <c r="E126" s="575">
        <f>D94*'R-Avançado'!E38+E94*'R-Avançado'!F38+F94*'R-Avançado'!G38+G94*'R-Avançado'!H38+H94*'R-Avançado'!I38+I94*'R-Avançado'!J38+J94*'R-Avançado'!K38+K94*'R-Avançado'!L38+L94*'R-Avançado'!M38+M94*'R-Avançado'!N38</f>
        <v>1139.0948789341692</v>
      </c>
      <c r="F126" s="536"/>
      <c r="G126" s="536"/>
      <c r="H126" s="257"/>
      <c r="I126" s="152" t="s">
        <v>144</v>
      </c>
      <c r="J126" s="255"/>
      <c r="K126" s="536"/>
      <c r="L126" s="536"/>
      <c r="M126" s="536"/>
      <c r="N126" s="516"/>
      <c r="O126" s="536"/>
      <c r="P126" s="524"/>
      <c r="Q126" s="499"/>
      <c r="R126" s="499" t="s">
        <v>174</v>
      </c>
      <c r="S126" s="499"/>
      <c r="T126" s="499"/>
      <c r="U126" s="499"/>
      <c r="V126" s="499"/>
      <c r="W126" s="499"/>
      <c r="X126" s="499"/>
      <c r="Y126" s="499"/>
      <c r="Z126" s="499"/>
      <c r="AA126" s="3"/>
      <c r="AB126" s="3"/>
      <c r="AC126" s="3"/>
      <c r="AD126" s="3"/>
      <c r="AE126" s="3"/>
      <c r="AF126" s="3"/>
      <c r="AG126" s="3"/>
      <c r="AH126" s="3"/>
      <c r="AI126" s="3"/>
    </row>
    <row r="127" spans="1:35" ht="18" customHeight="1" x14ac:dyDescent="0.35">
      <c r="A127" s="525"/>
      <c r="B127" s="524"/>
      <c r="C127" s="535"/>
      <c r="D127" s="919" t="str">
        <f>IF(OR(AND(F128=0,AND(E122="Rota atual",E123&lt;&gt;"Disp. Inadequada")), AND(F128=0,E122="Rota futura")),"Atenção, escolha eficiência de captação Alta, Média ou Baixa!","")</f>
        <v/>
      </c>
      <c r="E127" s="536"/>
      <c r="F127" s="536"/>
      <c r="G127" s="536"/>
      <c r="H127" s="468"/>
      <c r="I127" s="115" t="s">
        <v>128</v>
      </c>
      <c r="J127" s="641">
        <f>IF(AND(J123&lt;&gt;"Não",J121&gt;0,J119&lt;&gt;100),E129*'R-Avançado'!O28*'R-Avançado'!O29/100*J121/100*0.2777778,0)</f>
        <v>0</v>
      </c>
      <c r="K127" s="536"/>
      <c r="L127" s="536"/>
      <c r="M127" s="536"/>
      <c r="N127" s="536"/>
      <c r="O127" s="536"/>
      <c r="P127" s="524"/>
      <c r="Q127" s="499"/>
      <c r="R127" s="499"/>
      <c r="S127" s="499"/>
      <c r="T127" s="499"/>
      <c r="U127" s="499"/>
      <c r="V127" s="499"/>
      <c r="W127" s="499"/>
      <c r="X127" s="499"/>
      <c r="Y127" s="499"/>
      <c r="Z127" s="499"/>
      <c r="AA127" s="3"/>
      <c r="AB127" s="3"/>
      <c r="AC127" s="3"/>
      <c r="AD127" s="3"/>
      <c r="AE127" s="3"/>
      <c r="AF127" s="3"/>
      <c r="AG127" s="3"/>
      <c r="AH127" s="3"/>
      <c r="AI127" s="3"/>
    </row>
    <row r="128" spans="1:35" ht="18" customHeight="1" x14ac:dyDescent="0.35">
      <c r="A128" s="525"/>
      <c r="B128" s="524"/>
      <c r="C128" s="468"/>
      <c r="D128" s="115" t="s">
        <v>175</v>
      </c>
      <c r="E128" s="149" t="s">
        <v>115</v>
      </c>
      <c r="F128" s="274">
        <f>IF(E128="Alta",'R-Avançado'!H29/100,IF(E128="Baixa",'R-Avançado'!J29/100,IF(E128="Sem captação",0,'R-Avançado'!I29/100)))</f>
        <v>0.3</v>
      </c>
      <c r="G128" s="141"/>
      <c r="H128" s="468"/>
      <c r="I128" s="115" t="s">
        <v>176</v>
      </c>
      <c r="J128" s="641">
        <f>IF(AND(J124&lt;&gt;"Não",J121&gt;0,J119&lt;&gt;100),E129*'R-Avançado'!O30/100*J121/100*0.2777778,0)</f>
        <v>8304.6119496353604</v>
      </c>
      <c r="K128" s="536"/>
      <c r="L128" s="536"/>
      <c r="M128" s="536"/>
      <c r="N128" s="536"/>
      <c r="O128" s="536"/>
      <c r="P128" s="524"/>
      <c r="Q128" s="499"/>
      <c r="R128" s="499"/>
      <c r="S128" s="499"/>
      <c r="T128" s="499"/>
      <c r="U128" s="499"/>
      <c r="V128" s="499"/>
      <c r="W128" s="499"/>
      <c r="X128" s="499"/>
      <c r="Y128" s="499"/>
      <c r="Z128" s="499"/>
      <c r="AA128" s="3"/>
      <c r="AB128" s="3"/>
      <c r="AC128" s="3"/>
      <c r="AD128" s="3"/>
      <c r="AE128" s="3"/>
      <c r="AF128" s="3"/>
      <c r="AG128" s="3"/>
      <c r="AH128" s="3"/>
      <c r="AI128" s="3"/>
    </row>
    <row r="129" spans="1:35" ht="18" customHeight="1" x14ac:dyDescent="0.35">
      <c r="A129" s="525"/>
      <c r="B129" s="524"/>
      <c r="C129" s="649"/>
      <c r="D129" s="115" t="s">
        <v>177</v>
      </c>
      <c r="E129" s="199">
        <f>E125*F128</f>
        <v>49827.667711598748</v>
      </c>
      <c r="F129" s="648"/>
      <c r="G129" s="524"/>
      <c r="H129" s="524"/>
      <c r="I129" s="577"/>
      <c r="J129" s="524"/>
      <c r="K129" s="524"/>
      <c r="L129" s="524"/>
      <c r="M129" s="524"/>
      <c r="N129" s="524"/>
      <c r="O129" s="524"/>
      <c r="P129" s="524"/>
      <c r="Q129" s="499"/>
      <c r="R129" s="499"/>
      <c r="S129" s="499"/>
      <c r="T129" s="499"/>
      <c r="U129" s="499"/>
      <c r="V129" s="499"/>
      <c r="W129" s="499"/>
      <c r="X129" s="499"/>
      <c r="Y129" s="499"/>
      <c r="Z129" s="499"/>
      <c r="AA129" s="3"/>
      <c r="AB129" s="3"/>
      <c r="AC129" s="3"/>
      <c r="AD129" s="3"/>
      <c r="AE129" s="3"/>
      <c r="AF129" s="3"/>
      <c r="AG129" s="3"/>
      <c r="AH129" s="3"/>
      <c r="AI129" s="3"/>
    </row>
    <row r="130" spans="1:35" ht="18" customHeight="1" x14ac:dyDescent="0.35">
      <c r="A130" s="525"/>
      <c r="B130" s="524"/>
      <c r="C130" s="524"/>
      <c r="D130" s="524"/>
      <c r="E130" s="524"/>
      <c r="F130" s="524"/>
      <c r="G130" s="524"/>
      <c r="H130" s="524"/>
      <c r="I130" s="524"/>
      <c r="J130" s="524"/>
      <c r="K130" s="524"/>
      <c r="L130" s="524"/>
      <c r="M130" s="524"/>
      <c r="N130" s="524"/>
      <c r="O130" s="524"/>
      <c r="P130" s="524"/>
      <c r="Q130" s="499"/>
      <c r="R130" s="499"/>
      <c r="S130" s="499"/>
      <c r="T130" s="499"/>
      <c r="U130" s="499"/>
      <c r="V130" s="499"/>
      <c r="W130" s="499"/>
      <c r="X130" s="499"/>
      <c r="Y130" s="499"/>
      <c r="Z130" s="499"/>
      <c r="AA130" s="3"/>
      <c r="AB130" s="3"/>
      <c r="AC130" s="3"/>
      <c r="AD130" s="3"/>
      <c r="AE130" s="3"/>
      <c r="AF130" s="3"/>
      <c r="AG130" s="3"/>
      <c r="AH130" s="3"/>
      <c r="AI130" s="3"/>
    </row>
    <row r="131" spans="1:35" ht="26.15" customHeight="1" x14ac:dyDescent="0.35">
      <c r="A131" s="525"/>
      <c r="B131" s="524"/>
      <c r="C131" s="524"/>
      <c r="D131" s="533"/>
      <c r="E131" s="524"/>
      <c r="F131" s="524"/>
      <c r="G131" s="524"/>
      <c r="H131" s="524"/>
      <c r="I131" s="524"/>
      <c r="J131" s="524"/>
      <c r="K131" s="524"/>
      <c r="L131" s="524"/>
      <c r="M131" s="524"/>
      <c r="N131" s="524"/>
      <c r="O131" s="524"/>
      <c r="P131" s="524"/>
      <c r="Q131" s="499"/>
      <c r="R131" s="499"/>
      <c r="S131" s="499"/>
      <c r="T131" s="499"/>
      <c r="U131" s="499"/>
      <c r="V131" s="499"/>
      <c r="W131" s="499"/>
      <c r="X131" s="499"/>
      <c r="Y131" s="499"/>
      <c r="Z131" s="499"/>
      <c r="AA131" s="3"/>
      <c r="AB131" s="3"/>
      <c r="AC131" s="3"/>
      <c r="AD131" s="3"/>
      <c r="AE131" s="3"/>
      <c r="AF131" s="3"/>
      <c r="AG131" s="3"/>
      <c r="AH131" s="3"/>
      <c r="AI131" s="3"/>
    </row>
    <row r="132" spans="1:35" ht="26.15" customHeight="1" x14ac:dyDescent="0.35">
      <c r="A132" s="525"/>
      <c r="B132" s="524"/>
      <c r="C132" s="657" t="s">
        <v>746</v>
      </c>
      <c r="D132" s="658"/>
      <c r="E132" s="658"/>
      <c r="F132" s="652"/>
      <c r="G132" s="524"/>
      <c r="H132" s="524"/>
      <c r="I132" s="524"/>
      <c r="J132" s="524"/>
      <c r="K132" s="524"/>
      <c r="L132" s="524"/>
      <c r="M132" s="524"/>
      <c r="N132" s="524"/>
      <c r="O132" s="524"/>
      <c r="P132" s="524"/>
      <c r="Q132" s="499"/>
      <c r="R132" s="499"/>
      <c r="S132" s="499"/>
      <c r="T132" s="499"/>
      <c r="U132" s="499"/>
      <c r="V132" s="499"/>
      <c r="W132" s="499"/>
      <c r="X132" s="499"/>
      <c r="Y132" s="499"/>
      <c r="Z132" s="499"/>
      <c r="AA132" s="3"/>
      <c r="AB132" s="3"/>
      <c r="AC132" s="3"/>
      <c r="AD132" s="3"/>
      <c r="AE132" s="3"/>
      <c r="AF132" s="3"/>
      <c r="AG132" s="3"/>
      <c r="AH132" s="3"/>
      <c r="AI132" s="3"/>
    </row>
    <row r="133" spans="1:35" ht="12.65" customHeight="1" x14ac:dyDescent="0.35">
      <c r="A133" s="525"/>
      <c r="B133" s="524"/>
      <c r="C133" s="652"/>
      <c r="D133" s="652"/>
      <c r="E133" s="652"/>
      <c r="F133" s="652"/>
      <c r="G133" s="524"/>
      <c r="H133" s="524"/>
      <c r="I133" s="524"/>
      <c r="J133" s="524"/>
      <c r="K133" s="524"/>
      <c r="L133" s="524"/>
      <c r="M133" s="524"/>
      <c r="N133" s="524"/>
      <c r="O133" s="524"/>
      <c r="P133" s="524"/>
      <c r="Q133" s="499"/>
      <c r="R133" s="499"/>
      <c r="S133" s="499"/>
      <c r="T133" s="499"/>
      <c r="U133" s="499"/>
      <c r="V133" s="499"/>
      <c r="W133" s="499"/>
      <c r="X133" s="499"/>
      <c r="Y133" s="499"/>
      <c r="Z133" s="499"/>
      <c r="AA133" s="3"/>
      <c r="AB133" s="3"/>
      <c r="AC133" s="3"/>
      <c r="AD133" s="3"/>
      <c r="AE133" s="3"/>
      <c r="AF133" s="3"/>
      <c r="AG133" s="3"/>
      <c r="AH133" s="3"/>
      <c r="AI133" s="3"/>
    </row>
    <row r="134" spans="1:35" ht="26.15" customHeight="1" x14ac:dyDescent="0.35">
      <c r="A134" s="525"/>
      <c r="B134" s="524"/>
      <c r="C134" s="652"/>
      <c r="D134" s="659" t="s">
        <v>747</v>
      </c>
      <c r="E134" s="652"/>
      <c r="F134" s="652"/>
      <c r="G134" s="524"/>
      <c r="H134" s="524"/>
      <c r="I134" s="524"/>
      <c r="J134" s="524"/>
      <c r="K134" s="524"/>
      <c r="L134" s="524"/>
      <c r="M134" s="524"/>
      <c r="N134" s="524"/>
      <c r="O134" s="524"/>
      <c r="P134" s="524"/>
      <c r="Q134" s="499"/>
      <c r="R134" s="499"/>
      <c r="S134" s="499"/>
      <c r="T134" s="499"/>
      <c r="U134" s="499"/>
      <c r="V134" s="499"/>
      <c r="W134" s="499"/>
      <c r="X134" s="499"/>
      <c r="Y134" s="499"/>
      <c r="Z134" s="499"/>
      <c r="AA134" s="3"/>
      <c r="AB134" s="3"/>
      <c r="AC134" s="3"/>
      <c r="AD134" s="3"/>
      <c r="AE134" s="3"/>
      <c r="AF134" s="3"/>
      <c r="AG134" s="3"/>
      <c r="AH134" s="3"/>
      <c r="AI134" s="3"/>
    </row>
    <row r="135" spans="1:35" ht="6.65" customHeight="1" x14ac:dyDescent="0.35">
      <c r="A135" s="525"/>
      <c r="B135" s="524"/>
      <c r="C135" s="652"/>
      <c r="D135" s="652"/>
      <c r="E135" s="652"/>
      <c r="F135" s="652"/>
      <c r="G135" s="524"/>
      <c r="H135" s="524"/>
      <c r="I135" s="524"/>
      <c r="J135" s="524"/>
      <c r="K135" s="524"/>
      <c r="L135" s="524"/>
      <c r="M135" s="524"/>
      <c r="N135" s="524"/>
      <c r="O135" s="524"/>
      <c r="P135" s="524"/>
      <c r="Q135" s="499"/>
      <c r="R135" s="499"/>
      <c r="S135" s="499"/>
      <c r="T135" s="499"/>
      <c r="U135" s="499"/>
      <c r="V135" s="499"/>
      <c r="W135" s="499"/>
      <c r="X135" s="499"/>
      <c r="Y135" s="499"/>
      <c r="Z135" s="499"/>
      <c r="AA135" s="3"/>
      <c r="AB135" s="3"/>
      <c r="AC135" s="3"/>
      <c r="AD135" s="3"/>
      <c r="AE135" s="3"/>
      <c r="AF135" s="3"/>
      <c r="AG135" s="3"/>
      <c r="AH135" s="3"/>
      <c r="AI135" s="3"/>
    </row>
    <row r="136" spans="1:35" ht="26.15" customHeight="1" x14ac:dyDescent="0.35">
      <c r="A136" s="525"/>
      <c r="B136" s="524"/>
      <c r="C136" s="534"/>
      <c r="D136" s="659" t="s">
        <v>748</v>
      </c>
      <c r="E136" s="652"/>
      <c r="F136" s="534"/>
      <c r="G136" s="524"/>
      <c r="H136" s="524"/>
      <c r="I136" s="524"/>
      <c r="J136" s="524"/>
      <c r="K136" s="524"/>
      <c r="L136" s="524"/>
      <c r="M136" s="524"/>
      <c r="N136" s="524"/>
      <c r="O136" s="524"/>
      <c r="P136" s="524"/>
      <c r="Q136" s="499"/>
      <c r="R136" s="499"/>
      <c r="S136" s="499"/>
      <c r="T136" s="499"/>
      <c r="U136" s="499"/>
      <c r="V136" s="499"/>
      <c r="W136" s="499"/>
      <c r="X136" s="499"/>
      <c r="Y136" s="499"/>
      <c r="Z136" s="499"/>
      <c r="AA136" s="3"/>
      <c r="AB136" s="3"/>
      <c r="AC136" s="3"/>
      <c r="AD136" s="3"/>
      <c r="AE136" s="3"/>
      <c r="AF136" s="3"/>
      <c r="AG136" s="3"/>
      <c r="AH136" s="3"/>
      <c r="AI136" s="3"/>
    </row>
    <row r="137" spans="1:35" ht="26.15" customHeight="1" x14ac:dyDescent="0.35">
      <c r="A137" s="524" t="str">
        <f>IF(AND(SUM(A116:A124)&lt;&gt;100)*(SUM(A116:A124)&lt;&gt;0)," Atenção: O total deve fechar 100%"," ")</f>
        <v xml:space="preserve"> </v>
      </c>
      <c r="B137" s="524"/>
      <c r="C137" s="524"/>
      <c r="D137" s="524"/>
      <c r="E137" s="524"/>
      <c r="F137" s="524"/>
      <c r="G137" s="524"/>
      <c r="H137" s="524"/>
      <c r="I137" s="524"/>
      <c r="J137" s="524"/>
      <c r="K137" s="524"/>
      <c r="L137" s="524"/>
      <c r="M137" s="524"/>
      <c r="N137" s="524"/>
      <c r="O137" s="524"/>
      <c r="P137" s="524"/>
      <c r="Q137" s="524"/>
      <c r="R137" s="524"/>
      <c r="S137" s="524"/>
      <c r="T137" s="524"/>
      <c r="U137" s="524"/>
      <c r="V137" s="524"/>
      <c r="W137" s="524"/>
      <c r="X137" s="524"/>
      <c r="Y137" s="524"/>
      <c r="Z137" s="524"/>
      <c r="AA137" s="3"/>
      <c r="AB137" s="3"/>
      <c r="AC137" s="3"/>
      <c r="AD137" s="3"/>
      <c r="AE137" s="3"/>
      <c r="AF137" s="3"/>
      <c r="AG137" s="3"/>
      <c r="AH137" s="3"/>
      <c r="AI137" s="3"/>
    </row>
    <row r="138" spans="1:35" ht="12.75" customHeight="1" x14ac:dyDescent="0.35">
      <c r="A138" s="524"/>
      <c r="B138" s="524"/>
      <c r="C138" s="524"/>
      <c r="D138" s="524"/>
      <c r="E138" s="524"/>
      <c r="F138" s="524"/>
      <c r="G138" s="524"/>
      <c r="H138" s="524"/>
      <c r="I138" s="524"/>
      <c r="J138" s="524"/>
      <c r="K138" s="524"/>
      <c r="L138" s="524"/>
      <c r="M138" s="524"/>
      <c r="N138" s="524"/>
      <c r="O138" s="524"/>
      <c r="P138" s="524"/>
      <c r="Q138" s="524"/>
      <c r="R138" s="524"/>
      <c r="S138" s="524"/>
      <c r="T138" s="524"/>
      <c r="U138" s="524"/>
      <c r="V138" s="524"/>
      <c r="W138" s="524"/>
      <c r="X138" s="524"/>
      <c r="Y138" s="524"/>
      <c r="Z138" s="524"/>
      <c r="AA138" s="3"/>
      <c r="AB138" s="3"/>
      <c r="AC138" s="3"/>
      <c r="AD138" s="3"/>
      <c r="AE138" s="3"/>
      <c r="AF138" s="3"/>
      <c r="AG138" s="3"/>
      <c r="AH138" s="3"/>
      <c r="AI138" s="3"/>
    </row>
    <row r="139" spans="1:35" ht="12.75" customHeight="1" x14ac:dyDescent="0.35">
      <c r="A139" s="524"/>
      <c r="B139" s="524"/>
      <c r="C139" s="524"/>
      <c r="D139" s="524"/>
      <c r="E139" s="524"/>
      <c r="F139" s="524"/>
      <c r="G139" s="524"/>
      <c r="H139" s="524"/>
      <c r="I139" s="524"/>
      <c r="J139" s="524"/>
      <c r="K139" s="524"/>
      <c r="L139" s="524"/>
      <c r="M139" s="524"/>
      <c r="N139" s="524"/>
      <c r="O139" s="524"/>
      <c r="P139" s="524"/>
      <c r="Q139" s="524"/>
      <c r="R139" s="524"/>
      <c r="S139" s="524"/>
      <c r="T139" s="524"/>
      <c r="U139" s="524"/>
      <c r="V139" s="524"/>
      <c r="W139" s="524"/>
      <c r="X139" s="524"/>
      <c r="Y139" s="524"/>
      <c r="Z139" s="524"/>
      <c r="AA139" s="3"/>
      <c r="AB139" s="3"/>
      <c r="AC139" s="3"/>
      <c r="AD139" s="3"/>
      <c r="AE139" s="3"/>
      <c r="AF139" s="3"/>
      <c r="AG139" s="3"/>
      <c r="AH139" s="3"/>
      <c r="AI139" s="3"/>
    </row>
    <row r="140" spans="1:35" ht="12.75" customHeight="1" x14ac:dyDescent="0.35">
      <c r="A140" s="524"/>
      <c r="B140" s="524"/>
      <c r="C140" s="524"/>
      <c r="D140" s="524"/>
      <c r="E140" s="524"/>
      <c r="F140" s="524"/>
      <c r="G140" s="524"/>
      <c r="H140" s="524"/>
      <c r="I140" s="524"/>
      <c r="J140" s="524"/>
      <c r="K140" s="524"/>
      <c r="L140" s="524"/>
      <c r="M140" s="524"/>
      <c r="N140" s="524"/>
      <c r="O140" s="524"/>
      <c r="P140" s="524"/>
      <c r="Q140" s="524"/>
      <c r="R140" s="524"/>
      <c r="S140" s="524"/>
      <c r="T140" s="524"/>
      <c r="U140" s="524"/>
      <c r="V140" s="524"/>
      <c r="W140" s="524"/>
      <c r="X140" s="524"/>
      <c r="Y140" s="524"/>
      <c r="Z140" s="524"/>
      <c r="AA140" s="3"/>
      <c r="AB140" s="3"/>
      <c r="AC140" s="3"/>
      <c r="AD140" s="3"/>
      <c r="AE140" s="3"/>
      <c r="AF140" s="3"/>
      <c r="AG140" s="3"/>
      <c r="AH140" s="3"/>
      <c r="AI140" s="3"/>
    </row>
    <row r="141" spans="1:35" ht="12.75" customHeight="1" x14ac:dyDescent="0.35">
      <c r="A141" s="524"/>
      <c r="B141" s="524"/>
      <c r="C141" s="524"/>
      <c r="D141" s="524"/>
      <c r="E141" s="524"/>
      <c r="F141" s="524"/>
      <c r="G141" s="524"/>
      <c r="H141" s="524"/>
      <c r="I141" s="524"/>
      <c r="J141" s="524"/>
      <c r="K141" s="524"/>
      <c r="L141" s="524"/>
      <c r="M141" s="524"/>
      <c r="N141" s="524"/>
      <c r="O141" s="524"/>
      <c r="P141" s="524"/>
      <c r="Q141" s="524"/>
      <c r="R141" s="524"/>
      <c r="S141" s="524"/>
      <c r="T141" s="524"/>
      <c r="U141" s="524"/>
      <c r="V141" s="524"/>
      <c r="W141" s="524"/>
      <c r="X141" s="524"/>
      <c r="Y141" s="524"/>
      <c r="Z141" s="524"/>
      <c r="AA141" s="3"/>
      <c r="AB141" s="3"/>
      <c r="AC141" s="3"/>
      <c r="AD141" s="3"/>
      <c r="AE141" s="3"/>
      <c r="AF141" s="3"/>
      <c r="AG141" s="3"/>
      <c r="AH141" s="3"/>
      <c r="AI141" s="3"/>
    </row>
    <row r="142" spans="1:35" ht="12.75" customHeight="1" x14ac:dyDescent="0.35">
      <c r="A142" s="524"/>
      <c r="B142" s="524"/>
      <c r="C142" s="524"/>
      <c r="D142" s="524"/>
      <c r="E142" s="524"/>
      <c r="F142" s="524"/>
      <c r="G142" s="524"/>
      <c r="H142" s="524"/>
      <c r="I142" s="524"/>
      <c r="J142" s="524"/>
      <c r="K142" s="524"/>
      <c r="L142" s="524"/>
      <c r="M142" s="524"/>
      <c r="N142" s="524"/>
      <c r="O142" s="524"/>
      <c r="P142" s="524"/>
      <c r="Q142" s="524"/>
      <c r="R142" s="524"/>
      <c r="S142" s="524"/>
      <c r="T142" s="524"/>
      <c r="U142" s="524"/>
      <c r="V142" s="524"/>
      <c r="W142" s="524"/>
      <c r="X142" s="524"/>
      <c r="Y142" s="524"/>
      <c r="Z142" s="524"/>
      <c r="AA142" s="3"/>
      <c r="AB142" s="3"/>
      <c r="AC142" s="3"/>
      <c r="AD142" s="3"/>
      <c r="AE142" s="3"/>
      <c r="AF142" s="3"/>
      <c r="AG142" s="3"/>
      <c r="AH142" s="3"/>
      <c r="AI142" s="3"/>
    </row>
    <row r="143" spans="1:35" ht="12.75" customHeight="1" x14ac:dyDescent="0.35">
      <c r="A143" s="524"/>
      <c r="B143" s="524"/>
      <c r="C143" s="524"/>
      <c r="D143" s="524"/>
      <c r="E143" s="524"/>
      <c r="F143" s="524"/>
      <c r="G143" s="524"/>
      <c r="H143" s="524"/>
      <c r="I143" s="524"/>
      <c r="J143" s="524"/>
      <c r="K143" s="524"/>
      <c r="L143" s="524"/>
      <c r="M143" s="524"/>
      <c r="N143" s="524"/>
      <c r="O143" s="524"/>
      <c r="P143" s="524"/>
      <c r="Q143" s="524"/>
      <c r="R143" s="524"/>
      <c r="S143" s="524"/>
      <c r="T143" s="524"/>
      <c r="U143" s="524"/>
      <c r="V143" s="524"/>
      <c r="W143" s="524"/>
      <c r="X143" s="524"/>
      <c r="Y143" s="524"/>
      <c r="Z143" s="524"/>
      <c r="AA143" s="3"/>
      <c r="AB143" s="3"/>
      <c r="AC143" s="3"/>
      <c r="AD143" s="3"/>
      <c r="AE143" s="3"/>
      <c r="AF143" s="3"/>
      <c r="AG143" s="3"/>
      <c r="AH143" s="3"/>
      <c r="AI143" s="3"/>
    </row>
    <row r="144" spans="1:35" ht="12.75" customHeight="1" x14ac:dyDescent="0.35">
      <c r="A144" s="524"/>
      <c r="B144" s="524"/>
      <c r="C144" s="524"/>
      <c r="D144" s="524"/>
      <c r="E144" s="524"/>
      <c r="F144" s="524"/>
      <c r="G144" s="524"/>
      <c r="H144" s="524"/>
      <c r="I144" s="524"/>
      <c r="J144" s="524"/>
      <c r="K144" s="524"/>
      <c r="L144" s="524"/>
      <c r="M144" s="524"/>
      <c r="N144" s="524"/>
      <c r="O144" s="524"/>
      <c r="P144" s="524"/>
      <c r="Q144" s="524"/>
      <c r="R144" s="524"/>
      <c r="S144" s="524"/>
      <c r="T144" s="524"/>
      <c r="U144" s="524"/>
      <c r="V144" s="524"/>
      <c r="W144" s="524"/>
      <c r="X144" s="524"/>
      <c r="Y144" s="524"/>
      <c r="Z144" s="524"/>
      <c r="AA144" s="3"/>
      <c r="AB144" s="3"/>
      <c r="AC144" s="3"/>
      <c r="AD144" s="3"/>
      <c r="AE144" s="3"/>
      <c r="AF144" s="3"/>
      <c r="AG144" s="3"/>
      <c r="AH144" s="3"/>
      <c r="AI144" s="3"/>
    </row>
    <row r="145" spans="1:35" ht="14.25" customHeight="1" x14ac:dyDescent="0.35">
      <c r="A145" s="524"/>
      <c r="B145" s="524"/>
      <c r="C145" s="524"/>
      <c r="D145" s="524"/>
      <c r="E145" s="524"/>
      <c r="F145" s="524"/>
      <c r="G145" s="524"/>
      <c r="H145" s="524"/>
      <c r="I145" s="524"/>
      <c r="J145" s="524"/>
      <c r="K145" s="524"/>
      <c r="L145" s="524"/>
      <c r="M145" s="524"/>
      <c r="N145" s="524"/>
      <c r="O145" s="524"/>
      <c r="P145" s="524"/>
      <c r="Q145" s="524"/>
      <c r="R145" s="524"/>
      <c r="S145" s="524"/>
      <c r="T145" s="524"/>
      <c r="U145" s="524"/>
      <c r="V145" s="524"/>
      <c r="W145" s="524"/>
      <c r="X145" s="524"/>
      <c r="Y145" s="524"/>
      <c r="Z145" s="524"/>
      <c r="AA145" s="3"/>
      <c r="AB145" s="3"/>
      <c r="AC145" s="3"/>
      <c r="AD145" s="3"/>
      <c r="AE145" s="3"/>
      <c r="AF145" s="3"/>
      <c r="AG145" s="3"/>
      <c r="AH145" s="3"/>
      <c r="AI145" s="3"/>
    </row>
    <row r="146" spans="1:35" ht="12.75" customHeight="1" x14ac:dyDescent="0.35">
      <c r="A146" s="524"/>
      <c r="B146" s="524"/>
      <c r="C146" s="524"/>
      <c r="D146" s="524"/>
      <c r="E146" s="524"/>
      <c r="F146" s="524"/>
      <c r="G146" s="524"/>
      <c r="H146" s="524"/>
      <c r="I146" s="524"/>
      <c r="J146" s="524"/>
      <c r="K146" s="524"/>
      <c r="L146" s="524"/>
      <c r="M146" s="524"/>
      <c r="N146" s="524"/>
      <c r="O146" s="524"/>
      <c r="P146" s="524"/>
      <c r="Q146" s="524"/>
      <c r="R146" s="524"/>
      <c r="S146" s="524"/>
      <c r="T146" s="524"/>
      <c r="U146" s="524"/>
      <c r="V146" s="524"/>
      <c r="W146" s="524"/>
      <c r="X146" s="524"/>
      <c r="Y146" s="524"/>
      <c r="Z146" s="524"/>
      <c r="AA146" s="3"/>
      <c r="AB146" s="3"/>
      <c r="AC146" s="3"/>
      <c r="AD146" s="3"/>
      <c r="AE146" s="3"/>
      <c r="AF146" s="3"/>
      <c r="AG146" s="3"/>
      <c r="AH146" s="3"/>
      <c r="AI146" s="3"/>
    </row>
    <row r="147" spans="1:35" ht="12.75" customHeight="1" x14ac:dyDescent="0.35">
      <c r="A147" s="524"/>
      <c r="B147" s="524"/>
      <c r="C147" s="524"/>
      <c r="D147" s="524"/>
      <c r="E147" s="524"/>
      <c r="F147" s="524"/>
      <c r="G147" s="524"/>
      <c r="H147" s="524"/>
      <c r="I147" s="524"/>
      <c r="J147" s="524"/>
      <c r="K147" s="524"/>
      <c r="L147" s="524"/>
      <c r="M147" s="524"/>
      <c r="N147" s="524"/>
      <c r="O147" s="524"/>
      <c r="P147" s="524"/>
      <c r="Q147" s="524"/>
      <c r="R147" s="524"/>
      <c r="S147" s="524"/>
      <c r="T147" s="524"/>
      <c r="U147" s="524"/>
      <c r="V147" s="524"/>
      <c r="W147" s="524"/>
      <c r="X147" s="524"/>
      <c r="Y147" s="524"/>
      <c r="Z147" s="524"/>
      <c r="AA147" s="3"/>
      <c r="AB147" s="3"/>
      <c r="AC147" s="3"/>
      <c r="AD147" s="3"/>
      <c r="AE147" s="3"/>
      <c r="AF147" s="3"/>
      <c r="AG147" s="3"/>
      <c r="AH147" s="3"/>
      <c r="AI147" s="3"/>
    </row>
    <row r="148" spans="1:35" ht="12.75" customHeight="1" x14ac:dyDescent="0.35">
      <c r="A148" s="524"/>
      <c r="B148" s="524"/>
      <c r="C148" s="524"/>
      <c r="D148" s="524"/>
      <c r="E148" s="524"/>
      <c r="F148" s="524"/>
      <c r="G148" s="524"/>
      <c r="H148" s="524"/>
      <c r="I148" s="524"/>
      <c r="J148" s="524"/>
      <c r="K148" s="524"/>
      <c r="L148" s="524"/>
      <c r="M148" s="524"/>
      <c r="N148" s="524"/>
      <c r="O148" s="524"/>
      <c r="P148" s="524"/>
      <c r="Q148" s="524"/>
      <c r="R148" s="524"/>
      <c r="S148" s="524"/>
      <c r="T148" s="524"/>
      <c r="U148" s="524"/>
      <c r="V148" s="524"/>
      <c r="W148" s="524"/>
      <c r="X148" s="524"/>
      <c r="Y148" s="524"/>
      <c r="Z148" s="524"/>
      <c r="AA148" s="3"/>
      <c r="AB148" s="3"/>
      <c r="AC148" s="3"/>
      <c r="AD148" s="3"/>
      <c r="AE148" s="3"/>
      <c r="AF148" s="3"/>
      <c r="AG148" s="3"/>
      <c r="AH148" s="3"/>
      <c r="AI148" s="3"/>
    </row>
    <row r="149" spans="1:35" ht="12.75" customHeight="1" x14ac:dyDescent="0.35">
      <c r="A149" s="524"/>
      <c r="B149" s="524"/>
      <c r="C149" s="524"/>
      <c r="D149" s="524"/>
      <c r="E149" s="524"/>
      <c r="F149" s="524"/>
      <c r="G149" s="524"/>
      <c r="H149" s="524"/>
      <c r="I149" s="524"/>
      <c r="J149" s="524"/>
      <c r="K149" s="524"/>
      <c r="L149" s="524"/>
      <c r="M149" s="524"/>
      <c r="N149" s="524"/>
      <c r="O149" s="524"/>
      <c r="P149" s="524"/>
      <c r="Q149" s="524"/>
      <c r="R149" s="524"/>
      <c r="S149" s="524"/>
      <c r="T149" s="524"/>
      <c r="U149" s="524"/>
      <c r="V149" s="524"/>
      <c r="W149" s="524"/>
      <c r="X149" s="524"/>
      <c r="Y149" s="524"/>
      <c r="Z149" s="524"/>
      <c r="AA149" s="3"/>
      <c r="AB149" s="3"/>
      <c r="AC149" s="3"/>
      <c r="AD149" s="3"/>
      <c r="AE149" s="3"/>
      <c r="AF149" s="3"/>
      <c r="AG149" s="3"/>
      <c r="AH149" s="3"/>
      <c r="AI149" s="3"/>
    </row>
    <row r="150" spans="1:35" ht="12.75" customHeight="1" x14ac:dyDescent="0.35">
      <c r="A150" s="524"/>
      <c r="B150" s="524"/>
      <c r="C150" s="524"/>
      <c r="D150" s="524"/>
      <c r="E150" s="524"/>
      <c r="F150" s="524"/>
      <c r="G150" s="524"/>
      <c r="H150" s="524"/>
      <c r="I150" s="524"/>
      <c r="J150" s="524"/>
      <c r="K150" s="524"/>
      <c r="L150" s="524"/>
      <c r="M150" s="524"/>
      <c r="N150" s="524"/>
      <c r="O150" s="524"/>
      <c r="P150" s="524"/>
      <c r="Q150" s="524"/>
      <c r="R150" s="524"/>
      <c r="S150" s="524"/>
      <c r="T150" s="524"/>
      <c r="U150" s="524"/>
      <c r="V150" s="524"/>
      <c r="W150" s="524"/>
      <c r="X150" s="524"/>
      <c r="Y150" s="524"/>
      <c r="Z150" s="524"/>
      <c r="AA150" s="3"/>
      <c r="AB150" s="3"/>
      <c r="AC150" s="3"/>
      <c r="AD150" s="3"/>
      <c r="AE150" s="3"/>
      <c r="AF150" s="3"/>
      <c r="AG150" s="3"/>
      <c r="AH150" s="3"/>
      <c r="AI150" s="3"/>
    </row>
    <row r="151" spans="1:35" ht="12.75" customHeight="1" x14ac:dyDescent="0.35">
      <c r="A151" s="3"/>
      <c r="B151" s="81"/>
      <c r="C151" s="81"/>
      <c r="D151" s="81"/>
      <c r="E151" s="81"/>
      <c r="F151" s="81"/>
      <c r="G151" s="81"/>
      <c r="H151" s="81"/>
      <c r="I151" s="81"/>
      <c r="J151" s="81"/>
      <c r="K151" s="81"/>
      <c r="L151" s="81"/>
      <c r="M151" s="81"/>
      <c r="N151" s="81"/>
      <c r="O151" s="81"/>
      <c r="P151" s="81"/>
      <c r="Q151" s="3"/>
      <c r="R151" s="3"/>
      <c r="S151" s="3"/>
      <c r="T151" s="3"/>
      <c r="U151" s="3"/>
      <c r="V151" s="3"/>
      <c r="W151" s="3"/>
      <c r="X151" s="3"/>
      <c r="Y151" s="3"/>
      <c r="Z151" s="3"/>
      <c r="AA151" s="3"/>
      <c r="AB151" s="3"/>
      <c r="AC151" s="3"/>
      <c r="AD151" s="3"/>
      <c r="AE151" s="3"/>
      <c r="AF151" s="3"/>
      <c r="AG151" s="3"/>
      <c r="AH151" s="3"/>
      <c r="AI151" s="3"/>
    </row>
    <row r="152" spans="1:35" ht="12.75" customHeight="1" x14ac:dyDescent="0.35">
      <c r="A152" s="3"/>
      <c r="B152" s="81"/>
      <c r="C152" s="81"/>
      <c r="D152" s="81"/>
      <c r="E152" s="81"/>
      <c r="F152" s="81"/>
      <c r="G152" s="81"/>
      <c r="H152" s="81"/>
      <c r="I152" s="81"/>
      <c r="J152" s="81"/>
      <c r="K152" s="81"/>
      <c r="L152" s="81"/>
      <c r="M152" s="81"/>
      <c r="N152" s="81"/>
      <c r="O152" s="81"/>
      <c r="P152" s="81"/>
      <c r="Q152" s="3"/>
      <c r="R152" s="3"/>
      <c r="S152" s="3"/>
      <c r="T152" s="3"/>
      <c r="U152" s="3"/>
      <c r="V152" s="3"/>
      <c r="W152" s="3"/>
      <c r="X152" s="3"/>
      <c r="Y152" s="3"/>
      <c r="Z152" s="3"/>
      <c r="AA152" s="3"/>
      <c r="AB152" s="3"/>
      <c r="AC152" s="3"/>
      <c r="AD152" s="3"/>
      <c r="AE152" s="3"/>
      <c r="AF152" s="3"/>
      <c r="AG152" s="3"/>
      <c r="AH152" s="3"/>
      <c r="AI152" s="3"/>
    </row>
    <row r="153" spans="1:35" ht="12.75" customHeight="1" x14ac:dyDescent="0.35">
      <c r="A153" s="3"/>
      <c r="B153" s="81"/>
      <c r="C153" s="81"/>
      <c r="D153" s="81"/>
      <c r="E153" s="81"/>
      <c r="F153" s="81"/>
      <c r="G153" s="81"/>
      <c r="H153" s="81"/>
      <c r="I153" s="81"/>
      <c r="J153" s="81"/>
      <c r="K153" s="81"/>
      <c r="L153" s="81"/>
      <c r="M153" s="81"/>
      <c r="N153" s="81"/>
      <c r="O153" s="81"/>
      <c r="P153" s="81"/>
      <c r="Q153" s="3"/>
      <c r="R153" s="3"/>
      <c r="S153" s="3"/>
      <c r="T153" s="3"/>
      <c r="U153" s="3"/>
      <c r="V153" s="3"/>
      <c r="W153" s="3"/>
      <c r="X153" s="3"/>
      <c r="Y153" s="3"/>
      <c r="Z153" s="3"/>
      <c r="AA153" s="3"/>
      <c r="AB153" s="3"/>
      <c r="AC153" s="3"/>
      <c r="AD153" s="3"/>
      <c r="AE153" s="3"/>
      <c r="AF153" s="3"/>
      <c r="AG153" s="3"/>
      <c r="AH153" s="3"/>
      <c r="AI153" s="3"/>
    </row>
    <row r="154" spans="1:35" ht="12.75" customHeight="1" x14ac:dyDescent="0.35">
      <c r="A154" s="3"/>
      <c r="B154" s="81"/>
      <c r="C154" s="81"/>
      <c r="D154" s="81"/>
      <c r="E154" s="81"/>
      <c r="F154" s="81"/>
      <c r="G154" s="81"/>
      <c r="H154" s="81"/>
      <c r="I154" s="81"/>
      <c r="J154" s="81"/>
      <c r="K154" s="81"/>
      <c r="L154" s="81"/>
      <c r="M154" s="81"/>
      <c r="N154" s="81"/>
      <c r="O154" s="81"/>
      <c r="P154" s="81"/>
      <c r="Q154" s="3"/>
      <c r="R154" s="3"/>
      <c r="S154" s="3"/>
      <c r="T154" s="3"/>
      <c r="U154" s="3"/>
      <c r="V154" s="3"/>
      <c r="W154" s="3"/>
      <c r="X154" s="3"/>
      <c r="Y154" s="3"/>
      <c r="Z154" s="3"/>
      <c r="AA154" s="3"/>
      <c r="AB154" s="3"/>
      <c r="AC154" s="3"/>
      <c r="AD154" s="3"/>
      <c r="AE154" s="3"/>
      <c r="AF154" s="3"/>
      <c r="AG154" s="3"/>
      <c r="AH154" s="3"/>
      <c r="AI154" s="3"/>
    </row>
    <row r="155" spans="1:35" ht="12.75" customHeight="1" x14ac:dyDescent="0.35">
      <c r="A155" s="3"/>
      <c r="B155" s="81"/>
      <c r="C155" s="81"/>
      <c r="D155" s="81"/>
      <c r="E155" s="81"/>
      <c r="F155" s="81"/>
      <c r="G155" s="81"/>
      <c r="H155" s="81"/>
      <c r="I155" s="81"/>
      <c r="J155" s="81"/>
      <c r="K155" s="81"/>
      <c r="L155" s="81"/>
      <c r="M155" s="81"/>
      <c r="N155" s="81"/>
      <c r="O155" s="81"/>
      <c r="P155" s="81"/>
      <c r="Q155" s="3"/>
      <c r="R155" s="3"/>
      <c r="S155" s="3"/>
      <c r="T155" s="3"/>
      <c r="U155" s="3"/>
      <c r="V155" s="3"/>
      <c r="W155" s="3"/>
      <c r="X155" s="3"/>
      <c r="Y155" s="3"/>
      <c r="Z155" s="3"/>
      <c r="AA155" s="3"/>
      <c r="AB155" s="3"/>
      <c r="AC155" s="3"/>
      <c r="AD155" s="3"/>
      <c r="AE155" s="3"/>
      <c r="AF155" s="3"/>
      <c r="AG155" s="3"/>
      <c r="AH155" s="3"/>
      <c r="AI155" s="3"/>
    </row>
    <row r="156" spans="1:35" ht="12.75" customHeight="1" x14ac:dyDescent="0.35">
      <c r="A156" s="3"/>
      <c r="B156" s="81"/>
      <c r="C156" s="81"/>
      <c r="D156" s="81"/>
      <c r="E156" s="81"/>
      <c r="F156" s="81"/>
      <c r="G156" s="81"/>
      <c r="H156" s="81"/>
      <c r="I156" s="81"/>
      <c r="J156" s="81"/>
      <c r="K156" s="81"/>
      <c r="L156" s="81"/>
      <c r="M156" s="81"/>
      <c r="N156" s="81"/>
      <c r="O156" s="81"/>
      <c r="P156" s="81"/>
      <c r="Q156" s="3"/>
      <c r="R156" s="3"/>
      <c r="S156" s="3"/>
      <c r="T156" s="3"/>
      <c r="U156" s="3"/>
      <c r="V156" s="3"/>
      <c r="W156" s="3"/>
      <c r="X156" s="3"/>
      <c r="Y156" s="3"/>
      <c r="Z156" s="3"/>
      <c r="AA156" s="3"/>
      <c r="AB156" s="3"/>
      <c r="AC156" s="3"/>
      <c r="AD156" s="3"/>
      <c r="AE156" s="3"/>
      <c r="AF156" s="3"/>
      <c r="AG156" s="3"/>
      <c r="AH156" s="3"/>
      <c r="AI156" s="3"/>
    </row>
    <row r="157" spans="1:35" ht="12.75" customHeight="1" x14ac:dyDescent="0.35">
      <c r="A157" s="3"/>
      <c r="B157" s="81"/>
      <c r="C157" s="81"/>
      <c r="D157" s="81"/>
      <c r="E157" s="81"/>
      <c r="F157" s="81"/>
      <c r="G157" s="81"/>
      <c r="H157" s="81"/>
      <c r="I157" s="81"/>
      <c r="J157" s="81"/>
      <c r="K157" s="81"/>
      <c r="L157" s="81"/>
      <c r="M157" s="81"/>
      <c r="N157" s="81"/>
      <c r="O157" s="81"/>
      <c r="P157" s="81"/>
      <c r="Q157" s="3"/>
      <c r="R157" s="3"/>
      <c r="S157" s="3"/>
      <c r="T157" s="3"/>
      <c r="U157" s="3"/>
      <c r="V157" s="3"/>
      <c r="W157" s="3"/>
      <c r="X157" s="3"/>
      <c r="Y157" s="3"/>
      <c r="Z157" s="3"/>
      <c r="AA157" s="3"/>
      <c r="AB157" s="3"/>
      <c r="AC157" s="3"/>
      <c r="AD157" s="3"/>
      <c r="AE157" s="3"/>
      <c r="AF157" s="3"/>
      <c r="AG157" s="3"/>
      <c r="AH157" s="3"/>
      <c r="AI157" s="3"/>
    </row>
    <row r="158" spans="1:35" ht="12.75" customHeight="1" x14ac:dyDescent="0.35">
      <c r="A158" s="3"/>
      <c r="B158" s="81"/>
      <c r="C158" s="81"/>
      <c r="D158" s="81"/>
      <c r="E158" s="81"/>
      <c r="F158" s="81"/>
      <c r="G158" s="81"/>
      <c r="H158" s="81"/>
      <c r="I158" s="81"/>
      <c r="J158" s="81"/>
      <c r="K158" s="81"/>
      <c r="L158" s="81"/>
      <c r="M158" s="81"/>
      <c r="N158" s="81"/>
      <c r="O158" s="81"/>
      <c r="P158" s="81"/>
      <c r="Q158" s="3"/>
      <c r="R158" s="3"/>
      <c r="S158" s="3"/>
      <c r="T158" s="3"/>
      <c r="U158" s="3"/>
      <c r="V158" s="3"/>
      <c r="W158" s="3"/>
      <c r="X158" s="3"/>
      <c r="Y158" s="3"/>
      <c r="Z158" s="3"/>
      <c r="AA158" s="3"/>
      <c r="AB158" s="3"/>
      <c r="AC158" s="3"/>
      <c r="AD158" s="3"/>
      <c r="AE158" s="3"/>
      <c r="AF158" s="3"/>
      <c r="AG158" s="3"/>
      <c r="AH158" s="3"/>
      <c r="AI158" s="3"/>
    </row>
    <row r="159" spans="1:35" ht="12.75" customHeight="1" x14ac:dyDescent="0.35">
      <c r="A159" s="3"/>
      <c r="B159" s="81"/>
      <c r="C159" s="81"/>
      <c r="D159" s="81"/>
      <c r="E159" s="81"/>
      <c r="F159" s="81"/>
      <c r="G159" s="81"/>
      <c r="H159" s="81"/>
      <c r="I159" s="81"/>
      <c r="J159" s="81"/>
      <c r="K159" s="81"/>
      <c r="L159" s="81"/>
      <c r="M159" s="81"/>
      <c r="N159" s="81"/>
      <c r="O159" s="81"/>
      <c r="P159" s="81"/>
      <c r="Q159" s="3"/>
      <c r="R159" s="3"/>
      <c r="S159" s="3"/>
      <c r="T159" s="3"/>
      <c r="U159" s="3"/>
      <c r="V159" s="3"/>
      <c r="W159" s="3"/>
      <c r="X159" s="3"/>
      <c r="Y159" s="3"/>
      <c r="Z159" s="3"/>
      <c r="AA159" s="3"/>
      <c r="AB159" s="3"/>
      <c r="AC159" s="3"/>
      <c r="AD159" s="3"/>
      <c r="AE159" s="3"/>
      <c r="AF159" s="3"/>
      <c r="AG159" s="3"/>
      <c r="AH159" s="3"/>
      <c r="AI159" s="3"/>
    </row>
    <row r="160" spans="1:35" ht="12.75" customHeight="1" x14ac:dyDescent="0.35">
      <c r="A160" s="3"/>
      <c r="B160" s="81"/>
      <c r="C160" s="81"/>
      <c r="D160" s="81"/>
      <c r="E160" s="81"/>
      <c r="F160" s="81"/>
      <c r="G160" s="81"/>
      <c r="H160" s="81"/>
      <c r="I160" s="81"/>
      <c r="J160" s="81"/>
      <c r="K160" s="81"/>
      <c r="L160" s="81"/>
      <c r="M160" s="81"/>
      <c r="N160" s="81"/>
      <c r="O160" s="81"/>
      <c r="P160" s="81"/>
      <c r="Q160" s="3"/>
      <c r="R160" s="3"/>
      <c r="S160" s="3"/>
      <c r="T160" s="3"/>
      <c r="U160" s="3"/>
      <c r="V160" s="3"/>
      <c r="W160" s="3"/>
      <c r="X160" s="3"/>
      <c r="Y160" s="3"/>
      <c r="Z160" s="3"/>
      <c r="AA160" s="3"/>
      <c r="AB160" s="3"/>
      <c r="AC160" s="3"/>
      <c r="AD160" s="3"/>
      <c r="AE160" s="3"/>
      <c r="AF160" s="3"/>
      <c r="AG160" s="3"/>
      <c r="AH160" s="3"/>
      <c r="AI160" s="3"/>
    </row>
    <row r="161" spans="1:35" ht="12.75" customHeight="1" x14ac:dyDescent="0.35">
      <c r="A161" s="3"/>
      <c r="B161" s="81"/>
      <c r="C161" s="81"/>
      <c r="D161" s="81"/>
      <c r="E161" s="81"/>
      <c r="F161" s="81"/>
      <c r="G161" s="81"/>
      <c r="H161" s="81"/>
      <c r="I161" s="81"/>
      <c r="J161" s="81"/>
      <c r="K161" s="81"/>
      <c r="L161" s="81"/>
      <c r="M161" s="81"/>
      <c r="N161" s="81"/>
      <c r="O161" s="81"/>
      <c r="P161" s="81"/>
      <c r="Q161" s="3"/>
      <c r="R161" s="3"/>
      <c r="S161" s="3"/>
      <c r="T161" s="3"/>
      <c r="U161" s="3"/>
      <c r="V161" s="3"/>
      <c r="W161" s="3"/>
      <c r="X161" s="3"/>
      <c r="Y161" s="3"/>
      <c r="Z161" s="3"/>
      <c r="AA161" s="3"/>
      <c r="AB161" s="3"/>
      <c r="AC161" s="3"/>
      <c r="AD161" s="3"/>
      <c r="AE161" s="3"/>
      <c r="AF161" s="3"/>
      <c r="AG161" s="3"/>
      <c r="AH161" s="3"/>
      <c r="AI161" s="3"/>
    </row>
    <row r="162" spans="1:35" ht="13.5" customHeight="1" x14ac:dyDescent="0.35">
      <c r="A162" s="3"/>
      <c r="B162" s="81"/>
      <c r="C162" s="81"/>
      <c r="D162" s="81"/>
      <c r="E162" s="81"/>
      <c r="F162" s="81"/>
      <c r="G162" s="81"/>
      <c r="H162" s="81"/>
      <c r="I162" s="81"/>
      <c r="J162" s="81"/>
      <c r="K162" s="81"/>
      <c r="L162" s="81"/>
      <c r="M162" s="81"/>
      <c r="N162" s="81"/>
      <c r="O162" s="81"/>
      <c r="P162" s="81"/>
      <c r="Q162" s="3"/>
      <c r="R162" s="3"/>
      <c r="S162" s="3"/>
      <c r="T162" s="3"/>
      <c r="U162" s="3"/>
      <c r="V162" s="3"/>
      <c r="W162" s="3"/>
      <c r="X162" s="3"/>
      <c r="Y162" s="3"/>
      <c r="Z162" s="3"/>
      <c r="AA162" s="3"/>
      <c r="AB162" s="3"/>
      <c r="AC162" s="3"/>
      <c r="AD162" s="3"/>
      <c r="AE162" s="3"/>
      <c r="AF162" s="3"/>
      <c r="AG162" s="3"/>
      <c r="AH162" s="3"/>
      <c r="AI162" s="3"/>
    </row>
    <row r="163" spans="1:35" ht="12.75" customHeight="1" x14ac:dyDescent="0.35">
      <c r="A163" s="3"/>
      <c r="B163" s="81"/>
      <c r="C163" s="81"/>
      <c r="D163" s="81"/>
      <c r="E163" s="81"/>
      <c r="F163" s="81"/>
      <c r="G163" s="81"/>
      <c r="H163" s="81"/>
      <c r="I163" s="81"/>
      <c r="J163" s="81"/>
      <c r="K163" s="81"/>
      <c r="L163" s="81"/>
      <c r="M163" s="81"/>
      <c r="N163" s="81"/>
      <c r="O163" s="81"/>
      <c r="P163" s="81"/>
      <c r="Q163" s="3"/>
      <c r="R163" s="3"/>
      <c r="S163" s="3"/>
      <c r="T163" s="3"/>
      <c r="U163" s="3"/>
      <c r="V163" s="3"/>
      <c r="W163" s="3"/>
      <c r="X163" s="3"/>
      <c r="Y163" s="3"/>
      <c r="Z163" s="3"/>
      <c r="AA163" s="3"/>
      <c r="AB163" s="3"/>
      <c r="AC163" s="3"/>
      <c r="AD163" s="3"/>
      <c r="AE163" s="3"/>
      <c r="AF163" s="3"/>
      <c r="AG163" s="3"/>
      <c r="AH163" s="3"/>
      <c r="AI163" s="3"/>
    </row>
    <row r="164" spans="1:35" ht="12.75" customHeight="1" x14ac:dyDescent="0.35">
      <c r="A164" s="3"/>
      <c r="B164" s="81"/>
      <c r="C164" s="81"/>
      <c r="D164" s="81"/>
      <c r="E164" s="81"/>
      <c r="F164" s="81"/>
      <c r="G164" s="81"/>
      <c r="H164" s="81"/>
      <c r="I164" s="81"/>
      <c r="J164" s="81"/>
      <c r="K164" s="81"/>
      <c r="L164" s="81"/>
      <c r="M164" s="81"/>
      <c r="N164" s="81"/>
      <c r="O164" s="81"/>
      <c r="P164" s="81"/>
      <c r="Q164" s="3"/>
      <c r="R164" s="3"/>
      <c r="S164" s="3"/>
      <c r="T164" s="3"/>
      <c r="U164" s="3"/>
      <c r="V164" s="3"/>
      <c r="W164" s="3"/>
      <c r="X164" s="3"/>
      <c r="Y164" s="3"/>
      <c r="Z164" s="3"/>
      <c r="AA164" s="3"/>
      <c r="AB164" s="3"/>
      <c r="AC164" s="3"/>
      <c r="AD164" s="3"/>
      <c r="AE164" s="3"/>
      <c r="AF164" s="3"/>
      <c r="AG164" s="3"/>
      <c r="AH164" s="3"/>
      <c r="AI164" s="3"/>
    </row>
    <row r="165" spans="1:35" ht="12.75" customHeight="1" x14ac:dyDescent="0.35">
      <c r="A165" s="3"/>
      <c r="B165" s="81"/>
      <c r="C165" s="81"/>
      <c r="D165" s="81"/>
      <c r="E165" s="81"/>
      <c r="F165" s="81"/>
      <c r="G165" s="81"/>
      <c r="H165" s="81"/>
      <c r="I165" s="81"/>
      <c r="J165" s="81"/>
      <c r="K165" s="81"/>
      <c r="L165" s="81"/>
      <c r="M165" s="81"/>
      <c r="N165" s="81"/>
      <c r="O165" s="81"/>
      <c r="P165" s="81"/>
      <c r="Q165" s="3"/>
      <c r="R165" s="3"/>
      <c r="S165" s="3"/>
      <c r="T165" s="3"/>
      <c r="U165" s="3"/>
      <c r="V165" s="3"/>
      <c r="W165" s="3"/>
      <c r="X165" s="3"/>
      <c r="Y165" s="3"/>
      <c r="Z165" s="3"/>
      <c r="AA165" s="3"/>
      <c r="AB165" s="3"/>
      <c r="AC165" s="3"/>
      <c r="AD165" s="3"/>
      <c r="AE165" s="3"/>
      <c r="AF165" s="3"/>
      <c r="AG165" s="3"/>
      <c r="AH165" s="3"/>
      <c r="AI165" s="3"/>
    </row>
    <row r="166" spans="1:35" ht="12.75" customHeight="1" x14ac:dyDescent="0.35">
      <c r="A166" s="3"/>
      <c r="B166" s="81"/>
      <c r="C166" s="81"/>
      <c r="D166" s="81"/>
      <c r="E166" s="81"/>
      <c r="F166" s="81"/>
      <c r="G166" s="81"/>
      <c r="H166" s="81"/>
      <c r="I166" s="81"/>
      <c r="J166" s="81"/>
      <c r="K166" s="81"/>
      <c r="L166" s="81"/>
      <c r="M166" s="81"/>
      <c r="N166" s="81"/>
      <c r="O166" s="81"/>
      <c r="P166" s="81"/>
      <c r="Q166" s="3"/>
      <c r="R166" s="3"/>
      <c r="S166" s="3"/>
      <c r="T166" s="3"/>
      <c r="U166" s="3"/>
      <c r="V166" s="3"/>
      <c r="W166" s="3"/>
      <c r="X166" s="3"/>
      <c r="Y166" s="3"/>
      <c r="Z166" s="3"/>
      <c r="AA166" s="3"/>
      <c r="AB166" s="3"/>
      <c r="AC166" s="3"/>
      <c r="AD166" s="3"/>
      <c r="AE166" s="3"/>
      <c r="AF166" s="3"/>
      <c r="AG166" s="3"/>
      <c r="AH166" s="3"/>
      <c r="AI166" s="3"/>
    </row>
    <row r="167" spans="1:35" ht="12.75" customHeight="1" x14ac:dyDescent="0.35">
      <c r="A167" s="3"/>
      <c r="B167" s="81"/>
      <c r="C167" s="81"/>
      <c r="D167" s="81"/>
      <c r="E167" s="81"/>
      <c r="F167" s="81"/>
      <c r="G167" s="81"/>
      <c r="H167" s="81"/>
      <c r="I167" s="81"/>
      <c r="J167" s="81"/>
      <c r="K167" s="81"/>
      <c r="L167" s="81"/>
      <c r="M167" s="81"/>
      <c r="N167" s="81"/>
      <c r="O167" s="81"/>
      <c r="P167" s="81"/>
      <c r="Q167" s="3"/>
      <c r="R167" s="3"/>
      <c r="S167" s="3"/>
      <c r="T167" s="3"/>
      <c r="U167" s="3"/>
      <c r="V167" s="3"/>
      <c r="W167" s="3"/>
      <c r="X167" s="3"/>
      <c r="Y167" s="3"/>
      <c r="Z167" s="3"/>
      <c r="AA167" s="3"/>
      <c r="AB167" s="3"/>
      <c r="AC167" s="3"/>
      <c r="AD167" s="3"/>
      <c r="AE167" s="3"/>
      <c r="AF167" s="3"/>
      <c r="AG167" s="3"/>
      <c r="AH167" s="3"/>
      <c r="AI167" s="3"/>
    </row>
    <row r="168" spans="1:35" ht="12.75" customHeight="1" x14ac:dyDescent="0.35">
      <c r="A168" s="3"/>
      <c r="B168" s="81"/>
      <c r="C168" s="81"/>
      <c r="D168" s="81"/>
      <c r="E168" s="81"/>
      <c r="F168" s="81"/>
      <c r="G168" s="81"/>
      <c r="H168" s="81"/>
      <c r="I168" s="81"/>
      <c r="J168" s="81"/>
      <c r="K168" s="81"/>
      <c r="L168" s="81"/>
      <c r="M168" s="81"/>
      <c r="N168" s="81"/>
      <c r="O168" s="81"/>
      <c r="P168" s="81"/>
      <c r="Q168" s="3"/>
      <c r="R168" s="3"/>
      <c r="S168" s="3"/>
      <c r="T168" s="3"/>
      <c r="U168" s="3"/>
      <c r="V168" s="3"/>
      <c r="W168" s="3"/>
      <c r="X168" s="3"/>
      <c r="Y168" s="3"/>
      <c r="Z168" s="3"/>
      <c r="AA168" s="3"/>
      <c r="AB168" s="3"/>
      <c r="AC168" s="3"/>
      <c r="AD168" s="3"/>
      <c r="AE168" s="3"/>
      <c r="AF168" s="3"/>
      <c r="AG168" s="3"/>
      <c r="AH168" s="3"/>
      <c r="AI168" s="3"/>
    </row>
    <row r="169" spans="1:35" ht="12.75" customHeight="1" x14ac:dyDescent="0.35">
      <c r="A169" s="3"/>
      <c r="B169" s="81"/>
      <c r="C169" s="81"/>
      <c r="D169" s="81"/>
      <c r="E169" s="81"/>
      <c r="F169" s="81"/>
      <c r="G169" s="81"/>
      <c r="H169" s="81"/>
      <c r="I169" s="81"/>
      <c r="J169" s="81"/>
      <c r="K169" s="81"/>
      <c r="L169" s="81"/>
      <c r="M169" s="81"/>
      <c r="N169" s="81"/>
      <c r="O169" s="81"/>
      <c r="P169" s="81"/>
      <c r="Q169" s="3"/>
      <c r="R169" s="3"/>
      <c r="S169" s="3"/>
      <c r="T169" s="3"/>
      <c r="U169" s="3"/>
      <c r="V169" s="3"/>
      <c r="W169" s="3"/>
      <c r="X169" s="3"/>
      <c r="Y169" s="3"/>
      <c r="Z169" s="3"/>
      <c r="AA169" s="3"/>
      <c r="AB169" s="3"/>
      <c r="AC169" s="3"/>
      <c r="AD169" s="3"/>
      <c r="AE169" s="3"/>
      <c r="AF169" s="3"/>
      <c r="AG169" s="3"/>
      <c r="AH169" s="3"/>
      <c r="AI169" s="3"/>
    </row>
    <row r="170" spans="1:35" ht="12.75" customHeight="1" x14ac:dyDescent="0.35">
      <c r="A170" s="3"/>
      <c r="B170" s="81"/>
      <c r="C170" s="81"/>
      <c r="D170" s="81"/>
      <c r="E170" s="81"/>
      <c r="F170" s="81"/>
      <c r="G170" s="81"/>
      <c r="H170" s="81"/>
      <c r="I170" s="81"/>
      <c r="J170" s="81"/>
      <c r="K170" s="81"/>
      <c r="L170" s="81"/>
      <c r="M170" s="81"/>
      <c r="N170" s="81"/>
      <c r="O170" s="81"/>
      <c r="P170" s="81"/>
      <c r="Q170" s="3"/>
      <c r="R170" s="3"/>
      <c r="S170" s="3"/>
      <c r="T170" s="3"/>
      <c r="U170" s="3"/>
      <c r="V170" s="3"/>
      <c r="W170" s="3"/>
      <c r="X170" s="3"/>
      <c r="Y170" s="3"/>
      <c r="Z170" s="3"/>
      <c r="AA170" s="3"/>
      <c r="AB170" s="3"/>
      <c r="AC170" s="3"/>
      <c r="AD170" s="3"/>
      <c r="AE170" s="3"/>
      <c r="AF170" s="3"/>
      <c r="AG170" s="3"/>
      <c r="AH170" s="3"/>
      <c r="AI170" s="3"/>
    </row>
    <row r="171" spans="1:35" ht="12.75" customHeight="1" x14ac:dyDescent="0.35">
      <c r="A171" s="3"/>
      <c r="B171" s="81"/>
      <c r="C171" s="81"/>
      <c r="D171" s="81"/>
      <c r="E171" s="81"/>
      <c r="F171" s="81"/>
      <c r="G171" s="81"/>
      <c r="H171" s="81"/>
      <c r="I171" s="81"/>
      <c r="J171" s="81"/>
      <c r="K171" s="81"/>
      <c r="L171" s="81"/>
      <c r="M171" s="81"/>
      <c r="N171" s="81"/>
      <c r="O171" s="81"/>
      <c r="P171" s="81"/>
      <c r="Q171" s="3"/>
      <c r="R171" s="3"/>
      <c r="S171" s="3"/>
      <c r="T171" s="3"/>
      <c r="U171" s="3"/>
      <c r="V171" s="3"/>
      <c r="W171" s="3"/>
      <c r="X171" s="3"/>
      <c r="Y171" s="3"/>
      <c r="Z171" s="3"/>
      <c r="AA171" s="3"/>
      <c r="AB171" s="3"/>
      <c r="AC171" s="3"/>
      <c r="AD171" s="3"/>
      <c r="AE171" s="3"/>
      <c r="AF171" s="3"/>
      <c r="AG171" s="3"/>
      <c r="AH171" s="3"/>
      <c r="AI171" s="3"/>
    </row>
    <row r="172" spans="1:35" ht="13.5" customHeight="1" x14ac:dyDescent="0.35">
      <c r="A172" s="3"/>
      <c r="B172" s="81"/>
      <c r="C172" s="81"/>
      <c r="D172" s="81"/>
      <c r="E172" s="81"/>
      <c r="F172" s="81"/>
      <c r="G172" s="81"/>
      <c r="H172" s="81"/>
      <c r="I172" s="81"/>
      <c r="J172" s="81"/>
      <c r="K172" s="81"/>
      <c r="L172" s="81"/>
      <c r="M172" s="81"/>
      <c r="N172" s="81"/>
      <c r="O172" s="81"/>
      <c r="P172" s="81"/>
      <c r="Q172" s="3"/>
      <c r="R172" s="3"/>
      <c r="S172" s="3"/>
      <c r="T172" s="3"/>
      <c r="U172" s="3"/>
      <c r="V172" s="3"/>
      <c r="W172" s="3"/>
      <c r="X172" s="3"/>
      <c r="Y172" s="3"/>
      <c r="Z172" s="3"/>
      <c r="AA172" s="3"/>
      <c r="AB172" s="3"/>
      <c r="AC172" s="3"/>
      <c r="AD172" s="3"/>
      <c r="AE172" s="3"/>
      <c r="AF172" s="3"/>
      <c r="AG172" s="3"/>
      <c r="AH172" s="3"/>
      <c r="AI172" s="3"/>
    </row>
    <row r="173" spans="1:35" ht="12.75" customHeight="1" x14ac:dyDescent="0.35">
      <c r="A173" s="3"/>
      <c r="B173" s="81"/>
      <c r="C173" s="81"/>
      <c r="D173" s="81"/>
      <c r="E173" s="81"/>
      <c r="F173" s="81"/>
      <c r="G173" s="81"/>
      <c r="H173" s="81"/>
      <c r="I173" s="81"/>
      <c r="J173" s="81"/>
      <c r="K173" s="81"/>
      <c r="L173" s="81"/>
      <c r="M173" s="81"/>
      <c r="N173" s="81"/>
      <c r="O173" s="81"/>
      <c r="P173" s="81"/>
      <c r="Q173" s="3"/>
      <c r="R173" s="3"/>
      <c r="S173" s="3"/>
      <c r="T173" s="3"/>
      <c r="U173" s="3"/>
      <c r="V173" s="3"/>
      <c r="W173" s="3"/>
      <c r="X173" s="3"/>
      <c r="Y173" s="3"/>
      <c r="Z173" s="3"/>
      <c r="AA173" s="3"/>
      <c r="AB173" s="3"/>
      <c r="AC173" s="3"/>
      <c r="AD173" s="3"/>
      <c r="AE173" s="3"/>
      <c r="AF173" s="3"/>
      <c r="AG173" s="3"/>
      <c r="AH173" s="3"/>
      <c r="AI173" s="3"/>
    </row>
    <row r="174" spans="1:35" ht="12.75" customHeight="1" x14ac:dyDescent="0.35">
      <c r="A174" s="3"/>
      <c r="B174" s="81"/>
      <c r="C174" s="81"/>
      <c r="D174" s="81"/>
      <c r="E174" s="81"/>
      <c r="F174" s="81"/>
      <c r="G174" s="81"/>
      <c r="H174" s="81"/>
      <c r="I174" s="81"/>
      <c r="J174" s="81"/>
      <c r="K174" s="81"/>
      <c r="L174" s="81"/>
      <c r="M174" s="81"/>
      <c r="N174" s="81"/>
      <c r="O174" s="81"/>
      <c r="P174" s="81"/>
      <c r="Q174" s="3"/>
      <c r="R174" s="3"/>
      <c r="S174" s="3"/>
      <c r="T174" s="3"/>
      <c r="U174" s="3"/>
      <c r="V174" s="3"/>
      <c r="W174" s="3"/>
      <c r="X174" s="3"/>
      <c r="Y174" s="3"/>
      <c r="Z174" s="3"/>
      <c r="AA174" s="3"/>
      <c r="AB174" s="3"/>
      <c r="AC174" s="3"/>
      <c r="AD174" s="3"/>
      <c r="AE174" s="3"/>
      <c r="AF174" s="3"/>
      <c r="AG174" s="3"/>
      <c r="AH174" s="3"/>
      <c r="AI174" s="3"/>
    </row>
    <row r="175" spans="1:35" ht="13.5" customHeight="1" x14ac:dyDescent="0.35">
      <c r="A175" s="3"/>
      <c r="B175" s="81"/>
      <c r="C175" s="81"/>
      <c r="D175" s="81"/>
      <c r="E175" s="81"/>
      <c r="F175" s="81"/>
      <c r="G175" s="81"/>
      <c r="H175" s="81"/>
      <c r="I175" s="81"/>
      <c r="J175" s="81"/>
      <c r="K175" s="81"/>
      <c r="L175" s="81"/>
      <c r="M175" s="81"/>
      <c r="N175" s="81"/>
      <c r="O175" s="81"/>
      <c r="P175" s="81"/>
      <c r="Q175" s="3"/>
      <c r="R175" s="3"/>
      <c r="S175" s="3"/>
      <c r="T175" s="3"/>
      <c r="U175" s="3"/>
      <c r="V175" s="3"/>
      <c r="W175" s="3"/>
      <c r="X175" s="3"/>
      <c r="Y175" s="3"/>
      <c r="Z175" s="3"/>
      <c r="AA175" s="3"/>
      <c r="AB175" s="3"/>
      <c r="AC175" s="3"/>
      <c r="AD175" s="3"/>
      <c r="AE175" s="3"/>
      <c r="AF175" s="3"/>
      <c r="AG175" s="3"/>
      <c r="AH175" s="3"/>
      <c r="AI175" s="3"/>
    </row>
    <row r="176" spans="1:35" ht="12.75" customHeight="1" x14ac:dyDescent="0.35">
      <c r="A176" s="3"/>
      <c r="B176" s="81"/>
      <c r="C176" s="81"/>
      <c r="D176" s="81"/>
      <c r="E176" s="81"/>
      <c r="F176" s="81"/>
      <c r="G176" s="81"/>
      <c r="H176" s="81"/>
      <c r="I176" s="81"/>
      <c r="J176" s="81"/>
      <c r="K176" s="81"/>
      <c r="L176" s="81"/>
      <c r="M176" s="81"/>
      <c r="N176" s="81"/>
      <c r="O176" s="81"/>
      <c r="P176" s="81"/>
      <c r="Q176" s="3"/>
      <c r="R176" s="3"/>
      <c r="S176" s="3"/>
      <c r="T176" s="3"/>
      <c r="U176" s="3"/>
      <c r="V176" s="3"/>
      <c r="W176" s="3"/>
      <c r="X176" s="3"/>
      <c r="Y176" s="3"/>
      <c r="Z176" s="3"/>
      <c r="AA176" s="3"/>
      <c r="AB176" s="3"/>
      <c r="AC176" s="3"/>
      <c r="AD176" s="3"/>
      <c r="AE176" s="3"/>
      <c r="AF176" s="3"/>
      <c r="AG176" s="3"/>
      <c r="AH176" s="3"/>
      <c r="AI176" s="3"/>
    </row>
    <row r="177" spans="1:35" ht="12.75" customHeight="1" x14ac:dyDescent="0.35">
      <c r="A177" s="3"/>
      <c r="B177" s="81"/>
      <c r="C177" s="81"/>
      <c r="D177" s="81"/>
      <c r="E177" s="81"/>
      <c r="F177" s="81"/>
      <c r="G177" s="81"/>
      <c r="H177" s="81"/>
      <c r="I177" s="81"/>
      <c r="J177" s="81"/>
      <c r="K177" s="81"/>
      <c r="L177" s="81"/>
      <c r="M177" s="81"/>
      <c r="N177" s="81"/>
      <c r="O177" s="81"/>
      <c r="P177" s="81"/>
      <c r="Q177" s="3"/>
      <c r="R177" s="3"/>
      <c r="S177" s="3"/>
      <c r="T177" s="3"/>
      <c r="U177" s="3"/>
      <c r="V177" s="3"/>
      <c r="W177" s="3"/>
      <c r="X177" s="3"/>
      <c r="Y177" s="3"/>
      <c r="Z177" s="3"/>
      <c r="AA177" s="3"/>
      <c r="AB177" s="3"/>
      <c r="AC177" s="3"/>
      <c r="AD177" s="3"/>
      <c r="AE177" s="3"/>
      <c r="AF177" s="3"/>
      <c r="AG177" s="3"/>
      <c r="AH177" s="3"/>
      <c r="AI177" s="3"/>
    </row>
    <row r="178" spans="1:35" ht="12.75" customHeight="1" x14ac:dyDescent="0.35">
      <c r="A178" s="3"/>
      <c r="B178" s="81"/>
      <c r="C178" s="81"/>
      <c r="D178" s="81"/>
      <c r="E178" s="81"/>
      <c r="F178" s="81"/>
      <c r="G178" s="81"/>
      <c r="H178" s="81"/>
      <c r="I178" s="81"/>
      <c r="J178" s="81"/>
      <c r="K178" s="81"/>
      <c r="L178" s="81"/>
      <c r="M178" s="81"/>
      <c r="N178" s="81"/>
      <c r="O178" s="81"/>
      <c r="P178" s="81"/>
      <c r="Q178" s="3"/>
      <c r="R178" s="3"/>
      <c r="S178" s="3"/>
      <c r="T178" s="3"/>
      <c r="U178" s="3"/>
      <c r="V178" s="3"/>
      <c r="W178" s="3"/>
      <c r="X178" s="3"/>
      <c r="Y178" s="3"/>
      <c r="Z178" s="3"/>
      <c r="AA178" s="3"/>
      <c r="AB178" s="3"/>
      <c r="AC178" s="3"/>
      <c r="AD178" s="3"/>
      <c r="AE178" s="3"/>
      <c r="AF178" s="3"/>
      <c r="AG178" s="3"/>
      <c r="AH178" s="3"/>
      <c r="AI178" s="3"/>
    </row>
    <row r="179" spans="1:35" ht="12.75" customHeight="1" x14ac:dyDescent="0.35">
      <c r="A179" s="3"/>
      <c r="B179" s="81"/>
      <c r="C179" s="81"/>
      <c r="D179" s="81"/>
      <c r="E179" s="81"/>
      <c r="F179" s="81"/>
      <c r="G179" s="81"/>
      <c r="H179" s="81"/>
      <c r="I179" s="81"/>
      <c r="J179" s="81"/>
      <c r="K179" s="81"/>
      <c r="L179" s="81"/>
      <c r="M179" s="81"/>
      <c r="N179" s="81"/>
      <c r="O179" s="81"/>
      <c r="P179" s="81"/>
      <c r="Q179" s="3"/>
      <c r="R179" s="3"/>
      <c r="S179" s="3"/>
      <c r="T179" s="3"/>
      <c r="U179" s="3"/>
      <c r="V179" s="3"/>
      <c r="W179" s="3"/>
      <c r="X179" s="3"/>
      <c r="Y179" s="3"/>
      <c r="Z179" s="3"/>
      <c r="AA179" s="3"/>
      <c r="AB179" s="3"/>
      <c r="AC179" s="3"/>
      <c r="AD179" s="3"/>
      <c r="AE179" s="3"/>
      <c r="AF179" s="3"/>
      <c r="AG179" s="3"/>
      <c r="AH179" s="3"/>
      <c r="AI179" s="3"/>
    </row>
    <row r="180" spans="1:35" ht="12.75" customHeight="1" x14ac:dyDescent="0.35">
      <c r="A180" s="3"/>
      <c r="B180" s="81"/>
      <c r="C180" s="81"/>
      <c r="D180" s="81"/>
      <c r="E180" s="81"/>
      <c r="F180" s="81"/>
      <c r="G180" s="81"/>
      <c r="H180" s="81"/>
      <c r="I180" s="81"/>
      <c r="J180" s="81"/>
      <c r="K180" s="81"/>
      <c r="L180" s="81"/>
      <c r="M180" s="81"/>
      <c r="N180" s="81"/>
      <c r="O180" s="81"/>
      <c r="P180" s="81"/>
      <c r="Q180" s="3"/>
      <c r="R180" s="3"/>
      <c r="S180" s="3"/>
      <c r="T180" s="3"/>
      <c r="U180" s="3"/>
      <c r="V180" s="3"/>
      <c r="W180" s="3"/>
      <c r="X180" s="3"/>
      <c r="Y180" s="3"/>
      <c r="Z180" s="3"/>
      <c r="AA180" s="3"/>
      <c r="AB180" s="3"/>
      <c r="AC180" s="3"/>
      <c r="AD180" s="3"/>
      <c r="AE180" s="3"/>
      <c r="AF180" s="3"/>
      <c r="AG180" s="3"/>
      <c r="AH180" s="3"/>
      <c r="AI180" s="3"/>
    </row>
    <row r="181" spans="1:35" ht="12.75" customHeight="1" x14ac:dyDescent="0.35">
      <c r="A181" s="3"/>
      <c r="B181" s="81"/>
      <c r="C181" s="81"/>
      <c r="D181" s="81"/>
      <c r="E181" s="81"/>
      <c r="F181" s="81"/>
      <c r="G181" s="81"/>
      <c r="H181" s="81"/>
      <c r="I181" s="81"/>
      <c r="J181" s="81"/>
      <c r="K181" s="81"/>
      <c r="L181" s="81"/>
      <c r="M181" s="81"/>
      <c r="N181" s="81"/>
      <c r="O181" s="81"/>
      <c r="P181" s="81"/>
      <c r="Q181" s="3"/>
      <c r="R181" s="3"/>
      <c r="S181" s="3"/>
      <c r="T181" s="3"/>
      <c r="U181" s="3"/>
      <c r="V181" s="3"/>
      <c r="W181" s="3"/>
      <c r="X181" s="3"/>
      <c r="Y181" s="3"/>
      <c r="Z181" s="3"/>
      <c r="AA181" s="3"/>
      <c r="AB181" s="3"/>
      <c r="AC181" s="3"/>
      <c r="AD181" s="3"/>
      <c r="AE181" s="3"/>
      <c r="AF181" s="3"/>
      <c r="AG181" s="3"/>
      <c r="AH181" s="3"/>
      <c r="AI181" s="3"/>
    </row>
    <row r="182" spans="1:35" ht="12.75" customHeight="1" x14ac:dyDescent="0.35">
      <c r="A182" s="3"/>
      <c r="B182" s="81"/>
      <c r="C182" s="81"/>
      <c r="D182" s="81"/>
      <c r="E182" s="81"/>
      <c r="F182" s="81"/>
      <c r="G182" s="81"/>
      <c r="H182" s="81"/>
      <c r="I182" s="81"/>
      <c r="J182" s="81"/>
      <c r="K182" s="81"/>
      <c r="L182" s="81"/>
      <c r="M182" s="81"/>
      <c r="N182" s="81"/>
      <c r="O182" s="81"/>
      <c r="P182" s="81"/>
      <c r="Q182" s="3"/>
      <c r="R182" s="3"/>
      <c r="S182" s="3"/>
      <c r="T182" s="3"/>
      <c r="U182" s="3"/>
      <c r="V182" s="3"/>
      <c r="W182" s="3"/>
      <c r="X182" s="3"/>
      <c r="Y182" s="3"/>
      <c r="Z182" s="3"/>
      <c r="AA182" s="3"/>
      <c r="AB182" s="3"/>
      <c r="AC182" s="3"/>
      <c r="AD182" s="3"/>
      <c r="AE182" s="3"/>
      <c r="AF182" s="3"/>
      <c r="AG182" s="3"/>
      <c r="AH182" s="3"/>
      <c r="AI182" s="3"/>
    </row>
    <row r="183" spans="1:35" ht="13.5" customHeight="1" x14ac:dyDescent="0.35">
      <c r="A183" s="3"/>
      <c r="B183" s="81"/>
      <c r="C183" s="81"/>
      <c r="D183" s="81"/>
      <c r="E183" s="81"/>
      <c r="F183" s="81"/>
      <c r="G183" s="81"/>
      <c r="H183" s="81"/>
      <c r="I183" s="81"/>
      <c r="J183" s="81"/>
      <c r="K183" s="81"/>
      <c r="L183" s="81"/>
      <c r="M183" s="81"/>
      <c r="N183" s="81"/>
      <c r="O183" s="81"/>
      <c r="P183" s="81"/>
      <c r="Q183" s="3"/>
      <c r="R183" s="3"/>
      <c r="S183" s="3"/>
      <c r="T183" s="3"/>
      <c r="U183" s="3"/>
      <c r="V183" s="3"/>
      <c r="W183" s="3"/>
      <c r="X183" s="3"/>
      <c r="Y183" s="3"/>
      <c r="Z183" s="3"/>
      <c r="AA183" s="3"/>
      <c r="AB183" s="3"/>
      <c r="AC183" s="3"/>
      <c r="AD183" s="3"/>
      <c r="AE183" s="3"/>
      <c r="AF183" s="3"/>
      <c r="AG183" s="3"/>
      <c r="AH183" s="3"/>
      <c r="AI183" s="3"/>
    </row>
  </sheetData>
  <sheetProtection password="EDB3" sheet="1" objects="1" scenarios="1"/>
  <mergeCells count="38">
    <mergeCell ref="F5:H6"/>
    <mergeCell ref="G39:H39"/>
    <mergeCell ref="I39:I40"/>
    <mergeCell ref="J39:K39"/>
    <mergeCell ref="L39:M39"/>
    <mergeCell ref="J26:J27"/>
    <mergeCell ref="F39:F40"/>
    <mergeCell ref="F28:F30"/>
    <mergeCell ref="F32:F34"/>
    <mergeCell ref="D38:N38"/>
    <mergeCell ref="D39:E39"/>
    <mergeCell ref="N39:N40"/>
    <mergeCell ref="N5:P5"/>
    <mergeCell ref="B8:F8"/>
    <mergeCell ref="C10:C12"/>
    <mergeCell ref="D11:E11"/>
    <mergeCell ref="F11:F12"/>
    <mergeCell ref="I11:I12"/>
    <mergeCell ref="L11:M11"/>
    <mergeCell ref="G11:H11"/>
    <mergeCell ref="D10:N10"/>
    <mergeCell ref="J11:K11"/>
    <mergeCell ref="D2:E2"/>
    <mergeCell ref="D3:E3"/>
    <mergeCell ref="N61:O61"/>
    <mergeCell ref="G31:I31"/>
    <mergeCell ref="F109:F115"/>
    <mergeCell ref="D77:N77"/>
    <mergeCell ref="I72:J72"/>
    <mergeCell ref="D78:E78"/>
    <mergeCell ref="I78:I79"/>
    <mergeCell ref="N78:N79"/>
    <mergeCell ref="F78:F79"/>
    <mergeCell ref="L78:M78"/>
    <mergeCell ref="N6:P6"/>
    <mergeCell ref="N11:N12"/>
    <mergeCell ref="G78:H78"/>
    <mergeCell ref="J78:K78"/>
  </mergeCells>
  <conditionalFormatting sqref="I34">
    <cfRule type="expression" dxfId="596" priority="11">
      <formula>$I$27&gt;0</formula>
    </cfRule>
  </conditionalFormatting>
  <conditionalFormatting sqref="I33">
    <cfRule type="expression" dxfId="595" priority="12">
      <formula>$E$33&gt;0</formula>
    </cfRule>
  </conditionalFormatting>
  <conditionalFormatting sqref="I32">
    <cfRule type="expression" dxfId="594" priority="13">
      <formula>$E$29&gt;0</formula>
    </cfRule>
  </conditionalFormatting>
  <conditionalFormatting sqref="E30">
    <cfRule type="expression" dxfId="593" priority="14">
      <formula>$E$29&gt;0</formula>
    </cfRule>
  </conditionalFormatting>
  <conditionalFormatting sqref="E34">
    <cfRule type="expression" dxfId="592" priority="15">
      <formula>$E$33&gt;0</formula>
    </cfRule>
  </conditionalFormatting>
  <conditionalFormatting sqref="I28:I29">
    <cfRule type="expression" dxfId="591" priority="16">
      <formula>$I$24="Sim"</formula>
    </cfRule>
  </conditionalFormatting>
  <conditionalFormatting sqref="I27">
    <cfRule type="expression" dxfId="590" priority="18">
      <formula>$I$24="Sim"</formula>
    </cfRule>
  </conditionalFormatting>
  <conditionalFormatting sqref="I25">
    <cfRule type="expression" dxfId="589" priority="19">
      <formula>$I$24="Sim"</formula>
    </cfRule>
  </conditionalFormatting>
  <conditionalFormatting sqref="I25">
    <cfRule type="expression" dxfId="588" priority="20">
      <formula>$C$34&lt;&gt;""</formula>
    </cfRule>
  </conditionalFormatting>
  <conditionalFormatting sqref="I26">
    <cfRule type="expression" dxfId="587" priority="4">
      <formula>$J$26&lt;&gt;""</formula>
    </cfRule>
    <cfRule type="expression" dxfId="586" priority="21">
      <formula>$I$24="Sim"</formula>
    </cfRule>
  </conditionalFormatting>
  <conditionalFormatting sqref="E49">
    <cfRule type="expression" dxfId="585" priority="22">
      <formula>$E$49&gt;0</formula>
    </cfRule>
  </conditionalFormatting>
  <conditionalFormatting sqref="E50">
    <cfRule type="expression" dxfId="584" priority="23">
      <formula>$E$50&gt;0</formula>
    </cfRule>
  </conditionalFormatting>
  <conditionalFormatting sqref="E51">
    <cfRule type="expression" dxfId="583" priority="24">
      <formula>$E$51&gt;0</formula>
    </cfRule>
  </conditionalFormatting>
  <conditionalFormatting sqref="E52">
    <cfRule type="expression" dxfId="582" priority="25">
      <formula>$E$52&gt;0</formula>
    </cfRule>
  </conditionalFormatting>
  <conditionalFormatting sqref="E58">
    <cfRule type="expression" dxfId="581" priority="26">
      <formula>$E$58&gt;0</formula>
    </cfRule>
  </conditionalFormatting>
  <conditionalFormatting sqref="E59">
    <cfRule type="expression" dxfId="580" priority="27">
      <formula>$E$59&gt;0</formula>
    </cfRule>
  </conditionalFormatting>
  <conditionalFormatting sqref="E60">
    <cfRule type="expression" dxfId="579" priority="28">
      <formula>$E$60&gt;0</formula>
    </cfRule>
  </conditionalFormatting>
  <conditionalFormatting sqref="E63:E64">
    <cfRule type="expression" dxfId="578" priority="29">
      <formula>$O$62&gt;0</formula>
    </cfRule>
  </conditionalFormatting>
  <conditionalFormatting sqref="E69 E71">
    <cfRule type="expression" dxfId="577" priority="30">
      <formula>$E$60&gt;0</formula>
    </cfRule>
  </conditionalFormatting>
  <conditionalFormatting sqref="J59:J60">
    <cfRule type="expression" dxfId="576" priority="31">
      <formula>$E$60&gt;0</formula>
    </cfRule>
  </conditionalFormatting>
  <conditionalFormatting sqref="J59:J60">
    <cfRule type="expression" dxfId="575" priority="32">
      <formula>SUM($J$59:$J$60)&gt;100</formula>
    </cfRule>
  </conditionalFormatting>
  <conditionalFormatting sqref="J64 J67">
    <cfRule type="expression" dxfId="574" priority="33">
      <formula>$O$62&gt;0</formula>
    </cfRule>
  </conditionalFormatting>
  <conditionalFormatting sqref="J61">
    <cfRule type="expression" dxfId="573" priority="34">
      <formula>$J$62&lt;&gt;""</formula>
    </cfRule>
  </conditionalFormatting>
  <conditionalFormatting sqref="I72:J72">
    <cfRule type="expression" dxfId="572" priority="35">
      <formula>$O$64&gt;0.0000001</formula>
    </cfRule>
  </conditionalFormatting>
  <conditionalFormatting sqref="H106">
    <cfRule type="expression" dxfId="571" priority="36">
      <formula>AND($E$112=0,($I$25*(100-$I$26)/100)&lt;500)</formula>
    </cfRule>
  </conditionalFormatting>
  <conditionalFormatting sqref="E123">
    <cfRule type="expression" dxfId="570" priority="37">
      <formula>OR($E$122="Rota Futura",$E$122="")</formula>
    </cfRule>
  </conditionalFormatting>
  <conditionalFormatting sqref="E123">
    <cfRule type="expression" dxfId="569" priority="38">
      <formula>$E$122="Rota Atual"</formula>
    </cfRule>
  </conditionalFormatting>
  <conditionalFormatting sqref="E107">
    <cfRule type="expression" dxfId="568" priority="39">
      <formula>$E$107&gt;0</formula>
    </cfRule>
  </conditionalFormatting>
  <conditionalFormatting sqref="E108">
    <cfRule type="expression" dxfId="567" priority="40">
      <formula>$E$108&gt;0</formula>
    </cfRule>
  </conditionalFormatting>
  <conditionalFormatting sqref="E109">
    <cfRule type="expression" dxfId="566" priority="41">
      <formula>$E$109&gt;0</formula>
    </cfRule>
  </conditionalFormatting>
  <conditionalFormatting sqref="E110">
    <cfRule type="expression" dxfId="565" priority="42">
      <formula>$E$110&gt;0</formula>
    </cfRule>
  </conditionalFormatting>
  <conditionalFormatting sqref="J121">
    <cfRule type="expression" dxfId="564" priority="2">
      <formula>I122&lt;&gt;""</formula>
    </cfRule>
    <cfRule type="expression" dxfId="563" priority="43">
      <formula>$J$119&lt;&gt;100</formula>
    </cfRule>
  </conditionalFormatting>
  <conditionalFormatting sqref="J123">
    <cfRule type="expression" dxfId="562" priority="44">
      <formula>$J$121&gt;0</formula>
    </cfRule>
  </conditionalFormatting>
  <conditionalFormatting sqref="J112:J113">
    <cfRule type="expression" dxfId="561" priority="45">
      <formula>$E$112&gt;0</formula>
    </cfRule>
  </conditionalFormatting>
  <conditionalFormatting sqref="O121:O122">
    <cfRule type="expression" dxfId="560" priority="46">
      <formula>$O$120="Sim"</formula>
    </cfRule>
  </conditionalFormatting>
  <conditionalFormatting sqref="N13">
    <cfRule type="expression" dxfId="559" priority="47">
      <formula>AND(N12="Sim",O17="Sim",SUM(N13+O18)&gt;#REF!)</formula>
    </cfRule>
  </conditionalFormatting>
  <conditionalFormatting sqref="E25">
    <cfRule type="expression" dxfId="558" priority="5">
      <formula>OR($F$28&lt;&gt;"",$F$32&lt;&gt;"")</formula>
    </cfRule>
    <cfRule type="expression" dxfId="557" priority="10">
      <formula>$N$13&gt;0</formula>
    </cfRule>
  </conditionalFormatting>
  <conditionalFormatting sqref="J2">
    <cfRule type="expression" dxfId="556" priority="8">
      <formula>$I$24="Sim"</formula>
    </cfRule>
  </conditionalFormatting>
  <conditionalFormatting sqref="E128">
    <cfRule type="expression" dxfId="555" priority="7">
      <formula>AND($E$123="Disp. Inadequada",$E$122="Rota atual")</formula>
    </cfRule>
  </conditionalFormatting>
  <conditionalFormatting sqref="L49">
    <cfRule type="expression" dxfId="554" priority="6">
      <formula>$I$49&gt;0</formula>
    </cfRule>
  </conditionalFormatting>
  <conditionalFormatting sqref="J59">
    <cfRule type="expression" dxfId="553" priority="3">
      <formula>$N$59&lt;&gt;""</formula>
    </cfRule>
  </conditionalFormatting>
  <conditionalFormatting sqref="I35">
    <cfRule type="expression" dxfId="552" priority="1">
      <formula>$I$27&gt;0</formula>
    </cfRule>
  </conditionalFormatting>
  <dataValidations xWindow="658" yWindow="802" count="16">
    <dataValidation type="list" allowBlank="1" showErrorMessage="1" sqref="E123" xr:uid="{00000000-0002-0000-0200-000000000000}">
      <formula1>$T$120:$T$121</formula1>
    </dataValidation>
    <dataValidation type="list" allowBlank="1" showErrorMessage="1" sqref="I24 H106 J112 O120 J123" xr:uid="{00000000-0002-0000-0200-000001000000}">
      <formula1>$R$12:$R$13</formula1>
    </dataValidation>
    <dataValidation type="list" allowBlank="1" showErrorMessage="1" prompt="Erro - Valor deve estar entre 0 e 100%" sqref="J64" xr:uid="{00000000-0002-0000-0200-000002000000}">
      <formula1>$R$12:$R$13</formula1>
    </dataValidation>
    <dataValidation type="decimal" allowBlank="1" showErrorMessage="1" error="Erro - Valor deve estar entre 0 e 100%" prompt="Erro - Valor deve estar entre 0 e 100%" sqref="L49 E25 I26" xr:uid="{00000000-0002-0000-0200-000003000000}">
      <formula1>0</formula1>
      <formula2>100</formula2>
    </dataValidation>
    <dataValidation type="list" allowBlank="1" showErrorMessage="1" sqref="I28 E30 E34" xr:uid="{00000000-0002-0000-0200-000004000000}">
      <formula1>$S$13:$S$15</formula1>
    </dataValidation>
    <dataValidation type="list" allowBlank="1" showErrorMessage="1" sqref="J67" xr:uid="{00000000-0002-0000-0200-000005000000}">
      <formula1>$S$61:$S$62</formula1>
    </dataValidation>
    <dataValidation type="list" allowBlank="1" showErrorMessage="1" sqref="E121" xr:uid="{00000000-0002-0000-0200-000006000000}">
      <formula1>$R$120:$R$121</formula1>
    </dataValidation>
    <dataValidation type="list" allowBlank="1" showErrorMessage="1" sqref="I29" xr:uid="{00000000-0002-0000-0200-000007000000}">
      <formula1>$T$12:$T$14</formula1>
    </dataValidation>
    <dataValidation type="list" allowBlank="1" showErrorMessage="1" sqref="E122" xr:uid="{00000000-0002-0000-0200-000008000000}">
      <formula1>$S$120:$S$121</formula1>
    </dataValidation>
    <dataValidation type="decimal" allowBlank="1" showErrorMessage="1" error="Valor deve estar entre 0 e 100%" prompt="Valor deve estar entre 0 e 100%" sqref="J113" xr:uid="{00000000-0002-0000-0200-000009000000}">
      <formula1>0</formula1>
      <formula2>100</formula2>
    </dataValidation>
    <dataValidation type="decimal" allowBlank="1" showErrorMessage="1" error="Valor deve ser maior que 0% e menor que 100%." prompt="Valor deve ser maior que 0% e menor que 100%." sqref="O122" xr:uid="{00000000-0002-0000-0200-00000A000000}">
      <formula1>1</formula1>
      <formula2>100</formula2>
    </dataValidation>
    <dataValidation type="list" allowBlank="1" showErrorMessage="1" sqref="I72" xr:uid="{00000000-0002-0000-0200-00000B000000}">
      <formula1>$S$65:$S$66</formula1>
    </dataValidation>
    <dataValidation type="list" allowBlank="1" showInputMessage="1" showErrorMessage="1" prompt="Selecione a opção 'Sem captacão' apenas para simualção de ROTA ATUAL, em E122, e tipo de disposição final, em E123, 'Disposição inadequada'." sqref="E128" xr:uid="{00000000-0002-0000-0200-00000C000000}">
      <formula1>$R$123:$R$126</formula1>
    </dataValidation>
    <dataValidation type="decimal" allowBlank="1" showErrorMessage="1" error="Valor deve esatr entre 0 e 100%." prompt="Valor deve esatr entre 0 e 100%." sqref="J60" xr:uid="{00000000-0002-0000-0200-00000D000000}">
      <formula1>0</formula1>
      <formula2>100</formula2>
    </dataValidation>
    <dataValidation type="decimal" allowBlank="1" showErrorMessage="1" error="Valor deve estar entre 0 e 100%." prompt="Valor deve estar entre 0 e 100%." sqref="J59" xr:uid="{00000000-0002-0000-0200-00000E000000}">
      <formula1>0</formula1>
      <formula2>100</formula2>
    </dataValidation>
    <dataValidation type="decimal" allowBlank="1" showInputMessage="1" showErrorMessage="1" error="Valor deve estar entre 0 e 100%" sqref="J121" xr:uid="{00000000-0002-0000-0200-00000F000000}">
      <formula1>0</formula1>
      <formula2>100</formula2>
    </dataValidation>
  </dataValidations>
  <pageMargins left="0.511811024" right="0.511811024" top="0.78740157499999996" bottom="0.78740157499999996" header="0" footer="0"/>
  <pageSetup paperSize="9" fitToWidth="0" orientation="portrait" r:id="rId1"/>
  <drawing r:id="rId2"/>
  <legacyDrawing r:id="rId3"/>
  <extLst>
    <ext xmlns:x14="http://schemas.microsoft.com/office/spreadsheetml/2009/9/main" uri="{CCE6A557-97BC-4b89-ADB6-D9C93CAAB3DF}">
      <x14:dataValidations xmlns:xm="http://schemas.microsoft.com/office/excel/2006/main" xWindow="658" yWindow="802" count="4">
        <x14:dataValidation type="list" allowBlank="1" showErrorMessage="1" xr:uid="{00000000-0002-0000-0200-000010000000}">
          <x14:formula1>
            <xm:f>'R-Avançado'!$H$19:$H$21</xm:f>
          </x14:formula1>
          <xm:sqref>E69 E63</xm:sqref>
        </x14:dataValidation>
        <x14:dataValidation type="list" allowBlank="1" showErrorMessage="1" xr:uid="{00000000-0002-0000-0200-000011000000}">
          <x14:formula1>
            <xm:f>'R-Avançado'!$D$19:$D$21</xm:f>
          </x14:formula1>
          <xm:sqref>E64</xm:sqref>
        </x14:dataValidation>
        <x14:dataValidation type="list" allowBlank="1" showErrorMessage="1" xr:uid="{00000000-0002-0000-0200-000012000000}">
          <x14:formula1>
            <xm:f>'R-Avançado'!$L$19:$L$20</xm:f>
          </x14:formula1>
          <xm:sqref>E71</xm:sqref>
        </x14:dataValidation>
        <x14:dataValidation type="list" allowBlank="1" showErrorMessage="1" xr:uid="{00000000-0002-0000-0200-000013000000}">
          <x14:formula1>
            <xm:f>'R-Avançado'!$D$12:$D$13</xm:f>
          </x14:formula1>
          <xm:sqref>I32:I35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C5E0B3"/>
  </sheetPr>
  <dimension ref="A1:U102"/>
  <sheetViews>
    <sheetView defaultGridColor="0" colorId="23" zoomScale="70" zoomScaleNormal="70" workbookViewId="0">
      <selection activeCell="D3" sqref="D3:E3"/>
    </sheetView>
  </sheetViews>
  <sheetFormatPr defaultColWidth="14.453125" defaultRowHeight="15" customHeight="1" x14ac:dyDescent="0.35"/>
  <cols>
    <col min="1" max="1" width="0.26953125" style="161" customWidth="1"/>
    <col min="2" max="2" width="4.453125" style="161" customWidth="1"/>
    <col min="3" max="3" width="8.453125" style="161" customWidth="1"/>
    <col min="4" max="4" width="17.26953125" style="161" customWidth="1"/>
    <col min="5" max="6" width="18.453125" style="161" customWidth="1"/>
    <col min="7" max="13" width="15.7265625" style="161" customWidth="1"/>
    <col min="14" max="14" width="17.26953125" style="161" customWidth="1"/>
    <col min="15" max="15" width="15.7265625" style="161" customWidth="1"/>
    <col min="16" max="16" width="3.453125" style="161" customWidth="1"/>
  </cols>
  <sheetData>
    <row r="1" spans="1:21" s="902" customFormat="1" ht="15" customHeight="1" x14ac:dyDescent="0.35">
      <c r="A1" s="161"/>
      <c r="B1" s="441"/>
      <c r="C1" s="441"/>
      <c r="D1" s="441"/>
      <c r="E1" s="441"/>
      <c r="F1" s="441"/>
      <c r="G1" s="441"/>
      <c r="H1" s="441"/>
      <c r="I1" s="441"/>
      <c r="J1" s="441"/>
      <c r="K1" s="441"/>
      <c r="L1" s="441"/>
      <c r="M1" s="441"/>
      <c r="N1" s="441"/>
      <c r="O1" s="441"/>
      <c r="P1" s="441"/>
      <c r="Q1" s="441"/>
      <c r="R1" s="441"/>
      <c r="S1" s="441"/>
      <c r="T1" s="441"/>
      <c r="U1" s="441"/>
    </row>
    <row r="2" spans="1:21" s="902" customFormat="1" ht="15" customHeight="1" x14ac:dyDescent="0.35">
      <c r="A2" s="161"/>
      <c r="B2" s="441"/>
      <c r="C2" s="204" t="s">
        <v>493</v>
      </c>
      <c r="D2" s="1986" t="str">
        <f>IF('R-Entrada'!D2&lt;&gt;0,'R-Entrada'!D2,"")</f>
        <v>São Judas Tadeu</v>
      </c>
      <c r="E2" s="1987"/>
      <c r="F2" s="441"/>
      <c r="G2" s="441"/>
      <c r="H2" s="441"/>
      <c r="I2" s="441"/>
      <c r="J2" s="441"/>
      <c r="K2" s="441"/>
      <c r="L2" s="441"/>
      <c r="M2" s="441"/>
      <c r="N2" s="441"/>
      <c r="O2" s="441"/>
      <c r="P2" s="441"/>
      <c r="Q2" s="441"/>
      <c r="R2" s="441"/>
      <c r="S2" s="441"/>
      <c r="T2" s="441"/>
      <c r="U2" s="441"/>
    </row>
    <row r="3" spans="1:21" s="902" customFormat="1" ht="15" customHeight="1" x14ac:dyDescent="0.35">
      <c r="A3" s="161"/>
      <c r="B3" s="441"/>
      <c r="C3" s="419" t="s">
        <v>494</v>
      </c>
      <c r="D3" s="1986" t="str">
        <f>IF('R-Entrada'!D3&lt;&gt;0,'R-Entrada'!D3,"")</f>
        <v>Rota Futura 1</v>
      </c>
      <c r="E3" s="1987"/>
      <c r="F3" s="441"/>
      <c r="G3" s="441"/>
      <c r="H3" s="441"/>
      <c r="I3" s="441"/>
      <c r="J3" s="441"/>
      <c r="K3" s="441"/>
      <c r="L3" s="441"/>
      <c r="M3" s="441"/>
      <c r="N3" s="441"/>
      <c r="O3" s="441"/>
      <c r="P3" s="441"/>
      <c r="Q3" s="441"/>
      <c r="R3" s="441"/>
      <c r="S3" s="441"/>
      <c r="T3" s="441"/>
      <c r="U3" s="441"/>
    </row>
    <row r="4" spans="1:21" ht="14.25" customHeight="1" x14ac:dyDescent="0.35">
      <c r="A4" s="441"/>
      <c r="B4" s="441"/>
      <c r="C4" s="441"/>
      <c r="D4" s="441"/>
      <c r="E4" s="441"/>
      <c r="F4" s="441"/>
      <c r="G4" s="441"/>
      <c r="H4" s="441"/>
      <c r="I4" s="441"/>
      <c r="J4" s="441"/>
      <c r="K4" s="441"/>
      <c r="L4" s="441"/>
      <c r="M4" s="441"/>
      <c r="N4" s="441"/>
      <c r="O4" s="441"/>
      <c r="P4" s="441"/>
      <c r="Q4" s="441"/>
      <c r="R4" s="441"/>
      <c r="S4" s="441"/>
      <c r="T4" s="441"/>
      <c r="U4" s="441"/>
    </row>
    <row r="5" spans="1:21" ht="25.5" customHeight="1" x14ac:dyDescent="0.35">
      <c r="A5" s="668"/>
      <c r="B5" s="200"/>
      <c r="C5" s="201" t="s">
        <v>536</v>
      </c>
      <c r="D5" s="200"/>
      <c r="E5" s="200"/>
      <c r="F5" s="200"/>
      <c r="G5" s="200"/>
      <c r="H5" s="200"/>
      <c r="I5" s="202"/>
      <c r="J5" s="683"/>
      <c r="K5" s="441"/>
      <c r="L5" s="441"/>
      <c r="M5" s="441"/>
      <c r="N5" s="1988" t="s">
        <v>474</v>
      </c>
      <c r="O5" s="1989"/>
      <c r="P5" s="441"/>
      <c r="Q5" s="441"/>
      <c r="R5" s="441"/>
      <c r="S5" s="441"/>
      <c r="T5" s="441"/>
      <c r="U5" s="441"/>
    </row>
    <row r="6" spans="1:21" ht="18.649999999999999" customHeight="1" x14ac:dyDescent="0.35">
      <c r="A6" s="441"/>
      <c r="B6" s="441"/>
      <c r="C6" s="441"/>
      <c r="D6" s="441"/>
      <c r="E6" s="441"/>
      <c r="F6" s="441"/>
      <c r="G6" s="441"/>
      <c r="H6" s="441"/>
      <c r="I6" s="441"/>
      <c r="J6" s="441"/>
      <c r="K6" s="441"/>
      <c r="L6" s="441"/>
      <c r="M6" s="441"/>
      <c r="N6" s="1941" t="str">
        <f>'R-Entrada'!L5</f>
        <v>Versão 1.01   -   Maio de 2022</v>
      </c>
      <c r="O6" s="1989"/>
      <c r="P6" s="441"/>
      <c r="Q6" s="441"/>
      <c r="R6" s="441"/>
      <c r="S6" s="441"/>
      <c r="T6" s="441"/>
      <c r="U6" s="441"/>
    </row>
    <row r="7" spans="1:21" ht="18" customHeight="1" x14ac:dyDescent="0.35">
      <c r="A7" s="642"/>
      <c r="B7" s="666"/>
      <c r="C7" s="1423" t="s">
        <v>178</v>
      </c>
      <c r="D7" s="670"/>
      <c r="E7" s="683"/>
      <c r="F7" s="683"/>
      <c r="G7" s="683"/>
      <c r="H7" s="683"/>
      <c r="I7" s="441"/>
      <c r="J7" s="671" t="s">
        <v>98</v>
      </c>
      <c r="K7" s="382"/>
      <c r="L7" s="383"/>
      <c r="M7" s="465"/>
      <c r="N7" s="441"/>
      <c r="O7" s="441"/>
      <c r="P7" s="441"/>
      <c r="Q7" s="441"/>
      <c r="R7" s="441"/>
      <c r="S7" s="441"/>
      <c r="T7" s="441"/>
      <c r="U7" s="441"/>
    </row>
    <row r="8" spans="1:21" s="1444" customFormat="1" ht="18" customHeight="1" x14ac:dyDescent="0.35">
      <c r="A8" s="642"/>
      <c r="B8" s="1449"/>
      <c r="C8" s="1450"/>
      <c r="D8" s="670"/>
      <c r="E8" s="2003" t="s">
        <v>983</v>
      </c>
      <c r="F8" s="2004"/>
      <c r="G8" s="2004"/>
      <c r="H8" s="2005"/>
      <c r="I8" s="441"/>
      <c r="J8" s="2008"/>
      <c r="K8" s="2009"/>
      <c r="L8" s="2006" t="s">
        <v>179</v>
      </c>
      <c r="M8" s="2006" t="s">
        <v>537</v>
      </c>
      <c r="N8" s="441"/>
      <c r="O8" s="441"/>
      <c r="P8" s="441"/>
      <c r="Q8" s="441"/>
      <c r="R8" s="441"/>
      <c r="S8" s="441"/>
      <c r="T8" s="441"/>
      <c r="U8" s="441"/>
    </row>
    <row r="9" spans="1:21" ht="18" customHeight="1" x14ac:dyDescent="0.35">
      <c r="A9" s="441"/>
      <c r="B9" s="441"/>
      <c r="C9" s="441"/>
      <c r="D9" s="2014"/>
      <c r="E9" s="703" t="s">
        <v>23</v>
      </c>
      <c r="F9" s="2003" t="s">
        <v>984</v>
      </c>
      <c r="G9" s="2004"/>
      <c r="H9" s="2005"/>
      <c r="I9" s="441"/>
      <c r="J9" s="2010"/>
      <c r="K9" s="2011"/>
      <c r="L9" s="2007"/>
      <c r="M9" s="2007"/>
      <c r="N9" s="441"/>
      <c r="O9" s="441"/>
      <c r="P9" s="441"/>
      <c r="Q9" s="441"/>
      <c r="R9" s="441"/>
      <c r="S9" s="441"/>
      <c r="T9" s="441"/>
      <c r="U9" s="441"/>
    </row>
    <row r="10" spans="1:21" ht="18" customHeight="1" x14ac:dyDescent="0.35">
      <c r="A10" s="441"/>
      <c r="B10" s="441"/>
      <c r="C10" s="441"/>
      <c r="D10" s="2015"/>
      <c r="E10" s="1447" t="s">
        <v>735</v>
      </c>
      <c r="F10" s="474" t="s">
        <v>735</v>
      </c>
      <c r="G10" s="474" t="s">
        <v>736</v>
      </c>
      <c r="H10" s="474" t="s">
        <v>558</v>
      </c>
      <c r="I10" s="441"/>
      <c r="J10" s="2012"/>
      <c r="K10" s="2013"/>
      <c r="L10" s="2007"/>
      <c r="M10" s="2007"/>
      <c r="N10" s="441"/>
      <c r="O10" s="441"/>
      <c r="P10" s="441"/>
      <c r="Q10" s="441"/>
      <c r="R10" s="441"/>
      <c r="S10" s="441"/>
      <c r="T10" s="441"/>
      <c r="U10" s="441"/>
    </row>
    <row r="11" spans="1:21" ht="18" customHeight="1" x14ac:dyDescent="0.35">
      <c r="A11" s="441"/>
      <c r="B11" s="441"/>
      <c r="C11" s="441"/>
      <c r="D11" s="1446" t="s">
        <v>180</v>
      </c>
      <c r="E11" s="963">
        <f>IF('R-Definição'!H34="Alta",E12,E13)</f>
        <v>85</v>
      </c>
      <c r="F11" s="963">
        <f>IF('R-Definição'!I34="Alta",F12,F13)</f>
        <v>60</v>
      </c>
      <c r="G11" s="963">
        <f>IF('R-Definição'!I33="Alta",G12,G13)</f>
        <v>60</v>
      </c>
      <c r="H11" s="963">
        <f>IF('R-Definição'!I32="Alta",H12,H13)</f>
        <v>60</v>
      </c>
      <c r="I11" s="441"/>
      <c r="J11" s="1996" t="s">
        <v>538</v>
      </c>
      <c r="K11" s="1996"/>
      <c r="L11" s="206">
        <v>2.5</v>
      </c>
      <c r="M11" s="206">
        <v>12.5</v>
      </c>
      <c r="N11" s="441"/>
      <c r="O11" s="441"/>
      <c r="P11" s="441"/>
      <c r="Q11" s="441"/>
      <c r="R11" s="441"/>
      <c r="S11" s="441"/>
      <c r="T11" s="441"/>
      <c r="U11" s="441"/>
    </row>
    <row r="12" spans="1:21" ht="18" customHeight="1" x14ac:dyDescent="0.35">
      <c r="A12" s="441"/>
      <c r="B12" s="441"/>
      <c r="C12" s="441"/>
      <c r="D12" s="1446" t="s">
        <v>170</v>
      </c>
      <c r="E12" s="206">
        <v>95</v>
      </c>
      <c r="F12" s="206">
        <v>90</v>
      </c>
      <c r="G12" s="206">
        <v>90</v>
      </c>
      <c r="H12" s="206">
        <v>80</v>
      </c>
      <c r="I12" s="441"/>
      <c r="J12" s="1996" t="s">
        <v>539</v>
      </c>
      <c r="K12" s="1996"/>
      <c r="L12" s="206">
        <v>27.5</v>
      </c>
      <c r="M12" s="206">
        <v>30</v>
      </c>
      <c r="N12" s="441"/>
      <c r="O12" s="441"/>
      <c r="P12" s="441"/>
      <c r="Q12" s="441"/>
      <c r="R12" s="441"/>
      <c r="S12" s="441"/>
      <c r="T12" s="441"/>
      <c r="U12" s="441"/>
    </row>
    <row r="13" spans="1:21" ht="18" customHeight="1" x14ac:dyDescent="0.35">
      <c r="A13" s="441"/>
      <c r="B13" s="441"/>
      <c r="C13" s="441"/>
      <c r="D13" s="1446" t="s">
        <v>87</v>
      </c>
      <c r="E13" s="206">
        <v>85</v>
      </c>
      <c r="F13" s="206">
        <v>60</v>
      </c>
      <c r="G13" s="206">
        <v>60</v>
      </c>
      <c r="H13" s="206">
        <v>60</v>
      </c>
      <c r="I13" s="441"/>
      <c r="J13" s="441"/>
      <c r="K13" s="441"/>
      <c r="L13" s="441"/>
      <c r="N13" s="441"/>
      <c r="O13" s="441"/>
      <c r="P13" s="441"/>
      <c r="Q13" s="441"/>
      <c r="R13" s="441"/>
      <c r="S13" s="441"/>
      <c r="T13" s="441"/>
      <c r="U13" s="441"/>
    </row>
    <row r="14" spans="1:21" ht="18" customHeight="1" x14ac:dyDescent="0.35">
      <c r="A14" s="441"/>
      <c r="B14" s="441"/>
      <c r="C14" s="441"/>
      <c r="E14" s="441"/>
      <c r="F14" s="441"/>
      <c r="G14" s="678"/>
      <c r="H14" s="441"/>
      <c r="I14" s="441"/>
      <c r="J14" s="441"/>
      <c r="K14" s="441"/>
      <c r="L14" s="441"/>
      <c r="M14" s="441"/>
      <c r="N14" s="441"/>
      <c r="O14" s="441"/>
      <c r="P14" s="441"/>
      <c r="Q14" s="441"/>
      <c r="R14" s="441"/>
      <c r="S14" s="441"/>
      <c r="T14" s="441"/>
      <c r="U14" s="441"/>
    </row>
    <row r="15" spans="1:21" ht="18" customHeight="1" x14ac:dyDescent="0.35">
      <c r="A15" s="642"/>
      <c r="B15" s="666"/>
      <c r="C15" s="383" t="s">
        <v>181</v>
      </c>
      <c r="D15" s="470"/>
      <c r="E15" s="686"/>
      <c r="F15" s="686"/>
      <c r="G15" s="676"/>
      <c r="H15" s="441"/>
      <c r="I15" s="441"/>
      <c r="J15" s="441"/>
      <c r="K15" s="441"/>
      <c r="L15" s="441"/>
      <c r="M15" s="441"/>
      <c r="N15" s="441"/>
      <c r="O15" s="441"/>
      <c r="P15" s="441"/>
      <c r="Q15" s="441"/>
      <c r="R15" s="441"/>
      <c r="S15" s="441"/>
      <c r="T15" s="441"/>
      <c r="U15" s="441"/>
    </row>
    <row r="16" spans="1:21" ht="18" customHeight="1" x14ac:dyDescent="0.35">
      <c r="A16" s="441"/>
      <c r="B16" s="680"/>
      <c r="C16" s="684"/>
      <c r="D16" s="682" t="s">
        <v>182</v>
      </c>
      <c r="E16" s="382"/>
      <c r="F16" s="672"/>
      <c r="G16" s="441"/>
      <c r="H16" s="671" t="s">
        <v>183</v>
      </c>
      <c r="I16" s="382"/>
      <c r="J16" s="672"/>
      <c r="K16" s="441"/>
      <c r="L16" s="671" t="s">
        <v>126</v>
      </c>
      <c r="M16" s="465"/>
      <c r="N16" s="441"/>
      <c r="O16" s="441"/>
      <c r="P16" s="441"/>
      <c r="Q16" s="441"/>
      <c r="R16" s="441"/>
      <c r="S16" s="441"/>
      <c r="T16" s="441"/>
      <c r="U16" s="441"/>
    </row>
    <row r="17" spans="1:21" ht="18" customHeight="1" x14ac:dyDescent="0.35">
      <c r="A17" s="441"/>
      <c r="B17" s="441"/>
      <c r="C17" s="685"/>
      <c r="D17" s="2016" t="s">
        <v>184</v>
      </c>
      <c r="E17" s="471" t="s">
        <v>185</v>
      </c>
      <c r="F17" s="471" t="s">
        <v>843</v>
      </c>
      <c r="G17" s="441"/>
      <c r="H17" s="2018"/>
      <c r="I17" s="2018" t="s">
        <v>186</v>
      </c>
      <c r="J17" s="1968"/>
      <c r="K17" s="441"/>
      <c r="L17" s="2017" t="s">
        <v>749</v>
      </c>
      <c r="M17" s="1980"/>
      <c r="N17" s="441"/>
      <c r="O17" s="441"/>
      <c r="P17" s="441"/>
      <c r="Q17" s="441"/>
      <c r="R17" s="441"/>
      <c r="S17" s="441"/>
      <c r="T17" s="441"/>
      <c r="U17" s="441"/>
    </row>
    <row r="18" spans="1:21" ht="18" customHeight="1" x14ac:dyDescent="0.35">
      <c r="A18" s="441"/>
      <c r="B18" s="441"/>
      <c r="C18" s="685"/>
      <c r="D18" s="1968"/>
      <c r="E18" s="471" t="s">
        <v>187</v>
      </c>
      <c r="F18" s="471" t="s">
        <v>188</v>
      </c>
      <c r="G18" s="441"/>
      <c r="H18" s="1968"/>
      <c r="I18" s="471" t="s">
        <v>182</v>
      </c>
      <c r="J18" s="673" t="s">
        <v>126</v>
      </c>
      <c r="K18" s="441"/>
      <c r="L18" s="1980"/>
      <c r="M18" s="1980"/>
      <c r="N18" s="441"/>
      <c r="O18" s="441"/>
      <c r="P18" s="441"/>
      <c r="Q18" s="441"/>
      <c r="R18" s="441"/>
      <c r="S18" s="441"/>
      <c r="T18" s="441"/>
      <c r="U18" s="441"/>
    </row>
    <row r="19" spans="1:21" ht="18" customHeight="1" x14ac:dyDescent="0.35">
      <c r="A19" s="441"/>
      <c r="B19" s="441"/>
      <c r="C19" s="441"/>
      <c r="D19" s="1445" t="s">
        <v>189</v>
      </c>
      <c r="E19" s="1418">
        <v>120</v>
      </c>
      <c r="F19" s="1418">
        <v>180</v>
      </c>
      <c r="G19" s="441"/>
      <c r="H19" s="1446" t="s">
        <v>170</v>
      </c>
      <c r="I19" s="206">
        <v>15</v>
      </c>
      <c r="J19" s="206">
        <v>50</v>
      </c>
      <c r="K19" s="441"/>
      <c r="L19" s="1446" t="s">
        <v>189</v>
      </c>
      <c r="M19" s="206">
        <v>10</v>
      </c>
      <c r="N19" s="441"/>
      <c r="O19" s="441"/>
      <c r="P19" s="441"/>
      <c r="Q19" s="441"/>
      <c r="R19" s="441"/>
      <c r="S19" s="441"/>
      <c r="T19" s="441"/>
      <c r="U19" s="441"/>
    </row>
    <row r="20" spans="1:21" ht="18" customHeight="1" x14ac:dyDescent="0.35">
      <c r="A20" s="441"/>
      <c r="B20" s="441"/>
      <c r="C20" s="441"/>
      <c r="D20" s="1445" t="s">
        <v>117</v>
      </c>
      <c r="E20" s="1418">
        <v>100</v>
      </c>
      <c r="F20" s="1418">
        <v>150</v>
      </c>
      <c r="G20" s="441"/>
      <c r="H20" s="1446" t="s">
        <v>115</v>
      </c>
      <c r="I20" s="206">
        <v>12</v>
      </c>
      <c r="J20" s="206">
        <v>40</v>
      </c>
      <c r="K20" s="441"/>
      <c r="L20" s="1446" t="s">
        <v>131</v>
      </c>
      <c r="M20" s="206">
        <v>5</v>
      </c>
      <c r="N20" s="441"/>
      <c r="O20" s="441"/>
      <c r="P20" s="441"/>
      <c r="Q20" s="441"/>
      <c r="R20" s="441"/>
      <c r="S20" s="441"/>
      <c r="T20" s="441"/>
      <c r="U20" s="441"/>
    </row>
    <row r="21" spans="1:21" ht="18" customHeight="1" x14ac:dyDescent="0.35">
      <c r="A21" s="441"/>
      <c r="B21" s="441"/>
      <c r="C21" s="441"/>
      <c r="D21" s="1445" t="s">
        <v>131</v>
      </c>
      <c r="E21" s="1418">
        <v>80</v>
      </c>
      <c r="F21" s="1418">
        <v>120</v>
      </c>
      <c r="G21" s="441"/>
      <c r="H21" s="1446" t="s">
        <v>87</v>
      </c>
      <c r="I21" s="206">
        <v>10</v>
      </c>
      <c r="J21" s="206">
        <v>30</v>
      </c>
      <c r="K21" s="441"/>
      <c r="L21" s="441"/>
      <c r="M21" s="678"/>
      <c r="N21" s="676"/>
      <c r="O21" s="441"/>
      <c r="P21" s="441"/>
      <c r="Q21" s="441"/>
      <c r="R21" s="441"/>
      <c r="S21" s="441"/>
      <c r="T21" s="441"/>
      <c r="U21" s="441"/>
    </row>
    <row r="22" spans="1:21" ht="18" customHeight="1" x14ac:dyDescent="0.35">
      <c r="A22" s="441"/>
      <c r="B22" s="441"/>
      <c r="C22" s="441"/>
      <c r="D22" s="441"/>
      <c r="E22" s="441"/>
      <c r="F22" s="441"/>
      <c r="G22" s="441"/>
      <c r="H22" s="441"/>
      <c r="I22" s="441"/>
      <c r="J22" s="441"/>
      <c r="K22" s="441"/>
      <c r="L22" s="441"/>
      <c r="M22" s="678"/>
      <c r="N22" s="676"/>
      <c r="O22" s="441"/>
      <c r="P22" s="441"/>
      <c r="Q22" s="441"/>
      <c r="R22" s="441"/>
      <c r="S22" s="441"/>
      <c r="T22" s="441"/>
      <c r="U22" s="441"/>
    </row>
    <row r="23" spans="1:21" ht="18" customHeight="1" x14ac:dyDescent="0.35">
      <c r="A23" s="441"/>
      <c r="B23" s="441"/>
      <c r="C23" s="441"/>
      <c r="D23" s="1994" t="s">
        <v>750</v>
      </c>
      <c r="E23" s="1995"/>
      <c r="F23" s="1419">
        <v>65</v>
      </c>
      <c r="G23" s="441"/>
      <c r="H23" s="441"/>
      <c r="I23" s="441"/>
      <c r="J23" s="441"/>
      <c r="K23" s="441"/>
      <c r="L23" s="441"/>
      <c r="M23" s="678"/>
      <c r="N23" s="676"/>
      <c r="O23" s="441"/>
      <c r="P23" s="441"/>
      <c r="Q23" s="441"/>
      <c r="R23" s="441"/>
      <c r="S23" s="441"/>
      <c r="T23" s="441"/>
      <c r="U23" s="441"/>
    </row>
    <row r="24" spans="1:21" ht="18" customHeight="1" x14ac:dyDescent="0.35">
      <c r="A24" s="441"/>
      <c r="B24" s="441"/>
      <c r="C24" s="441"/>
      <c r="D24" s="1994" t="s">
        <v>540</v>
      </c>
      <c r="E24" s="1995"/>
      <c r="F24" s="1419">
        <v>90</v>
      </c>
      <c r="G24" s="441"/>
      <c r="H24" s="441"/>
      <c r="I24" s="441"/>
      <c r="J24" s="441"/>
      <c r="K24" s="441"/>
      <c r="L24" s="441"/>
      <c r="M24" s="678"/>
      <c r="N24" s="676"/>
      <c r="O24" s="441"/>
      <c r="P24" s="441"/>
      <c r="Q24" s="441"/>
      <c r="R24" s="441"/>
      <c r="S24" s="441"/>
      <c r="T24" s="441"/>
      <c r="U24" s="441"/>
    </row>
    <row r="25" spans="1:21" ht="18" customHeight="1" x14ac:dyDescent="0.35">
      <c r="A25" s="441"/>
      <c r="B25" s="441"/>
      <c r="C25" s="441"/>
      <c r="D25" s="205"/>
      <c r="E25" s="676"/>
      <c r="F25" s="678"/>
      <c r="G25" s="441"/>
      <c r="H25" s="441"/>
      <c r="I25" s="441"/>
      <c r="J25" s="678"/>
      <c r="K25" s="441"/>
      <c r="L25" s="441"/>
      <c r="M25" s="441"/>
      <c r="N25" s="676"/>
      <c r="O25" s="441"/>
      <c r="P25" s="441"/>
      <c r="Q25" s="441"/>
      <c r="R25" s="441"/>
      <c r="S25" s="441"/>
      <c r="T25" s="441"/>
      <c r="U25" s="441"/>
    </row>
    <row r="26" spans="1:21" ht="18" customHeight="1" x14ac:dyDescent="0.35">
      <c r="A26" s="669"/>
      <c r="B26" s="675"/>
      <c r="C26" s="383" t="s">
        <v>62</v>
      </c>
      <c r="D26" s="465"/>
      <c r="E26" s="441"/>
      <c r="F26" s="441"/>
      <c r="G26" s="441"/>
      <c r="H26" s="671" t="s">
        <v>63</v>
      </c>
      <c r="I26" s="382"/>
      <c r="J26" s="672"/>
      <c r="K26" s="441"/>
      <c r="L26" s="671" t="s">
        <v>63</v>
      </c>
      <c r="M26" s="382"/>
      <c r="N26" s="383"/>
      <c r="O26" s="672"/>
      <c r="P26" s="441"/>
      <c r="Q26" s="441"/>
      <c r="R26" s="441"/>
      <c r="S26" s="441"/>
      <c r="T26" s="441"/>
      <c r="U26" s="441"/>
    </row>
    <row r="27" spans="1:21" ht="18" customHeight="1" x14ac:dyDescent="0.35">
      <c r="A27" s="441"/>
      <c r="B27" s="680"/>
      <c r="C27" s="1998"/>
      <c r="D27" s="1999"/>
      <c r="E27" s="1999"/>
      <c r="F27" s="316" t="s">
        <v>190</v>
      </c>
      <c r="G27" s="441"/>
      <c r="H27" s="2002" t="s">
        <v>541</v>
      </c>
      <c r="I27" s="1980"/>
      <c r="J27" s="1980"/>
      <c r="K27" s="441"/>
      <c r="L27" s="1997"/>
      <c r="M27" s="1968"/>
      <c r="N27" s="1968"/>
      <c r="O27" s="471" t="s">
        <v>282</v>
      </c>
      <c r="P27" s="441"/>
      <c r="Q27" s="441"/>
      <c r="R27" s="441"/>
      <c r="S27" s="441"/>
      <c r="T27" s="441"/>
      <c r="U27" s="441"/>
    </row>
    <row r="28" spans="1:21" ht="18" customHeight="1" x14ac:dyDescent="0.35">
      <c r="A28" s="441"/>
      <c r="B28" s="441"/>
      <c r="C28" s="1994" t="s">
        <v>751</v>
      </c>
      <c r="D28" s="1995"/>
      <c r="E28" s="1995"/>
      <c r="F28" s="211">
        <v>21.6</v>
      </c>
      <c r="G28" s="441"/>
      <c r="H28" s="212" t="s">
        <v>170</v>
      </c>
      <c r="I28" s="212" t="s">
        <v>115</v>
      </c>
      <c r="J28" s="212" t="s">
        <v>87</v>
      </c>
      <c r="K28" s="441"/>
      <c r="L28" s="213"/>
      <c r="M28" s="674"/>
      <c r="N28" s="213" t="s">
        <v>542</v>
      </c>
      <c r="O28" s="1420">
        <v>16.8</v>
      </c>
      <c r="P28" s="441"/>
      <c r="Q28" s="441"/>
      <c r="R28" s="441"/>
      <c r="S28" s="441"/>
      <c r="T28" s="441"/>
      <c r="U28" s="441"/>
    </row>
    <row r="29" spans="1:21" ht="18" customHeight="1" x14ac:dyDescent="0.35">
      <c r="A29" s="441"/>
      <c r="B29" s="441"/>
      <c r="C29" s="1994" t="s">
        <v>191</v>
      </c>
      <c r="D29" s="1995"/>
      <c r="E29" s="1995"/>
      <c r="F29" s="211">
        <v>20</v>
      </c>
      <c r="G29" s="441"/>
      <c r="H29" s="211">
        <v>50</v>
      </c>
      <c r="I29" s="211">
        <v>30</v>
      </c>
      <c r="J29" s="211">
        <v>10</v>
      </c>
      <c r="K29" s="441"/>
      <c r="L29" s="2000" t="s">
        <v>543</v>
      </c>
      <c r="M29" s="2001"/>
      <c r="N29" s="2001"/>
      <c r="O29" s="1420">
        <v>35</v>
      </c>
      <c r="P29" s="441"/>
      <c r="Q29" s="441"/>
      <c r="R29" s="441"/>
      <c r="S29" s="441"/>
      <c r="T29" s="441"/>
      <c r="U29" s="441"/>
    </row>
    <row r="30" spans="1:21" ht="18" customHeight="1" x14ac:dyDescent="0.35">
      <c r="A30" s="441"/>
      <c r="B30" s="441"/>
      <c r="C30" s="1994" t="s">
        <v>152</v>
      </c>
      <c r="D30" s="1995"/>
      <c r="E30" s="1995"/>
      <c r="F30" s="211">
        <v>90</v>
      </c>
      <c r="G30" s="441"/>
      <c r="H30" s="167"/>
      <c r="I30" s="210"/>
      <c r="J30" s="167"/>
      <c r="K30" s="441"/>
      <c r="L30" s="2000" t="s">
        <v>752</v>
      </c>
      <c r="M30" s="2001"/>
      <c r="N30" s="2001"/>
      <c r="O30" s="1421">
        <v>60</v>
      </c>
      <c r="P30" s="441"/>
      <c r="Q30" s="441"/>
      <c r="R30" s="441"/>
      <c r="S30" s="441"/>
      <c r="T30" s="441"/>
      <c r="U30" s="441"/>
    </row>
    <row r="31" spans="1:21" ht="18" customHeight="1" x14ac:dyDescent="0.35">
      <c r="A31" s="441"/>
      <c r="B31" s="441"/>
      <c r="C31" s="677"/>
      <c r="D31" s="677"/>
      <c r="E31" s="677"/>
      <c r="F31" s="678"/>
      <c r="G31" s="441"/>
      <c r="H31" s="441"/>
      <c r="I31" s="441"/>
      <c r="J31" s="441"/>
      <c r="K31" s="441"/>
      <c r="L31" s="679"/>
      <c r="M31" s="679"/>
      <c r="N31" s="679"/>
      <c r="O31" s="676"/>
      <c r="P31" s="441"/>
      <c r="Q31" s="441"/>
      <c r="R31" s="441"/>
      <c r="S31" s="441"/>
      <c r="T31" s="441"/>
      <c r="U31" s="441"/>
    </row>
    <row r="32" spans="1:21" ht="18" customHeight="1" x14ac:dyDescent="0.35">
      <c r="A32" s="441"/>
      <c r="B32" s="675"/>
      <c r="C32" s="383" t="s">
        <v>192</v>
      </c>
      <c r="D32" s="382"/>
      <c r="E32" s="382"/>
      <c r="F32" s="382"/>
      <c r="G32" s="382"/>
      <c r="H32" s="382"/>
      <c r="I32" s="382"/>
      <c r="J32" s="382"/>
      <c r="K32" s="382"/>
      <c r="L32" s="382"/>
      <c r="M32" s="382"/>
      <c r="N32" s="465"/>
      <c r="O32" s="441"/>
      <c r="P32" s="441"/>
      <c r="Q32" s="441"/>
      <c r="R32" s="441"/>
      <c r="S32" s="441"/>
      <c r="T32" s="441"/>
      <c r="U32" s="441"/>
    </row>
    <row r="33" spans="1:21" ht="18" customHeight="1" x14ac:dyDescent="0.35">
      <c r="A33" s="441"/>
      <c r="B33" s="1992"/>
      <c r="C33" s="1993"/>
      <c r="D33" s="1993"/>
      <c r="E33" s="1942" t="s">
        <v>193</v>
      </c>
      <c r="F33" s="1980"/>
      <c r="G33" s="1980"/>
      <c r="H33" s="1980"/>
      <c r="I33" s="1980"/>
      <c r="J33" s="1980"/>
      <c r="K33" s="1980"/>
      <c r="L33" s="1980"/>
      <c r="M33" s="1980"/>
      <c r="N33" s="1980"/>
      <c r="O33" s="441"/>
      <c r="P33" s="441"/>
      <c r="Q33" s="441"/>
      <c r="R33" s="441"/>
      <c r="S33" s="441"/>
      <c r="T33" s="441"/>
      <c r="U33" s="441"/>
    </row>
    <row r="34" spans="1:21" ht="18" customHeight="1" x14ac:dyDescent="0.35">
      <c r="A34" s="441"/>
      <c r="B34" s="1993"/>
      <c r="C34" s="1993"/>
      <c r="D34" s="1993"/>
      <c r="E34" s="1942" t="s">
        <v>23</v>
      </c>
      <c r="F34" s="1980"/>
      <c r="G34" s="1957" t="s">
        <v>47</v>
      </c>
      <c r="H34" s="1942" t="s">
        <v>476</v>
      </c>
      <c r="I34" s="1980"/>
      <c r="J34" s="1942" t="s">
        <v>477</v>
      </c>
      <c r="K34" s="1942" t="s">
        <v>50</v>
      </c>
      <c r="L34" s="1980"/>
      <c r="M34" s="1942" t="s">
        <v>478</v>
      </c>
      <c r="N34" s="1980"/>
      <c r="O34" s="441"/>
      <c r="P34" s="441"/>
      <c r="Q34" s="441"/>
      <c r="R34" s="441"/>
      <c r="S34" s="441"/>
      <c r="T34" s="441"/>
      <c r="U34" s="441"/>
    </row>
    <row r="35" spans="1:21" ht="18" customHeight="1" x14ac:dyDescent="0.35">
      <c r="A35" s="441"/>
      <c r="B35" s="1993"/>
      <c r="C35" s="1993"/>
      <c r="D35" s="1993"/>
      <c r="E35" s="456" t="s">
        <v>52</v>
      </c>
      <c r="F35" s="456" t="s">
        <v>480</v>
      </c>
      <c r="G35" s="1980"/>
      <c r="H35" s="456" t="s">
        <v>54</v>
      </c>
      <c r="I35" s="456" t="s">
        <v>55</v>
      </c>
      <c r="J35" s="1980"/>
      <c r="K35" s="456" t="s">
        <v>56</v>
      </c>
      <c r="L35" s="456" t="s">
        <v>514</v>
      </c>
      <c r="M35" s="456" t="s">
        <v>479</v>
      </c>
      <c r="N35" s="456" t="s">
        <v>513</v>
      </c>
      <c r="O35" s="441"/>
      <c r="P35" s="441"/>
      <c r="Q35" s="441"/>
      <c r="R35" s="441"/>
      <c r="S35" s="441"/>
      <c r="T35" s="441"/>
      <c r="U35" s="441"/>
    </row>
    <row r="36" spans="1:21" ht="18" customHeight="1" x14ac:dyDescent="0.35">
      <c r="A36" s="441"/>
      <c r="B36" s="1996" t="s">
        <v>481</v>
      </c>
      <c r="C36" s="1991"/>
      <c r="D36" s="1991"/>
      <c r="E36" s="214">
        <v>3.7</v>
      </c>
      <c r="F36" s="214">
        <v>3.7</v>
      </c>
      <c r="G36" s="214">
        <v>10.5</v>
      </c>
      <c r="H36" s="214">
        <v>25</v>
      </c>
      <c r="I36" s="214">
        <v>28</v>
      </c>
      <c r="J36" s="214">
        <v>0</v>
      </c>
      <c r="K36" s="214">
        <v>0</v>
      </c>
      <c r="L36" s="214">
        <v>0</v>
      </c>
      <c r="M36" s="214">
        <v>10</v>
      </c>
      <c r="N36" s="214">
        <v>0</v>
      </c>
      <c r="O36" s="441"/>
      <c r="P36" s="441"/>
      <c r="Q36" s="441"/>
      <c r="R36" s="441"/>
      <c r="S36" s="441"/>
      <c r="T36" s="441"/>
      <c r="U36" s="441"/>
    </row>
    <row r="37" spans="1:21" ht="18" customHeight="1" x14ac:dyDescent="0.35">
      <c r="A37" s="441"/>
      <c r="B37" s="1996" t="s">
        <v>753</v>
      </c>
      <c r="C37" s="1991"/>
      <c r="D37" s="1991"/>
      <c r="E37" s="214">
        <v>250</v>
      </c>
      <c r="F37" s="214">
        <v>250</v>
      </c>
      <c r="G37" s="214">
        <v>150</v>
      </c>
      <c r="H37" s="214">
        <v>0</v>
      </c>
      <c r="I37" s="214">
        <v>0</v>
      </c>
      <c r="J37" s="214">
        <v>0</v>
      </c>
      <c r="K37" s="214">
        <v>0</v>
      </c>
      <c r="L37" s="214">
        <v>0</v>
      </c>
      <c r="M37" s="214">
        <v>100</v>
      </c>
      <c r="N37" s="214">
        <v>0</v>
      </c>
      <c r="O37" s="441"/>
      <c r="P37" s="441"/>
      <c r="Q37" s="441"/>
      <c r="R37" s="441"/>
      <c r="S37" s="441"/>
      <c r="T37" s="441"/>
      <c r="U37" s="441"/>
    </row>
    <row r="38" spans="1:21" ht="18" customHeight="1" x14ac:dyDescent="0.35">
      <c r="A38" s="441"/>
      <c r="B38" s="1990" t="s">
        <v>844</v>
      </c>
      <c r="C38" s="1991"/>
      <c r="D38" s="1991"/>
      <c r="E38" s="215">
        <v>1.1100000000000001</v>
      </c>
      <c r="F38" s="215">
        <v>1.1100000000000001</v>
      </c>
      <c r="G38" s="215">
        <v>1.05</v>
      </c>
      <c r="H38" s="215">
        <v>1.04</v>
      </c>
      <c r="I38" s="215">
        <v>1.04</v>
      </c>
      <c r="J38" s="215">
        <v>0.51</v>
      </c>
      <c r="K38" s="215">
        <v>0.32</v>
      </c>
      <c r="L38" s="215">
        <v>0.93</v>
      </c>
      <c r="M38" s="215">
        <v>1.1100000000000001</v>
      </c>
      <c r="N38" s="215">
        <v>0.7</v>
      </c>
      <c r="O38" s="441"/>
      <c r="P38" s="441"/>
      <c r="Q38" s="441"/>
      <c r="R38" s="441"/>
      <c r="S38" s="441"/>
      <c r="T38" s="441"/>
      <c r="U38" s="441"/>
    </row>
    <row r="39" spans="1:21" ht="18" customHeight="1" x14ac:dyDescent="0.35">
      <c r="A39" s="441"/>
      <c r="B39" s="441"/>
      <c r="C39" s="441"/>
      <c r="D39" s="441" t="s">
        <v>482</v>
      </c>
      <c r="E39" s="441"/>
      <c r="F39" s="441"/>
      <c r="G39" s="441"/>
      <c r="H39" s="441"/>
      <c r="I39" s="441"/>
      <c r="J39" s="441"/>
      <c r="K39" s="441"/>
      <c r="L39" s="441"/>
      <c r="M39" s="441"/>
      <c r="N39" s="441"/>
      <c r="O39" s="441"/>
      <c r="P39" s="441"/>
      <c r="Q39" s="441"/>
      <c r="R39" s="441"/>
      <c r="S39" s="441"/>
      <c r="T39" s="441"/>
      <c r="U39" s="441"/>
    </row>
    <row r="40" spans="1:21" ht="18" customHeight="1" x14ac:dyDescent="0.35">
      <c r="A40" s="441"/>
      <c r="B40" s="441"/>
      <c r="C40" s="441"/>
      <c r="D40" s="441"/>
      <c r="E40" s="441"/>
      <c r="F40" s="441"/>
      <c r="G40" s="441"/>
      <c r="H40" s="441"/>
      <c r="I40" s="441"/>
      <c r="J40" s="441"/>
      <c r="K40" s="441"/>
      <c r="L40" s="441"/>
      <c r="M40" s="441"/>
      <c r="N40" s="441"/>
      <c r="O40" s="441"/>
      <c r="P40" s="441"/>
      <c r="Q40" s="441"/>
      <c r="R40" s="441"/>
      <c r="S40" s="441"/>
      <c r="T40" s="441"/>
      <c r="U40" s="441"/>
    </row>
    <row r="41" spans="1:21" ht="14.25" customHeight="1" x14ac:dyDescent="0.35">
      <c r="A41" s="441"/>
      <c r="B41" s="441"/>
      <c r="C41" s="441"/>
      <c r="D41" s="441"/>
      <c r="E41" s="441"/>
      <c r="F41" s="441"/>
      <c r="G41" s="441"/>
      <c r="H41" s="441"/>
      <c r="I41" s="441"/>
      <c r="J41" s="441"/>
      <c r="K41" s="441"/>
      <c r="L41" s="441"/>
      <c r="M41" s="441"/>
      <c r="N41" s="441"/>
      <c r="O41" s="441"/>
      <c r="P41" s="441"/>
      <c r="Q41" s="441"/>
      <c r="R41" s="441"/>
      <c r="S41" s="441"/>
      <c r="T41" s="441"/>
      <c r="U41" s="441"/>
    </row>
    <row r="42" spans="1:21" ht="14.25" customHeight="1" x14ac:dyDescent="0.35">
      <c r="A42" s="441"/>
      <c r="B42" s="441"/>
      <c r="C42" s="441"/>
      <c r="D42" s="441"/>
      <c r="E42" s="441"/>
      <c r="F42" s="441"/>
      <c r="G42" s="441"/>
      <c r="H42" s="441"/>
      <c r="I42" s="441"/>
      <c r="J42" s="441"/>
      <c r="K42" s="441"/>
      <c r="L42" s="441"/>
      <c r="M42" s="441"/>
      <c r="N42" s="441"/>
      <c r="O42" s="441"/>
      <c r="P42" s="441"/>
      <c r="Q42" s="441"/>
      <c r="R42" s="441"/>
      <c r="S42" s="441"/>
      <c r="T42" s="441"/>
      <c r="U42" s="441"/>
    </row>
    <row r="43" spans="1:21" ht="14.25" customHeight="1" x14ac:dyDescent="0.35">
      <c r="A43" s="441"/>
      <c r="B43" s="441"/>
      <c r="C43" s="441"/>
      <c r="D43" s="441"/>
      <c r="E43" s="441"/>
      <c r="F43" s="441"/>
      <c r="G43" s="441"/>
      <c r="H43" s="441"/>
      <c r="I43" s="441"/>
      <c r="J43" s="441"/>
      <c r="K43" s="441"/>
      <c r="L43" s="441"/>
      <c r="M43" s="441"/>
      <c r="N43" s="441"/>
      <c r="O43" s="441"/>
      <c r="P43" s="441"/>
      <c r="Q43" s="441"/>
      <c r="R43" s="441"/>
      <c r="S43" s="441"/>
      <c r="T43" s="441"/>
      <c r="U43" s="441"/>
    </row>
    <row r="44" spans="1:21" ht="14.25" customHeight="1" x14ac:dyDescent="0.35">
      <c r="A44" s="441"/>
      <c r="B44" s="441"/>
      <c r="C44" s="441"/>
      <c r="D44" s="441"/>
      <c r="E44" s="441"/>
      <c r="F44" s="441"/>
      <c r="G44" s="441"/>
      <c r="H44" s="441"/>
      <c r="I44" s="441"/>
      <c r="J44" s="441"/>
      <c r="K44" s="441"/>
      <c r="L44" s="441"/>
      <c r="M44" s="441"/>
      <c r="N44" s="441"/>
      <c r="O44" s="441"/>
      <c r="P44" s="441"/>
      <c r="Q44" s="441"/>
      <c r="R44" s="441"/>
      <c r="S44" s="441"/>
      <c r="T44" s="441"/>
      <c r="U44" s="441"/>
    </row>
    <row r="45" spans="1:21" ht="14.25" customHeight="1" x14ac:dyDescent="0.35">
      <c r="A45" s="441"/>
      <c r="B45" s="441"/>
      <c r="C45" s="441"/>
      <c r="D45" s="441"/>
      <c r="E45" s="441"/>
      <c r="F45" s="441"/>
      <c r="G45" s="441"/>
      <c r="H45" s="441"/>
      <c r="I45" s="441"/>
      <c r="J45" s="441"/>
      <c r="K45" s="441"/>
      <c r="L45" s="441"/>
      <c r="M45" s="441"/>
      <c r="N45" s="441"/>
      <c r="O45" s="441"/>
      <c r="P45" s="441"/>
      <c r="Q45" s="441"/>
      <c r="R45" s="441"/>
      <c r="S45" s="441"/>
      <c r="T45" s="441"/>
      <c r="U45" s="441"/>
    </row>
    <row r="46" spans="1:21" ht="14.25" customHeight="1" x14ac:dyDescent="0.35">
      <c r="A46" s="441"/>
      <c r="B46" s="441"/>
      <c r="C46" s="441"/>
      <c r="D46" s="441"/>
      <c r="E46" s="441"/>
      <c r="F46" s="441"/>
      <c r="G46" s="441"/>
      <c r="H46" s="441"/>
      <c r="I46" s="441"/>
      <c r="J46" s="441"/>
      <c r="K46" s="441"/>
      <c r="L46" s="441"/>
      <c r="M46" s="441"/>
      <c r="N46" s="441"/>
      <c r="O46" s="441"/>
      <c r="P46" s="441"/>
      <c r="Q46" s="441"/>
    </row>
    <row r="47" spans="1:21" ht="14.25" customHeight="1" x14ac:dyDescent="0.35">
      <c r="A47" s="441"/>
      <c r="B47" s="441"/>
      <c r="C47" s="441"/>
      <c r="D47" s="441"/>
      <c r="E47" s="441"/>
      <c r="F47" s="441"/>
      <c r="G47" s="441"/>
      <c r="H47" s="441"/>
      <c r="I47" s="441"/>
      <c r="J47" s="441"/>
      <c r="K47" s="441"/>
      <c r="L47" s="441"/>
      <c r="M47" s="441"/>
      <c r="N47" s="441"/>
      <c r="O47" s="441"/>
      <c r="P47" s="441"/>
      <c r="Q47" s="441"/>
    </row>
    <row r="48" spans="1:21" ht="14.25" customHeight="1" x14ac:dyDescent="0.35">
      <c r="A48" s="441"/>
      <c r="B48" s="441"/>
      <c r="C48" s="441"/>
      <c r="D48" s="441"/>
      <c r="E48" s="441"/>
      <c r="F48" s="441"/>
      <c r="G48" s="441"/>
      <c r="H48" s="441"/>
      <c r="I48" s="441"/>
      <c r="J48" s="441"/>
      <c r="K48" s="441"/>
      <c r="L48" s="441"/>
      <c r="M48" s="441"/>
      <c r="N48" s="441"/>
      <c r="O48" s="441"/>
      <c r="P48" s="441"/>
      <c r="Q48" s="441"/>
    </row>
    <row r="49" spans="1:17" ht="14.25" customHeight="1" x14ac:dyDescent="0.35">
      <c r="A49" s="441"/>
      <c r="B49" s="441"/>
      <c r="C49" s="441"/>
      <c r="D49" s="441"/>
      <c r="E49" s="441"/>
      <c r="F49" s="441"/>
      <c r="G49" s="441"/>
      <c r="H49" s="441"/>
      <c r="I49" s="441"/>
      <c r="J49" s="441"/>
      <c r="K49" s="441"/>
      <c r="L49" s="441"/>
      <c r="M49" s="441"/>
      <c r="N49" s="441"/>
      <c r="O49" s="441"/>
      <c r="P49" s="441"/>
      <c r="Q49" s="441"/>
    </row>
    <row r="50" spans="1:17" ht="14.25" customHeight="1" x14ac:dyDescent="0.35">
      <c r="A50" s="441"/>
      <c r="B50" s="441"/>
      <c r="C50" s="441"/>
      <c r="D50" s="441"/>
      <c r="E50" s="441"/>
      <c r="F50" s="441"/>
      <c r="G50" s="441"/>
      <c r="H50" s="441"/>
      <c r="I50" s="441"/>
      <c r="J50" s="441"/>
      <c r="K50" s="441"/>
      <c r="L50" s="441"/>
      <c r="M50" s="441"/>
      <c r="N50" s="441"/>
      <c r="O50" s="441"/>
      <c r="P50" s="441"/>
      <c r="Q50" s="441"/>
    </row>
    <row r="51" spans="1:17" ht="14.25" customHeight="1" x14ac:dyDescent="0.35">
      <c r="A51" s="441"/>
      <c r="B51" s="441"/>
      <c r="C51" s="441"/>
      <c r="D51" s="441"/>
      <c r="E51" s="441"/>
      <c r="F51" s="441"/>
      <c r="G51" s="441"/>
      <c r="H51" s="441"/>
      <c r="I51" s="441"/>
      <c r="J51" s="441"/>
      <c r="K51" s="441"/>
      <c r="L51" s="441"/>
      <c r="M51" s="441"/>
      <c r="N51" s="441"/>
      <c r="O51" s="441"/>
      <c r="P51" s="441"/>
      <c r="Q51" s="441"/>
    </row>
    <row r="52" spans="1:17" ht="14.25" customHeight="1" x14ac:dyDescent="0.35">
      <c r="A52" s="441"/>
      <c r="B52" s="441"/>
      <c r="C52" s="441"/>
      <c r="D52" s="441"/>
      <c r="E52" s="441"/>
      <c r="F52" s="441"/>
      <c r="G52" s="441"/>
      <c r="H52" s="441"/>
      <c r="I52" s="441"/>
      <c r="J52" s="441"/>
      <c r="K52" s="441"/>
      <c r="L52" s="441"/>
      <c r="M52" s="441"/>
      <c r="N52" s="441"/>
      <c r="O52" s="441"/>
      <c r="P52" s="441"/>
      <c r="Q52" s="441"/>
    </row>
    <row r="53" spans="1:17" ht="14.25" customHeight="1" x14ac:dyDescent="0.35"/>
    <row r="54" spans="1:17" ht="14.25" customHeight="1" x14ac:dyDescent="0.35"/>
    <row r="55" spans="1:17" ht="14.25" customHeight="1" x14ac:dyDescent="0.35"/>
    <row r="56" spans="1:17" ht="14.25" customHeight="1" x14ac:dyDescent="0.35"/>
    <row r="57" spans="1:17" ht="14.25" customHeight="1" x14ac:dyDescent="0.35"/>
    <row r="58" spans="1:17" ht="14.25" customHeight="1" x14ac:dyDescent="0.35"/>
    <row r="59" spans="1:17" ht="14.25" customHeight="1" x14ac:dyDescent="0.35"/>
    <row r="60" spans="1:17" ht="14.25" customHeight="1" x14ac:dyDescent="0.35"/>
    <row r="61" spans="1:17" ht="14.25" customHeight="1" x14ac:dyDescent="0.35"/>
    <row r="62" spans="1:17" ht="14.25" customHeight="1" x14ac:dyDescent="0.35"/>
    <row r="63" spans="1:17" ht="14.25" customHeight="1" x14ac:dyDescent="0.35"/>
    <row r="64" spans="1:17"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sheetData>
  <sheetProtection password="EDB3" sheet="1" objects="1" scenarios="1"/>
  <mergeCells count="37">
    <mergeCell ref="D9:D10"/>
    <mergeCell ref="D17:D18"/>
    <mergeCell ref="L17:M18"/>
    <mergeCell ref="I17:J17"/>
    <mergeCell ref="D24:E24"/>
    <mergeCell ref="H17:H18"/>
    <mergeCell ref="H27:J27"/>
    <mergeCell ref="F9:H9"/>
    <mergeCell ref="M8:M10"/>
    <mergeCell ref="J11:K11"/>
    <mergeCell ref="J12:K12"/>
    <mergeCell ref="L8:L10"/>
    <mergeCell ref="J8:K10"/>
    <mergeCell ref="E8:H8"/>
    <mergeCell ref="K34:L34"/>
    <mergeCell ref="L29:N29"/>
    <mergeCell ref="E33:N33"/>
    <mergeCell ref="C30:E30"/>
    <mergeCell ref="L30:N30"/>
    <mergeCell ref="H34:I34"/>
    <mergeCell ref="J34:J35"/>
    <mergeCell ref="D2:E2"/>
    <mergeCell ref="D3:E3"/>
    <mergeCell ref="N5:O5"/>
    <mergeCell ref="N6:O6"/>
    <mergeCell ref="B38:D38"/>
    <mergeCell ref="B33:D35"/>
    <mergeCell ref="C28:E28"/>
    <mergeCell ref="C29:E29"/>
    <mergeCell ref="B36:D36"/>
    <mergeCell ref="B37:D37"/>
    <mergeCell ref="L27:N27"/>
    <mergeCell ref="C27:E27"/>
    <mergeCell ref="D23:E23"/>
    <mergeCell ref="M34:N34"/>
    <mergeCell ref="E34:F34"/>
    <mergeCell ref="G34:G35"/>
  </mergeCells>
  <conditionalFormatting sqref="F28:F29">
    <cfRule type="expression" dxfId="551" priority="1">
      <formula>$G$98&gt;0</formula>
    </cfRule>
  </conditionalFormatting>
  <conditionalFormatting sqref="F30">
    <cfRule type="expression" dxfId="550" priority="2">
      <formula>$F$114&gt;0</formula>
    </cfRule>
  </conditionalFormatting>
  <conditionalFormatting sqref="H28:J29">
    <cfRule type="expression" dxfId="549" priority="3">
      <formula>$G$98&gt;0</formula>
    </cfRule>
  </conditionalFormatting>
  <conditionalFormatting sqref="O28:O29">
    <cfRule type="expression" dxfId="548" priority="4">
      <formula>$G$98&gt;0</formula>
    </cfRule>
  </conditionalFormatting>
  <conditionalFormatting sqref="I30">
    <cfRule type="expression" dxfId="547" priority="5">
      <formula>$G$98&gt;0</formula>
    </cfRule>
  </conditionalFormatting>
  <pageMargins left="0.511811024" right="0.511811024" top="0.78740157499999996" bottom="0.78740157499999996"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B1:BQ100"/>
  <sheetViews>
    <sheetView showGridLines="0" zoomScaleNormal="100" workbookViewId="0">
      <selection activeCell="AB7" sqref="AB7:AK7"/>
    </sheetView>
  </sheetViews>
  <sheetFormatPr defaultColWidth="14.453125" defaultRowHeight="15" customHeight="1" x14ac:dyDescent="0.35"/>
  <cols>
    <col min="1" max="1" width="1.453125" customWidth="1"/>
    <col min="2" max="2" width="1" customWidth="1"/>
    <col min="3" max="3" width="8.453125" customWidth="1"/>
    <col min="4" max="4" width="0.453125" customWidth="1"/>
    <col min="5" max="5" width="1.7265625" customWidth="1"/>
    <col min="6" max="6" width="8.453125" customWidth="1"/>
    <col min="7" max="7" width="3.453125" customWidth="1"/>
    <col min="8" max="8" width="5.7265625" customWidth="1"/>
    <col min="9" max="9" width="4.26953125" customWidth="1"/>
    <col min="10" max="10" width="4.7265625" customWidth="1"/>
    <col min="11" max="11" width="0.453125" customWidth="1"/>
    <col min="12" max="12" width="1.453125" customWidth="1"/>
    <col min="13" max="13" width="3" customWidth="1"/>
    <col min="14" max="14" width="8.26953125" customWidth="1"/>
    <col min="15" max="15" width="1.453125" customWidth="1"/>
    <col min="16" max="16" width="0.453125" customWidth="1"/>
    <col min="17" max="17" width="6.26953125" customWidth="1"/>
    <col min="18" max="18" width="4.453125" customWidth="1"/>
    <col min="19" max="19" width="0.7265625" customWidth="1"/>
    <col min="20" max="20" width="8.7265625" customWidth="1"/>
    <col min="21" max="21" width="0.7265625" customWidth="1"/>
    <col min="22" max="22" width="3.453125" customWidth="1"/>
    <col min="23" max="23" width="4.7265625" customWidth="1"/>
    <col min="24" max="24" width="1.7265625" customWidth="1"/>
    <col min="25" max="25" width="4.453125" customWidth="1"/>
    <col min="26" max="26" width="5" customWidth="1"/>
    <col min="27" max="27" width="4.26953125" customWidth="1"/>
    <col min="28" max="28" width="4" customWidth="1"/>
    <col min="29" max="29" width="2.453125" customWidth="1"/>
    <col min="30" max="30" width="3.453125" customWidth="1"/>
    <col min="31" max="31" width="5.26953125" customWidth="1"/>
    <col min="32" max="32" width="5.7265625" customWidth="1"/>
    <col min="33" max="33" width="2.453125" customWidth="1"/>
    <col min="34" max="34" width="1.453125" customWidth="1"/>
    <col min="35" max="35" width="2.453125" customWidth="1"/>
    <col min="36" max="36" width="1.453125" customWidth="1"/>
    <col min="37" max="37" width="6.7265625" customWidth="1"/>
    <col min="38" max="38" width="4" customWidth="1"/>
    <col min="39" max="39" width="5" customWidth="1"/>
    <col min="40" max="40" width="1.453125" customWidth="1"/>
    <col min="41" max="41" width="12.26953125" customWidth="1"/>
    <col min="42" max="42" width="3.453125" customWidth="1"/>
    <col min="43" max="43" width="11.7265625" customWidth="1"/>
    <col min="44" max="44" width="2.7265625" customWidth="1"/>
    <col min="45" max="45" width="10.26953125" customWidth="1"/>
    <col min="46" max="46" width="1.453125" customWidth="1"/>
    <col min="47" max="53" width="8.453125" customWidth="1"/>
  </cols>
  <sheetData>
    <row r="1" spans="2:69" s="161" customFormat="1" ht="24" customHeight="1" thickTop="1" x14ac:dyDescent="0.35">
      <c r="B1" s="2047" t="s">
        <v>847</v>
      </c>
      <c r="C1" s="2048"/>
      <c r="D1" s="2048"/>
      <c r="E1" s="2048"/>
      <c r="F1" s="2048"/>
      <c r="G1" s="2048"/>
      <c r="H1" s="2048"/>
      <c r="I1" s="2048"/>
      <c r="J1" s="2048"/>
      <c r="K1" s="2048"/>
      <c r="L1" s="2048"/>
      <c r="M1" s="2048"/>
      <c r="N1" s="2048"/>
      <c r="O1" s="2048"/>
      <c r="P1" s="2049"/>
      <c r="Q1" s="2049"/>
      <c r="R1" s="2034" t="s">
        <v>194</v>
      </c>
      <c r="S1" s="2035"/>
      <c r="T1" s="2035"/>
      <c r="U1" s="2035"/>
      <c r="V1" s="2040" t="str">
        <f>IF('R-Entrada'!D3&lt;&gt;0,'R-Entrada'!D3,"")</f>
        <v>Rota Futura 1</v>
      </c>
      <c r="W1" s="2041"/>
      <c r="X1" s="2041"/>
      <c r="Y1" s="2041"/>
      <c r="Z1" s="2041"/>
      <c r="AA1" s="2041"/>
      <c r="AB1" s="2042"/>
      <c r="AC1" s="2034" t="s">
        <v>0</v>
      </c>
      <c r="AD1" s="2035"/>
      <c r="AE1" s="2035"/>
      <c r="AF1" s="2035"/>
      <c r="AG1" s="2040" t="str">
        <f>IF('R-Entrada'!D2&lt;&gt;0,'R-Entrada'!D2,"")</f>
        <v>São Judas Tadeu</v>
      </c>
      <c r="AH1" s="2041"/>
      <c r="AI1" s="2041"/>
      <c r="AJ1" s="2041"/>
      <c r="AK1" s="2041"/>
      <c r="AL1" s="2041"/>
      <c r="AM1" s="2041"/>
      <c r="AN1" s="2041"/>
      <c r="AO1" s="2041"/>
      <c r="AP1" s="2041"/>
      <c r="AQ1" s="2041"/>
      <c r="AR1" s="2042"/>
      <c r="AS1" s="968" t="s">
        <v>840</v>
      </c>
      <c r="AT1" s="965"/>
      <c r="AV1" s="162"/>
    </row>
    <row r="2" spans="2:69" s="161" customFormat="1" ht="3" customHeight="1" x14ac:dyDescent="0.35">
      <c r="B2" s="2043"/>
      <c r="C2" s="2025"/>
      <c r="D2" s="2025"/>
      <c r="E2" s="2025"/>
      <c r="F2" s="2025"/>
      <c r="G2" s="2025"/>
      <c r="H2" s="2025"/>
      <c r="I2" s="2026"/>
      <c r="J2" s="163"/>
      <c r="K2" s="2038"/>
      <c r="L2" s="2025"/>
      <c r="M2" s="2025"/>
      <c r="N2" s="2025"/>
      <c r="O2" s="2025"/>
      <c r="P2" s="2025"/>
      <c r="Q2" s="2025"/>
      <c r="R2" s="2025"/>
      <c r="S2" s="2025"/>
      <c r="T2" s="2025"/>
      <c r="U2" s="2025"/>
      <c r="V2" s="2025"/>
      <c r="W2" s="2025"/>
      <c r="X2" s="2025"/>
      <c r="Y2" s="2025"/>
      <c r="Z2" s="2025"/>
      <c r="AA2" s="2025"/>
      <c r="AB2" s="2025"/>
      <c r="AC2" s="2025"/>
      <c r="AD2" s="2025"/>
      <c r="AE2" s="2025"/>
      <c r="AF2" s="2025"/>
      <c r="AG2" s="2025"/>
      <c r="AH2" s="2025"/>
      <c r="AI2" s="2025"/>
      <c r="AJ2" s="2026"/>
      <c r="AK2" s="2038"/>
      <c r="AL2" s="2025"/>
      <c r="AM2" s="2025"/>
      <c r="AN2" s="2025"/>
      <c r="AO2" s="2025"/>
      <c r="AP2" s="2025"/>
      <c r="AQ2" s="2025"/>
      <c r="AR2" s="2025"/>
      <c r="AS2" s="2025"/>
      <c r="AT2" s="2039"/>
      <c r="AU2" s="162"/>
    </row>
    <row r="3" spans="2:69" s="161" customFormat="1" ht="17.149999999999999" customHeight="1" x14ac:dyDescent="0.35">
      <c r="B3" s="164"/>
      <c r="C3" s="155">
        <f>'R-Entrada'!E14</f>
        <v>3000</v>
      </c>
      <c r="D3" s="165"/>
      <c r="E3" s="2024" t="s">
        <v>195</v>
      </c>
      <c r="F3" s="2025"/>
      <c r="G3" s="2025"/>
      <c r="H3" s="2026"/>
      <c r="I3" s="165"/>
      <c r="J3" s="163"/>
      <c r="K3" s="165"/>
      <c r="L3" s="165"/>
      <c r="M3" s="163"/>
      <c r="N3" s="163"/>
      <c r="O3" s="163"/>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6"/>
      <c r="AU3" s="162"/>
      <c r="AV3" s="167"/>
      <c r="AW3" s="167"/>
      <c r="AX3" s="167"/>
      <c r="AY3" s="167"/>
      <c r="AZ3" s="167"/>
      <c r="BA3" s="167"/>
    </row>
    <row r="4" spans="2:69" s="161" customFormat="1" ht="2.15" customHeight="1" x14ac:dyDescent="0.35">
      <c r="B4" s="164"/>
      <c r="C4" s="165"/>
      <c r="D4" s="165"/>
      <c r="E4" s="165"/>
      <c r="F4" s="165"/>
      <c r="G4" s="165"/>
      <c r="H4" s="165"/>
      <c r="I4" s="165"/>
      <c r="J4" s="163"/>
      <c r="K4" s="165"/>
      <c r="L4" s="165"/>
      <c r="M4" s="163"/>
      <c r="N4" s="163"/>
      <c r="O4" s="163"/>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6"/>
      <c r="AU4" s="162"/>
      <c r="AV4" s="167"/>
      <c r="AW4" s="167"/>
      <c r="AX4" s="167"/>
      <c r="AY4" s="167"/>
      <c r="AZ4" s="167"/>
      <c r="BA4" s="167"/>
    </row>
    <row r="5" spans="2:69" s="161" customFormat="1" ht="17.149999999999999" customHeight="1" x14ac:dyDescent="0.35">
      <c r="B5" s="168"/>
      <c r="C5" s="155">
        <f>'R-Entrada'!E44</f>
        <v>450</v>
      </c>
      <c r="D5" s="163"/>
      <c r="E5" s="2024" t="s">
        <v>196</v>
      </c>
      <c r="F5" s="2025"/>
      <c r="G5" s="2025"/>
      <c r="H5" s="2026"/>
      <c r="I5" s="163"/>
      <c r="J5" s="163"/>
      <c r="K5" s="163"/>
      <c r="L5" s="163"/>
      <c r="M5" s="163"/>
      <c r="N5" s="163"/>
      <c r="O5" s="163"/>
      <c r="P5" s="163"/>
      <c r="Q5" s="163"/>
      <c r="R5" s="163"/>
      <c r="S5" s="163"/>
      <c r="T5" s="163"/>
      <c r="U5" s="163"/>
      <c r="V5" s="163"/>
      <c r="W5" s="163"/>
      <c r="X5" s="163"/>
      <c r="Y5" s="163"/>
      <c r="Z5" s="163"/>
      <c r="AA5" s="163"/>
      <c r="AB5" s="2044" t="s">
        <v>474</v>
      </c>
      <c r="AC5" s="1984"/>
      <c r="AD5" s="1984"/>
      <c r="AE5" s="1984"/>
      <c r="AF5" s="1984"/>
      <c r="AG5" s="1984"/>
      <c r="AH5" s="1984"/>
      <c r="AI5" s="1984"/>
      <c r="AJ5" s="1984"/>
      <c r="AK5" s="1984"/>
      <c r="AL5" s="163"/>
      <c r="AM5" s="163"/>
      <c r="AN5" s="163"/>
      <c r="AO5" s="163"/>
      <c r="AP5" s="163"/>
      <c r="AQ5" s="163"/>
      <c r="AR5" s="163"/>
      <c r="AS5" s="163"/>
      <c r="AT5" s="169"/>
      <c r="AU5" s="162"/>
      <c r="AV5" s="167"/>
      <c r="AW5" s="167"/>
      <c r="AX5" s="167"/>
      <c r="AY5" s="167"/>
      <c r="AZ5" s="167"/>
      <c r="BA5" s="167"/>
    </row>
    <row r="6" spans="2:69" s="161" customFormat="1" ht="2.15" customHeight="1" x14ac:dyDescent="0.35">
      <c r="B6" s="168"/>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906"/>
      <c r="AC6" s="906"/>
      <c r="AD6" s="906"/>
      <c r="AE6" s="906"/>
      <c r="AF6" s="906"/>
      <c r="AG6" s="906"/>
      <c r="AH6" s="906"/>
      <c r="AI6" s="906"/>
      <c r="AJ6" s="906"/>
      <c r="AK6" s="906"/>
      <c r="AL6" s="163"/>
      <c r="AM6" s="163"/>
      <c r="AN6" s="163"/>
      <c r="AO6" s="163"/>
      <c r="AP6" s="163"/>
      <c r="AQ6" s="163"/>
      <c r="AR6" s="163"/>
      <c r="AS6" s="163"/>
      <c r="AT6" s="169"/>
      <c r="AU6" s="162"/>
      <c r="AV6" s="170"/>
      <c r="AW6" s="171"/>
      <c r="AX6" s="167"/>
      <c r="AY6" s="167"/>
      <c r="AZ6" s="167"/>
      <c r="BA6" s="167"/>
    </row>
    <row r="7" spans="2:69" s="161" customFormat="1" ht="17.149999999999999" customHeight="1" x14ac:dyDescent="0.3">
      <c r="B7" s="168"/>
      <c r="C7" s="155">
        <f>'R-Entrada'!E45</f>
        <v>150</v>
      </c>
      <c r="D7" s="163"/>
      <c r="E7" s="2024" t="s">
        <v>57</v>
      </c>
      <c r="F7" s="2025"/>
      <c r="G7" s="2025"/>
      <c r="H7" s="2026"/>
      <c r="I7" s="163"/>
      <c r="J7" s="163"/>
      <c r="K7" s="163"/>
      <c r="L7" s="163"/>
      <c r="M7" s="163"/>
      <c r="N7" s="163"/>
      <c r="O7" s="163"/>
      <c r="P7" s="163"/>
      <c r="Q7" s="163"/>
      <c r="R7" s="163"/>
      <c r="S7" s="163"/>
      <c r="T7" s="163"/>
      <c r="U7" s="163"/>
      <c r="V7" s="163"/>
      <c r="W7" s="163"/>
      <c r="X7" s="163"/>
      <c r="Y7" s="163"/>
      <c r="Z7" s="163"/>
      <c r="AA7" s="163"/>
      <c r="AB7" s="2045" t="str">
        <f>'R-Entrada'!L5</f>
        <v>Versão 1.01   -   Maio de 2022</v>
      </c>
      <c r="AC7" s="2046"/>
      <c r="AD7" s="2046"/>
      <c r="AE7" s="2046"/>
      <c r="AF7" s="2046"/>
      <c r="AG7" s="2046"/>
      <c r="AH7" s="2046"/>
      <c r="AI7" s="2046"/>
      <c r="AJ7" s="2046"/>
      <c r="AK7" s="2046"/>
      <c r="AL7" s="163"/>
      <c r="AM7" s="163"/>
      <c r="AN7" s="163"/>
      <c r="AO7" s="163"/>
      <c r="AP7" s="163"/>
      <c r="AQ7" s="163"/>
      <c r="AR7" s="163"/>
      <c r="AS7" s="163"/>
      <c r="AT7" s="169"/>
      <c r="AU7" s="162"/>
      <c r="AV7" s="170"/>
      <c r="AW7" s="171"/>
      <c r="AX7" s="167"/>
      <c r="AY7" s="167"/>
      <c r="AZ7" s="167"/>
      <c r="BA7" s="167"/>
      <c r="BB7" s="167"/>
      <c r="BC7" s="167"/>
      <c r="BD7" s="167"/>
      <c r="BE7" s="167"/>
      <c r="BF7" s="167"/>
      <c r="BG7" s="167"/>
      <c r="BH7" s="167"/>
      <c r="BI7" s="167"/>
      <c r="BJ7" s="167"/>
      <c r="BK7" s="167"/>
      <c r="BL7" s="167"/>
      <c r="BM7" s="167"/>
      <c r="BN7" s="167"/>
      <c r="BO7" s="167"/>
      <c r="BP7" s="167"/>
      <c r="BQ7" s="167"/>
    </row>
    <row r="8" spans="2:69" s="161" customFormat="1" ht="1.4" customHeight="1" x14ac:dyDescent="0.35">
      <c r="B8" s="168"/>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9"/>
      <c r="AU8" s="162"/>
      <c r="AV8" s="167"/>
      <c r="AW8" s="167"/>
      <c r="AX8" s="167"/>
      <c r="AY8" s="167"/>
      <c r="AZ8" s="167"/>
      <c r="BA8" s="167"/>
      <c r="BB8" s="167"/>
      <c r="BC8" s="167"/>
      <c r="BD8" s="167"/>
      <c r="BE8" s="167"/>
      <c r="BF8" s="167"/>
      <c r="BG8" s="167"/>
      <c r="BH8" s="167"/>
      <c r="BI8" s="167"/>
      <c r="BJ8" s="167"/>
      <c r="BK8" s="167"/>
      <c r="BL8" s="167"/>
      <c r="BM8" s="167"/>
      <c r="BN8" s="167"/>
      <c r="BO8" s="167"/>
      <c r="BP8" s="167"/>
      <c r="BQ8" s="167"/>
    </row>
    <row r="9" spans="2:69" s="161" customFormat="1" ht="17.149999999999999" customHeight="1" x14ac:dyDescent="0.35">
      <c r="B9" s="168"/>
      <c r="C9" s="155">
        <f>'R-Entrada'!E46</f>
        <v>2400</v>
      </c>
      <c r="D9" s="163"/>
      <c r="E9" s="2024" t="s">
        <v>197</v>
      </c>
      <c r="F9" s="2025"/>
      <c r="G9" s="2025"/>
      <c r="H9" s="2026"/>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56"/>
      <c r="AO9" s="156"/>
      <c r="AP9" s="156"/>
      <c r="AQ9" s="156"/>
      <c r="AR9" s="156"/>
      <c r="AS9" s="156"/>
      <c r="AT9" s="169"/>
      <c r="AU9" s="162"/>
      <c r="AV9" s="167"/>
      <c r="AW9" s="167"/>
      <c r="AX9" s="167"/>
      <c r="AY9" s="167"/>
      <c r="AZ9" s="167"/>
      <c r="BA9" s="167"/>
      <c r="BB9" s="167"/>
      <c r="BC9" s="167"/>
      <c r="BD9" s="167"/>
      <c r="BE9" s="167"/>
      <c r="BF9" s="167"/>
      <c r="BG9" s="167"/>
      <c r="BH9" s="167"/>
      <c r="BI9" s="167"/>
      <c r="BJ9" s="167"/>
      <c r="BK9" s="167"/>
      <c r="BL9" s="167"/>
      <c r="BM9" s="167"/>
      <c r="BN9" s="167"/>
      <c r="BO9" s="167"/>
      <c r="BP9" s="167"/>
      <c r="BQ9" s="167"/>
    </row>
    <row r="10" spans="2:69" s="161" customFormat="1" ht="2.15" customHeight="1" x14ac:dyDescent="0.35">
      <c r="B10" s="168"/>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156"/>
      <c r="AO10" s="156"/>
      <c r="AP10" s="156"/>
      <c r="AQ10" s="156"/>
      <c r="AR10" s="156"/>
      <c r="AS10" s="156"/>
      <c r="AT10" s="169"/>
      <c r="AU10" s="162"/>
      <c r="AV10" s="167"/>
      <c r="AW10" s="167"/>
      <c r="AX10" s="167"/>
      <c r="AY10" s="167"/>
      <c r="AZ10" s="167"/>
      <c r="BA10" s="167"/>
      <c r="BB10" s="167"/>
      <c r="BC10" s="167"/>
      <c r="BD10" s="167"/>
      <c r="BE10" s="167"/>
      <c r="BF10" s="167"/>
      <c r="BG10" s="167"/>
      <c r="BH10" s="167"/>
      <c r="BI10" s="167"/>
      <c r="BJ10" s="167"/>
      <c r="BK10" s="167"/>
      <c r="BL10" s="167"/>
      <c r="BM10" s="167"/>
      <c r="BN10" s="167"/>
      <c r="BO10" s="167"/>
      <c r="BP10" s="167"/>
      <c r="BQ10" s="167"/>
    </row>
    <row r="11" spans="2:69" s="161" customFormat="1" ht="17.149999999999999" customHeight="1" x14ac:dyDescent="0.35">
      <c r="B11" s="168"/>
      <c r="C11" s="155">
        <f>'R-Entrada'!E47</f>
        <v>3000</v>
      </c>
      <c r="D11" s="163"/>
      <c r="E11" s="2036" t="s">
        <v>848</v>
      </c>
      <c r="F11" s="2037"/>
      <c r="G11" s="2037"/>
      <c r="H11" s="2037"/>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56"/>
      <c r="AO11" s="2029" t="s">
        <v>198</v>
      </c>
      <c r="AP11" s="156"/>
      <c r="AQ11" s="2029" t="s">
        <v>199</v>
      </c>
      <c r="AR11" s="156"/>
      <c r="AS11" s="2029" t="s">
        <v>63</v>
      </c>
      <c r="AT11" s="169"/>
      <c r="AU11" s="162"/>
      <c r="AV11" s="170"/>
      <c r="AW11" s="171"/>
      <c r="AX11" s="170"/>
      <c r="AY11" s="171"/>
      <c r="AZ11" s="167"/>
      <c r="BA11" s="167"/>
      <c r="BB11" s="167"/>
      <c r="BC11" s="167"/>
      <c r="BD11" s="167"/>
      <c r="BE11" s="167"/>
      <c r="BF11" s="167"/>
      <c r="BG11" s="167"/>
      <c r="BH11" s="167"/>
      <c r="BI11" s="167"/>
      <c r="BJ11" s="167"/>
      <c r="BK11" s="167"/>
      <c r="BL11" s="167"/>
      <c r="BM11" s="167"/>
      <c r="BN11" s="167"/>
      <c r="BO11" s="167"/>
      <c r="BP11" s="167"/>
      <c r="BQ11" s="167"/>
    </row>
    <row r="12" spans="2:69" s="161" customFormat="1" ht="4.4000000000000004" customHeight="1" x14ac:dyDescent="0.35">
      <c r="B12" s="168"/>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56"/>
      <c r="AO12" s="2032"/>
      <c r="AP12" s="156"/>
      <c r="AQ12" s="2030"/>
      <c r="AR12" s="156"/>
      <c r="AS12" s="2030"/>
      <c r="AT12" s="169"/>
      <c r="AU12" s="162"/>
      <c r="AV12" s="170"/>
      <c r="AW12" s="171"/>
      <c r="AX12" s="170"/>
      <c r="AY12" s="171"/>
      <c r="AZ12" s="167"/>
      <c r="BA12" s="167"/>
      <c r="BB12" s="167"/>
      <c r="BC12" s="167"/>
      <c r="BD12" s="167"/>
      <c r="BE12" s="167"/>
      <c r="BF12" s="167"/>
      <c r="BG12" s="167"/>
      <c r="BH12" s="167"/>
      <c r="BI12" s="167"/>
      <c r="BJ12" s="167"/>
      <c r="BK12" s="167"/>
      <c r="BL12" s="167"/>
      <c r="BM12" s="167"/>
      <c r="BN12" s="167"/>
      <c r="BO12" s="167"/>
      <c r="BP12" s="167"/>
      <c r="BQ12" s="167"/>
    </row>
    <row r="13" spans="2:69" s="161" customFormat="1" ht="6.65" customHeight="1" x14ac:dyDescent="0.35">
      <c r="B13" s="168"/>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56"/>
      <c r="AO13" s="2033"/>
      <c r="AP13" s="156"/>
      <c r="AQ13" s="2031"/>
      <c r="AR13" s="156"/>
      <c r="AS13" s="2031"/>
      <c r="AT13" s="169"/>
      <c r="AU13" s="172"/>
      <c r="AV13" s="167"/>
      <c r="AW13" s="167"/>
      <c r="AX13" s="167"/>
      <c r="AY13" s="167"/>
      <c r="AZ13" s="167"/>
      <c r="BA13" s="167"/>
      <c r="BB13" s="167"/>
      <c r="BC13" s="167"/>
      <c r="BD13" s="167"/>
      <c r="BE13" s="167"/>
      <c r="BF13" s="167"/>
      <c r="BG13" s="167"/>
      <c r="BH13" s="167"/>
      <c r="BI13" s="167"/>
      <c r="BJ13" s="167"/>
      <c r="BK13" s="167"/>
      <c r="BL13" s="167"/>
      <c r="BM13" s="167"/>
      <c r="BN13" s="167"/>
      <c r="BO13" s="167"/>
      <c r="BP13" s="167"/>
      <c r="BQ13" s="167"/>
    </row>
    <row r="14" spans="2:69" s="161" customFormat="1" ht="7.4" customHeight="1" x14ac:dyDescent="0.35">
      <c r="B14" s="168"/>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56"/>
      <c r="AO14" s="156"/>
      <c r="AP14" s="156"/>
      <c r="AQ14" s="156"/>
      <c r="AR14" s="156"/>
      <c r="AS14" s="156"/>
      <c r="AT14" s="169"/>
      <c r="AU14" s="162"/>
      <c r="AV14" s="167"/>
      <c r="AW14" s="167"/>
      <c r="AX14" s="167"/>
      <c r="AY14" s="167"/>
      <c r="AZ14" s="167"/>
      <c r="BA14" s="167"/>
      <c r="BB14" s="167"/>
      <c r="BC14" s="167"/>
      <c r="BD14" s="167"/>
      <c r="BE14" s="167"/>
      <c r="BF14" s="167"/>
      <c r="BG14" s="167"/>
      <c r="BH14" s="167"/>
      <c r="BI14" s="167"/>
      <c r="BJ14" s="167"/>
      <c r="BK14" s="167"/>
      <c r="BL14" s="167"/>
      <c r="BM14" s="167"/>
      <c r="BN14" s="167"/>
      <c r="BO14" s="167"/>
      <c r="BP14" s="167"/>
      <c r="BQ14" s="167"/>
    </row>
    <row r="15" spans="2:69" s="161" customFormat="1" ht="17.149999999999999" customHeight="1" x14ac:dyDescent="0.35">
      <c r="B15" s="168"/>
      <c r="C15" s="157"/>
      <c r="D15" s="163"/>
      <c r="E15" s="163"/>
      <c r="F15" s="155">
        <f>'R-Resumo Bal. Massa'!D19</f>
        <v>44.999999999999993</v>
      </c>
      <c r="G15" s="163"/>
      <c r="H15" s="163"/>
      <c r="I15" s="2027" t="s">
        <v>845</v>
      </c>
      <c r="J15" s="2025"/>
      <c r="K15" s="2025"/>
      <c r="L15" s="2025"/>
      <c r="M15" s="2025"/>
      <c r="N15" s="2025"/>
      <c r="O15" s="2026"/>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56"/>
      <c r="AO15" s="155">
        <f>'R-Resumo Bal. Massa'!E64</f>
        <v>26.999999999999996</v>
      </c>
      <c r="AP15" s="156"/>
      <c r="AQ15" s="156"/>
      <c r="AR15" s="156"/>
      <c r="AS15" s="156"/>
      <c r="AT15" s="169"/>
      <c r="AU15" s="162"/>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row>
    <row r="16" spans="2:69" s="161" customFormat="1" ht="5.15" customHeight="1" x14ac:dyDescent="0.35">
      <c r="B16" s="168"/>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56"/>
      <c r="AO16" s="156"/>
      <c r="AP16" s="156"/>
      <c r="AQ16" s="156"/>
      <c r="AR16" s="156"/>
      <c r="AS16" s="156"/>
      <c r="AT16" s="169"/>
      <c r="AU16" s="162"/>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row>
    <row r="17" spans="2:69" s="161" customFormat="1" ht="17.149999999999999" customHeight="1" x14ac:dyDescent="0.35">
      <c r="B17" s="168"/>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56"/>
      <c r="AO17" s="156"/>
      <c r="AP17" s="156"/>
      <c r="AQ17" s="156"/>
      <c r="AR17" s="156"/>
      <c r="AS17" s="155">
        <f>'R-Definição'!N99</f>
        <v>1.7999999999999998</v>
      </c>
      <c r="AT17" s="169"/>
      <c r="AU17" s="173"/>
      <c r="AV17" s="174"/>
      <c r="AW17" s="175"/>
      <c r="AX17" s="174"/>
      <c r="AY17" s="167"/>
      <c r="AZ17" s="167"/>
      <c r="BA17" s="167"/>
      <c r="BB17" s="167"/>
      <c r="BC17" s="167"/>
      <c r="BD17" s="167"/>
      <c r="BE17" s="167"/>
      <c r="BF17" s="167"/>
      <c r="BG17" s="167"/>
      <c r="BH17" s="167"/>
      <c r="BI17" s="167"/>
      <c r="BJ17" s="167"/>
      <c r="BK17" s="167"/>
      <c r="BL17" s="167"/>
      <c r="BM17" s="167"/>
      <c r="BN17" s="167"/>
      <c r="BO17" s="167"/>
      <c r="BP17" s="167"/>
      <c r="BQ17" s="167"/>
    </row>
    <row r="18" spans="2:69" s="161" customFormat="1" ht="3" customHeight="1" x14ac:dyDescent="0.35">
      <c r="B18" s="168"/>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56"/>
      <c r="AO18" s="156"/>
      <c r="AP18" s="156"/>
      <c r="AQ18" s="156"/>
      <c r="AR18" s="156"/>
      <c r="AS18" s="156"/>
      <c r="AT18" s="169"/>
      <c r="AU18" s="162"/>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row>
    <row r="19" spans="2:69" s="161" customFormat="1" ht="17.149999999999999" customHeight="1" x14ac:dyDescent="0.35">
      <c r="B19" s="168"/>
      <c r="C19" s="157"/>
      <c r="D19" s="163"/>
      <c r="E19" s="163"/>
      <c r="F19" s="155">
        <f>'R-Resumo Bal. Massa'!D20</f>
        <v>404.99999999999994</v>
      </c>
      <c r="G19" s="163"/>
      <c r="H19" s="163"/>
      <c r="I19" s="163"/>
      <c r="J19" s="163"/>
      <c r="K19" s="163"/>
      <c r="L19" s="2027" t="s">
        <v>846</v>
      </c>
      <c r="M19" s="2025"/>
      <c r="N19" s="2025"/>
      <c r="O19" s="2025"/>
      <c r="P19" s="2025"/>
      <c r="Q19" s="2025"/>
      <c r="R19" s="2026"/>
      <c r="S19" s="163"/>
      <c r="T19" s="163"/>
      <c r="U19" s="163"/>
      <c r="V19" s="163"/>
      <c r="W19" s="163"/>
      <c r="X19" s="163"/>
      <c r="Y19" s="163"/>
      <c r="Z19" s="163"/>
      <c r="AA19" s="163"/>
      <c r="AB19" s="163"/>
      <c r="AC19" s="163"/>
      <c r="AD19" s="163"/>
      <c r="AE19" s="163"/>
      <c r="AF19" s="163"/>
      <c r="AG19" s="163"/>
      <c r="AH19" s="163"/>
      <c r="AI19" s="163"/>
      <c r="AJ19" s="163"/>
      <c r="AK19" s="163"/>
      <c r="AL19" s="163"/>
      <c r="AM19" s="163"/>
      <c r="AN19" s="156"/>
      <c r="AO19" s="155">
        <f>'R-Resumo Bal. Massa'!F64</f>
        <v>242.99999999999997</v>
      </c>
      <c r="AP19" s="156"/>
      <c r="AQ19" s="156"/>
      <c r="AR19" s="156"/>
      <c r="AS19" s="156"/>
      <c r="AT19" s="169"/>
      <c r="AU19" s="162"/>
      <c r="AV19" s="170"/>
      <c r="AW19" s="171"/>
      <c r="AX19" s="170"/>
      <c r="AY19" s="171"/>
      <c r="AZ19" s="167"/>
      <c r="BA19" s="167"/>
      <c r="BB19" s="167"/>
      <c r="BC19" s="167"/>
      <c r="BD19" s="167"/>
      <c r="BE19" s="167"/>
      <c r="BF19" s="167"/>
      <c r="BG19" s="167"/>
      <c r="BH19" s="167"/>
      <c r="BI19" s="167"/>
      <c r="BJ19" s="167"/>
      <c r="BK19" s="167"/>
      <c r="BL19" s="167"/>
      <c r="BM19" s="167"/>
      <c r="BN19" s="167"/>
      <c r="BO19" s="167"/>
      <c r="BP19" s="167"/>
      <c r="BQ19" s="167"/>
    </row>
    <row r="20" spans="2:69" s="161" customFormat="1" ht="4.4000000000000004" customHeight="1" x14ac:dyDescent="0.35">
      <c r="B20" s="168"/>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56"/>
      <c r="AO20" s="156"/>
      <c r="AP20" s="156"/>
      <c r="AQ20" s="156"/>
      <c r="AR20" s="156"/>
      <c r="AS20" s="156"/>
      <c r="AT20" s="169"/>
      <c r="AU20" s="162"/>
      <c r="AV20" s="170"/>
      <c r="AW20" s="171"/>
      <c r="AX20" s="170"/>
      <c r="AY20" s="171"/>
      <c r="AZ20" s="167"/>
      <c r="BA20" s="167"/>
      <c r="BB20" s="167"/>
      <c r="BC20" s="167"/>
      <c r="BD20" s="167"/>
      <c r="BE20" s="167"/>
      <c r="BF20" s="167"/>
      <c r="BG20" s="167"/>
      <c r="BH20" s="167"/>
      <c r="BI20" s="167"/>
      <c r="BJ20" s="167"/>
      <c r="BK20" s="167"/>
      <c r="BL20" s="167"/>
      <c r="BM20" s="167"/>
      <c r="BN20" s="167"/>
      <c r="BO20" s="167"/>
      <c r="BP20" s="167"/>
      <c r="BQ20" s="167"/>
    </row>
    <row r="21" spans="2:69" s="161" customFormat="1" ht="17.149999999999999" customHeight="1" x14ac:dyDescent="0.35">
      <c r="B21" s="168"/>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56"/>
      <c r="AO21" s="156"/>
      <c r="AP21" s="156"/>
      <c r="AQ21" s="156"/>
      <c r="AR21" s="156"/>
      <c r="AS21" s="155">
        <f>'R-Definição'!N98</f>
        <v>16.2</v>
      </c>
      <c r="AT21" s="169"/>
      <c r="AU21" s="173"/>
      <c r="AV21" s="170"/>
      <c r="AW21" s="171"/>
      <c r="AX21" s="170"/>
      <c r="AY21" s="171"/>
      <c r="AZ21" s="167"/>
      <c r="BA21" s="167"/>
      <c r="BB21" s="167"/>
      <c r="BC21" s="167"/>
      <c r="BD21" s="167"/>
      <c r="BE21" s="167"/>
      <c r="BF21" s="167"/>
      <c r="BG21" s="167"/>
      <c r="BH21" s="167"/>
      <c r="BI21" s="167"/>
      <c r="BJ21" s="167"/>
      <c r="BK21" s="167"/>
      <c r="BL21" s="167"/>
      <c r="BM21" s="167"/>
      <c r="BN21" s="167"/>
      <c r="BO21" s="167"/>
      <c r="BP21" s="167"/>
      <c r="BQ21" s="167"/>
    </row>
    <row r="22" spans="2:69" s="161" customFormat="1" ht="4.4000000000000004" customHeight="1" x14ac:dyDescent="0.35">
      <c r="B22" s="168"/>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56"/>
      <c r="AO22" s="156"/>
      <c r="AP22" s="156"/>
      <c r="AQ22" s="156"/>
      <c r="AR22" s="156"/>
      <c r="AS22" s="156"/>
      <c r="AT22" s="169"/>
      <c r="AU22" s="162"/>
      <c r="AV22" s="170"/>
      <c r="AW22" s="171"/>
      <c r="AX22" s="170"/>
      <c r="AY22" s="171"/>
      <c r="AZ22" s="167"/>
      <c r="BA22" s="167"/>
      <c r="BB22" s="167"/>
      <c r="BC22" s="171"/>
      <c r="BD22" s="167"/>
      <c r="BE22" s="167"/>
      <c r="BF22" s="167"/>
      <c r="BG22" s="167"/>
      <c r="BH22" s="167"/>
      <c r="BI22" s="167"/>
      <c r="BJ22" s="167"/>
      <c r="BK22" s="167"/>
      <c r="BL22" s="167"/>
      <c r="BM22" s="167"/>
      <c r="BN22" s="167"/>
      <c r="BO22" s="167"/>
      <c r="BP22" s="167"/>
      <c r="BQ22" s="167"/>
    </row>
    <row r="23" spans="2:69" s="161" customFormat="1" ht="17.149999999999999" customHeight="1" x14ac:dyDescent="0.35">
      <c r="B23" s="168"/>
      <c r="C23" s="157"/>
      <c r="D23" s="163"/>
      <c r="E23" s="163"/>
      <c r="F23" s="155">
        <f>'R-Resumo Bal. Massa'!D21</f>
        <v>1440</v>
      </c>
      <c r="G23" s="163"/>
      <c r="H23" s="163"/>
      <c r="I23" s="163"/>
      <c r="J23" s="163"/>
      <c r="K23" s="163"/>
      <c r="L23" s="163"/>
      <c r="M23" s="163"/>
      <c r="N23" s="163"/>
      <c r="O23" s="163"/>
      <c r="P23" s="163"/>
      <c r="Q23" s="2027" t="s">
        <v>849</v>
      </c>
      <c r="R23" s="2025"/>
      <c r="S23" s="2025"/>
      <c r="T23" s="2025"/>
      <c r="U23" s="2025"/>
      <c r="V23" s="2025"/>
      <c r="W23" s="2026"/>
      <c r="X23" s="163"/>
      <c r="Y23" s="163"/>
      <c r="Z23" s="163"/>
      <c r="AA23" s="163"/>
      <c r="AB23" s="163"/>
      <c r="AC23" s="163"/>
      <c r="AD23" s="163"/>
      <c r="AE23" s="163"/>
      <c r="AF23" s="163"/>
      <c r="AG23" s="163"/>
      <c r="AH23" s="163"/>
      <c r="AI23" s="163"/>
      <c r="AJ23" s="163"/>
      <c r="AK23" s="163"/>
      <c r="AL23" s="163"/>
      <c r="AM23" s="163"/>
      <c r="AN23" s="156"/>
      <c r="AO23" s="155">
        <f>'R-Resumo Bal. Massa'!G64</f>
        <v>182.51999999999998</v>
      </c>
      <c r="AP23" s="156"/>
      <c r="AQ23" s="156"/>
      <c r="AR23" s="156"/>
      <c r="AS23" s="156"/>
      <c r="AT23" s="169"/>
      <c r="AU23" s="162"/>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row>
    <row r="24" spans="2:69" s="161" customFormat="1" ht="7.4" customHeight="1" x14ac:dyDescent="0.35">
      <c r="B24" s="168"/>
      <c r="C24" s="157"/>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56"/>
      <c r="AO24" s="156"/>
      <c r="AP24" s="156"/>
      <c r="AQ24" s="156"/>
      <c r="AR24" s="156"/>
      <c r="AS24" s="156"/>
      <c r="AT24" s="169"/>
      <c r="AU24" s="162"/>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row>
    <row r="25" spans="2:69" s="161" customFormat="1" ht="17.149999999999999" customHeight="1" x14ac:dyDescent="0.35">
      <c r="B25" s="168"/>
      <c r="C25" s="157"/>
      <c r="D25" s="163"/>
      <c r="E25" s="163"/>
      <c r="F25" s="163"/>
      <c r="G25" s="163"/>
      <c r="H25" s="163"/>
      <c r="I25" s="163"/>
      <c r="J25" s="2028">
        <f>F15+F19+F23-AO15-AO19-AO23-AS17-AS21-AS25-S25</f>
        <v>709.56000000000006</v>
      </c>
      <c r="K25" s="2022"/>
      <c r="L25" s="2022"/>
      <c r="M25" s="2023"/>
      <c r="N25" s="163"/>
      <c r="O25" s="163"/>
      <c r="P25" s="163"/>
      <c r="Q25" s="163"/>
      <c r="R25" s="163"/>
      <c r="S25" s="2021">
        <f>IF('R-Definição'!I29&lt;&gt;"Aterro sanitário",'R-Resumo Bal. Massa'!F22,0)</f>
        <v>709.92</v>
      </c>
      <c r="T25" s="2023"/>
      <c r="U25" s="163"/>
      <c r="V25" s="163"/>
      <c r="W25" s="163"/>
      <c r="X25" s="163"/>
      <c r="Y25" s="163"/>
      <c r="Z25" s="163"/>
      <c r="AA25" s="163"/>
      <c r="AB25" s="163"/>
      <c r="AC25" s="163"/>
      <c r="AD25" s="163"/>
      <c r="AE25" s="163"/>
      <c r="AF25" s="163"/>
      <c r="AG25" s="163"/>
      <c r="AH25" s="163"/>
      <c r="AI25" s="163"/>
      <c r="AJ25" s="163"/>
      <c r="AK25" s="163"/>
      <c r="AL25" s="163"/>
      <c r="AM25" s="163"/>
      <c r="AN25" s="156"/>
      <c r="AO25" s="156"/>
      <c r="AP25" s="156"/>
      <c r="AQ25" s="156"/>
      <c r="AR25" s="156"/>
      <c r="AS25" s="155">
        <f>'R-Definição'!N96+'R-Definição'!N97</f>
        <v>0</v>
      </c>
      <c r="AT25" s="169"/>
      <c r="AU25" s="173"/>
      <c r="AV25" s="175"/>
      <c r="AW25" s="175"/>
      <c r="AX25" s="167"/>
      <c r="AY25" s="167"/>
      <c r="AZ25" s="167"/>
      <c r="BA25" s="167"/>
      <c r="BB25" s="167"/>
      <c r="BC25" s="167"/>
      <c r="BD25" s="167"/>
      <c r="BE25" s="167"/>
      <c r="BF25" s="167"/>
      <c r="BG25" s="167"/>
      <c r="BH25" s="167"/>
      <c r="BI25" s="167"/>
      <c r="BJ25" s="167"/>
      <c r="BK25" s="167"/>
      <c r="BL25" s="167"/>
      <c r="BM25" s="167"/>
      <c r="BN25" s="167"/>
      <c r="BO25" s="167"/>
      <c r="BP25" s="167"/>
      <c r="BQ25" s="167"/>
    </row>
    <row r="26" spans="2:69" s="161" customFormat="1" ht="5.15" customHeight="1" x14ac:dyDescent="0.35">
      <c r="B26" s="168"/>
      <c r="C26" s="157"/>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56"/>
      <c r="AO26" s="156"/>
      <c r="AP26" s="156"/>
      <c r="AQ26" s="156"/>
      <c r="AR26" s="156"/>
      <c r="AS26" s="156"/>
      <c r="AT26" s="169"/>
      <c r="AU26" s="162"/>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row>
    <row r="27" spans="2:69" s="161" customFormat="1" ht="17.149999999999999" customHeight="1" x14ac:dyDescent="0.35">
      <c r="B27" s="168"/>
      <c r="C27" s="163"/>
      <c r="D27" s="163"/>
      <c r="E27" s="163"/>
      <c r="F27" s="176"/>
      <c r="G27" s="163"/>
      <c r="H27" s="163"/>
      <c r="I27" s="163"/>
      <c r="J27" s="163"/>
      <c r="K27" s="163"/>
      <c r="L27" s="163"/>
      <c r="M27" s="163"/>
      <c r="N27" s="155">
        <f>'R-Resumo Bal. Massa'!D29-'R-Resumo Bal. Massa'!D28</f>
        <v>162</v>
      </c>
      <c r="O27" s="163"/>
      <c r="P27" s="163"/>
      <c r="Q27" s="163"/>
      <c r="R27" s="163"/>
      <c r="S27" s="163"/>
      <c r="T27" s="163"/>
      <c r="U27" s="163"/>
      <c r="V27" s="2021">
        <f>'R-Resumo Bal. Massa'!B25</f>
        <v>162</v>
      </c>
      <c r="W27" s="2023"/>
      <c r="X27" s="163"/>
      <c r="Y27" s="2050" t="s">
        <v>98</v>
      </c>
      <c r="Z27" s="2025"/>
      <c r="AA27" s="2025"/>
      <c r="AB27" s="2026"/>
      <c r="AC27" s="163"/>
      <c r="AD27" s="163"/>
      <c r="AE27" s="163"/>
      <c r="AF27" s="163"/>
      <c r="AG27" s="163"/>
      <c r="AH27" s="163"/>
      <c r="AI27" s="163"/>
      <c r="AJ27" s="163"/>
      <c r="AK27" s="163"/>
      <c r="AL27" s="163"/>
      <c r="AM27" s="163"/>
      <c r="AN27" s="156"/>
      <c r="AO27" s="155">
        <f>'R-Resumo Bal. Massa'!E29</f>
        <v>137.69999999999999</v>
      </c>
      <c r="AP27" s="156"/>
      <c r="AQ27" s="156"/>
      <c r="AR27" s="156"/>
      <c r="AS27" s="156"/>
      <c r="AT27" s="169"/>
      <c r="AU27" s="162"/>
      <c r="AW27" s="177"/>
    </row>
    <row r="28" spans="2:69" s="161" customFormat="1" ht="3" customHeight="1" x14ac:dyDescent="0.35">
      <c r="B28" s="168"/>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56"/>
      <c r="AO28" s="156"/>
      <c r="AP28" s="156"/>
      <c r="AQ28" s="156"/>
      <c r="AR28" s="156"/>
      <c r="AS28" s="156"/>
      <c r="AT28" s="169"/>
      <c r="AU28" s="162"/>
    </row>
    <row r="29" spans="2:69" s="161" customFormat="1" ht="17.149999999999999" customHeight="1" x14ac:dyDescent="0.35">
      <c r="B29" s="168"/>
      <c r="C29" s="163"/>
      <c r="D29" s="163"/>
      <c r="E29" s="163"/>
      <c r="F29" s="156"/>
      <c r="G29" s="163"/>
      <c r="H29" s="163"/>
      <c r="I29" s="163"/>
      <c r="J29" s="163"/>
      <c r="K29" s="163"/>
      <c r="L29" s="163"/>
      <c r="M29" s="163"/>
      <c r="N29" s="163"/>
      <c r="O29" s="163"/>
      <c r="P29" s="163"/>
      <c r="Q29" s="163"/>
      <c r="R29" s="163"/>
      <c r="S29" s="2021">
        <f>'R-Definição'!E59</f>
        <v>709.92</v>
      </c>
      <c r="T29" s="2023"/>
      <c r="U29" s="163"/>
      <c r="V29" s="163"/>
      <c r="W29" s="163"/>
      <c r="X29" s="163"/>
      <c r="Y29" s="163"/>
      <c r="Z29" s="163"/>
      <c r="AA29" s="163"/>
      <c r="AB29" s="163"/>
      <c r="AC29" s="163"/>
      <c r="AD29" s="163"/>
      <c r="AE29" s="163"/>
      <c r="AF29" s="163"/>
      <c r="AG29" s="163"/>
      <c r="AH29" s="163"/>
      <c r="AI29" s="163"/>
      <c r="AJ29" s="163"/>
      <c r="AK29" s="163"/>
      <c r="AL29" s="163"/>
      <c r="AM29" s="163"/>
      <c r="AN29" s="156"/>
      <c r="AO29" s="156"/>
      <c r="AP29" s="156"/>
      <c r="AQ29" s="155">
        <f>'R-Resumo Bal. Massa'!H29</f>
        <v>4.05</v>
      </c>
      <c r="AR29" s="156"/>
      <c r="AS29" s="156"/>
      <c r="AT29" s="169"/>
      <c r="AU29" s="162"/>
    </row>
    <row r="30" spans="2:69" s="161" customFormat="1" ht="6" customHeight="1" x14ac:dyDescent="0.35">
      <c r="B30" s="168"/>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56"/>
      <c r="AO30" s="156"/>
      <c r="AP30" s="156"/>
      <c r="AQ30" s="156"/>
      <c r="AR30" s="156"/>
      <c r="AS30" s="156"/>
      <c r="AT30" s="169"/>
      <c r="AU30" s="162"/>
    </row>
    <row r="31" spans="2:69" s="161" customFormat="1" ht="17.149999999999999" customHeight="1" x14ac:dyDescent="0.35">
      <c r="B31" s="168"/>
      <c r="C31" s="163"/>
      <c r="D31" s="163"/>
      <c r="E31" s="163"/>
      <c r="F31" s="163"/>
      <c r="G31" s="163"/>
      <c r="H31" s="163"/>
      <c r="I31" s="163"/>
      <c r="J31" s="2021">
        <f>SUM('R-Resumo Bal. Massa'!D40:D42)</f>
        <v>547.56000000000017</v>
      </c>
      <c r="K31" s="2022"/>
      <c r="L31" s="2022"/>
      <c r="M31" s="202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56"/>
      <c r="AO31" s="156"/>
      <c r="AP31" s="156"/>
      <c r="AQ31" s="156"/>
      <c r="AR31" s="156"/>
      <c r="AS31" s="155">
        <f>'R-Resumo Bal. Massa'!G29</f>
        <v>20.25</v>
      </c>
      <c r="AT31" s="169"/>
      <c r="AU31" s="162"/>
      <c r="AV31" s="177"/>
    </row>
    <row r="32" spans="2:69" s="161" customFormat="1" ht="4.4000000000000004" customHeight="1" x14ac:dyDescent="0.35">
      <c r="B32" s="168"/>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56"/>
      <c r="AO32" s="156"/>
      <c r="AP32" s="156"/>
      <c r="AQ32" s="156"/>
      <c r="AR32" s="156"/>
      <c r="AS32" s="156"/>
      <c r="AT32" s="169"/>
      <c r="AU32" s="162"/>
      <c r="AV32" s="178"/>
      <c r="AW32" s="179"/>
      <c r="AX32" s="178"/>
      <c r="AY32" s="179"/>
      <c r="AZ32" s="178"/>
      <c r="BA32" s="179"/>
    </row>
    <row r="33" spans="2:53" s="161" customFormat="1" ht="17.149999999999999" customHeight="1" x14ac:dyDescent="0.35">
      <c r="B33" s="168"/>
      <c r="C33" s="163"/>
      <c r="D33" s="163"/>
      <c r="E33" s="163"/>
      <c r="F33" s="155">
        <f>'R-Resumo Bal. Massa'!D14</f>
        <v>150</v>
      </c>
      <c r="G33" s="163"/>
      <c r="H33" s="163"/>
      <c r="I33" s="163"/>
      <c r="J33" s="163"/>
      <c r="K33" s="163"/>
      <c r="L33" s="163"/>
      <c r="M33" s="163"/>
      <c r="N33" s="163"/>
      <c r="O33" s="163"/>
      <c r="P33" s="163"/>
      <c r="Q33" s="163"/>
      <c r="R33" s="163"/>
      <c r="S33" s="2021">
        <f>'R-Resumo Bal. Massa'!D36</f>
        <v>859.92</v>
      </c>
      <c r="T33" s="2023"/>
      <c r="U33" s="163"/>
      <c r="V33" s="163"/>
      <c r="W33" s="163"/>
      <c r="X33" s="163"/>
      <c r="Y33" s="2021">
        <f>'R-Definição'!E60*'R-Definição'!J59/100</f>
        <v>859.92</v>
      </c>
      <c r="Z33" s="2023"/>
      <c r="AA33" s="163"/>
      <c r="AB33" s="2053" t="s">
        <v>112</v>
      </c>
      <c r="AC33" s="2054"/>
      <c r="AD33" s="2054"/>
      <c r="AE33" s="2054"/>
      <c r="AF33" s="2055"/>
      <c r="AG33" s="163"/>
      <c r="AH33" s="163"/>
      <c r="AI33" s="163"/>
      <c r="AJ33" s="163"/>
      <c r="AK33" s="163"/>
      <c r="AL33" s="163"/>
      <c r="AM33" s="163"/>
      <c r="AN33" s="156"/>
      <c r="AO33" s="156"/>
      <c r="AP33" s="156"/>
      <c r="AQ33" s="155">
        <f>'R-Definição'!O62*'R-Definição'!F63</f>
        <v>128.988</v>
      </c>
      <c r="AR33" s="156"/>
      <c r="AS33" s="156"/>
      <c r="AT33" s="169"/>
      <c r="AU33" s="162"/>
      <c r="AV33" s="178"/>
      <c r="AW33" s="179"/>
      <c r="AX33" s="178"/>
      <c r="AY33" s="179"/>
    </row>
    <row r="34" spans="2:53" s="161" customFormat="1" ht="7.4" customHeight="1" x14ac:dyDescent="0.35">
      <c r="B34" s="168"/>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56"/>
      <c r="AO34" s="156"/>
      <c r="AP34" s="156"/>
      <c r="AQ34" s="156"/>
      <c r="AR34" s="156"/>
      <c r="AS34" s="156"/>
      <c r="AT34" s="169"/>
      <c r="AU34" s="162"/>
      <c r="AV34" s="178"/>
      <c r="AW34" s="179"/>
      <c r="AX34" s="178"/>
      <c r="AY34" s="179"/>
    </row>
    <row r="35" spans="2:53" s="161" customFormat="1" ht="14.15" customHeight="1" x14ac:dyDescent="0.35">
      <c r="B35" s="168"/>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2021">
        <f>'R-Definição'!J68</f>
        <v>730.9319999999999</v>
      </c>
      <c r="AE35" s="2023"/>
      <c r="AF35" s="163"/>
      <c r="AG35" s="163"/>
      <c r="AH35" s="163"/>
      <c r="AI35" s="163"/>
      <c r="AJ35" s="163"/>
      <c r="AK35" s="163"/>
      <c r="AL35" s="163"/>
      <c r="AM35" s="163"/>
      <c r="AN35" s="156"/>
      <c r="AO35" s="156"/>
      <c r="AP35" s="156"/>
      <c r="AQ35" s="156"/>
      <c r="AR35" s="156"/>
      <c r="AS35" s="156"/>
      <c r="AT35" s="169"/>
      <c r="AU35" s="162"/>
      <c r="AV35" s="177"/>
      <c r="AW35" s="180"/>
    </row>
    <row r="36" spans="2:53" s="161" customFormat="1" ht="7.4" customHeight="1" x14ac:dyDescent="0.35">
      <c r="B36" s="168"/>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56"/>
      <c r="AO36" s="156"/>
      <c r="AP36" s="156"/>
      <c r="AQ36" s="156"/>
      <c r="AR36" s="156"/>
      <c r="AS36" s="156"/>
      <c r="AT36" s="169"/>
      <c r="AU36" s="162"/>
    </row>
    <row r="37" spans="2:53" s="161" customFormat="1" ht="18" customHeight="1" x14ac:dyDescent="0.35">
      <c r="B37" s="168"/>
      <c r="C37" s="163"/>
      <c r="D37" s="163"/>
      <c r="E37" s="163"/>
      <c r="F37" s="163"/>
      <c r="G37" s="163"/>
      <c r="H37" s="163"/>
      <c r="I37" s="163"/>
      <c r="J37" s="163"/>
      <c r="K37" s="163"/>
      <c r="L37" s="163"/>
      <c r="M37" s="163"/>
      <c r="N37" s="163"/>
      <c r="O37" s="163"/>
      <c r="P37" s="181"/>
      <c r="Q37" s="163"/>
      <c r="R37" s="163"/>
      <c r="S37" s="2021">
        <f>'R-Resumo Bal. Massa'!D35</f>
        <v>0</v>
      </c>
      <c r="T37" s="2023"/>
      <c r="U37" s="163"/>
      <c r="V37" s="163"/>
      <c r="W37" s="163"/>
      <c r="X37" s="163"/>
      <c r="Y37" s="163"/>
      <c r="Z37" s="163"/>
      <c r="AA37" s="163"/>
      <c r="AB37" s="163"/>
      <c r="AC37" s="163"/>
      <c r="AD37" s="2050" t="s">
        <v>126</v>
      </c>
      <c r="AE37" s="2025"/>
      <c r="AF37" s="2025"/>
      <c r="AG37" s="2026"/>
      <c r="AH37" s="163"/>
      <c r="AI37" s="163"/>
      <c r="AJ37" s="163"/>
      <c r="AK37" s="163"/>
      <c r="AL37" s="163"/>
      <c r="AM37" s="163"/>
      <c r="AN37" s="156"/>
      <c r="AO37" s="155">
        <f>'R-Resumo Bal. Massa'!F36-'R-Resumo Bal. Massa'!F33</f>
        <v>402.01259999999996</v>
      </c>
      <c r="AP37" s="156"/>
      <c r="AQ37" s="156"/>
      <c r="AR37" s="156"/>
      <c r="AS37" s="156"/>
      <c r="AT37" s="169"/>
      <c r="AU37" s="162"/>
      <c r="AV37" s="178"/>
      <c r="AW37" s="179"/>
    </row>
    <row r="38" spans="2:53" s="161" customFormat="1" ht="7.4" customHeight="1" x14ac:dyDescent="0.35">
      <c r="B38" s="168"/>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56"/>
      <c r="AO38" s="156"/>
      <c r="AP38" s="156"/>
      <c r="AQ38" s="156"/>
      <c r="AR38" s="156"/>
      <c r="AS38" s="156"/>
      <c r="AT38" s="169"/>
      <c r="AU38" s="162"/>
      <c r="AV38" s="178"/>
      <c r="AW38" s="179"/>
    </row>
    <row r="39" spans="2:53" s="161" customFormat="1" ht="17.149999999999999" customHeight="1" x14ac:dyDescent="0.35">
      <c r="B39" s="168"/>
      <c r="C39" s="163"/>
      <c r="D39" s="163"/>
      <c r="E39" s="163"/>
      <c r="F39" s="163"/>
      <c r="G39" s="163"/>
      <c r="H39" s="163"/>
      <c r="I39" s="163"/>
      <c r="J39" s="163"/>
      <c r="K39" s="163"/>
      <c r="L39" s="163"/>
      <c r="M39" s="163"/>
      <c r="N39" s="163"/>
      <c r="O39" s="163"/>
      <c r="P39" s="163"/>
      <c r="Q39" s="163"/>
      <c r="R39" s="163"/>
      <c r="S39" s="163"/>
      <c r="T39" s="163"/>
      <c r="U39" s="163"/>
      <c r="V39" s="163"/>
      <c r="W39" s="163"/>
      <c r="X39" s="163"/>
      <c r="Y39" s="157"/>
      <c r="Z39" s="163"/>
      <c r="AA39" s="163"/>
      <c r="AB39" s="163"/>
      <c r="AC39" s="163"/>
      <c r="AD39" s="163"/>
      <c r="AE39" s="163"/>
      <c r="AF39" s="163"/>
      <c r="AG39" s="163"/>
      <c r="AH39" s="163"/>
      <c r="AI39" s="163"/>
      <c r="AJ39" s="163"/>
      <c r="AK39" s="163"/>
      <c r="AL39" s="163"/>
      <c r="AM39" s="163"/>
      <c r="AN39" s="156"/>
      <c r="AO39" s="156"/>
      <c r="AP39" s="156"/>
      <c r="AQ39" s="155">
        <f>'R-Definição'!O63*'R-Definição'!F69+'R-Definição'!O64*'R-Definição'!F69</f>
        <v>292.37279999999998</v>
      </c>
      <c r="AR39" s="156"/>
      <c r="AS39" s="156"/>
      <c r="AT39" s="169"/>
      <c r="AU39" s="162"/>
      <c r="AV39" s="178"/>
      <c r="AW39" s="179"/>
    </row>
    <row r="40" spans="2:53" s="161" customFormat="1" ht="7.4" customHeight="1" x14ac:dyDescent="0.35">
      <c r="B40" s="168"/>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56"/>
      <c r="AO40" s="156"/>
      <c r="AP40" s="156"/>
      <c r="AQ40" s="156"/>
      <c r="AR40" s="156"/>
      <c r="AS40" s="156"/>
      <c r="AT40" s="169"/>
      <c r="AV40" s="178"/>
      <c r="AW40" s="179"/>
      <c r="AX40" s="178"/>
      <c r="AY40" s="179"/>
      <c r="AZ40" s="178"/>
      <c r="BA40" s="179"/>
    </row>
    <row r="41" spans="2:53" s="161" customFormat="1" ht="17.149999999999999" customHeight="1" x14ac:dyDescent="0.35">
      <c r="B41" s="168"/>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56"/>
      <c r="AO41" s="156"/>
      <c r="AP41" s="156"/>
      <c r="AQ41" s="156"/>
      <c r="AR41" s="156"/>
      <c r="AS41" s="155">
        <f>'R-Resumo Bal. Massa'!G36</f>
        <v>36.546599999999998</v>
      </c>
      <c r="AT41" s="169"/>
      <c r="AV41" s="182"/>
      <c r="AW41" s="179"/>
      <c r="AX41" s="178"/>
      <c r="AY41" s="179"/>
      <c r="AZ41" s="178"/>
      <c r="BA41" s="179"/>
    </row>
    <row r="42" spans="2:53" s="161" customFormat="1" ht="4.4000000000000004" customHeight="1" x14ac:dyDescent="0.35">
      <c r="B42" s="168"/>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56"/>
      <c r="AO42" s="156"/>
      <c r="AP42" s="156"/>
      <c r="AQ42" s="156"/>
      <c r="AR42" s="156"/>
      <c r="AS42" s="156"/>
      <c r="AT42" s="169"/>
      <c r="AV42" s="178"/>
      <c r="AW42" s="179"/>
      <c r="AX42" s="178"/>
      <c r="AY42" s="179"/>
      <c r="AZ42" s="178"/>
      <c r="BA42" s="179"/>
    </row>
    <row r="43" spans="2:53" s="161" customFormat="1" ht="17.149999999999999" customHeight="1" x14ac:dyDescent="0.35">
      <c r="B43" s="168"/>
      <c r="C43" s="163"/>
      <c r="D43" s="163"/>
      <c r="E43" s="163"/>
      <c r="F43" s="155">
        <f>'R-Resumo Bal. Massa'!D39</f>
        <v>0</v>
      </c>
      <c r="G43" s="163"/>
      <c r="H43" s="163"/>
      <c r="I43" s="163"/>
      <c r="J43" s="2021">
        <f>'R-Resumo Bal. Massa'!D43</f>
        <v>547.56000000000017</v>
      </c>
      <c r="K43" s="2022"/>
      <c r="L43" s="2022"/>
      <c r="M43" s="2023"/>
      <c r="N43" s="163"/>
      <c r="O43" s="163"/>
      <c r="P43" s="163"/>
      <c r="Q43" s="163"/>
      <c r="R43" s="163"/>
      <c r="S43" s="163"/>
      <c r="T43" s="163"/>
      <c r="U43" s="163"/>
      <c r="V43" s="163"/>
      <c r="W43" s="163"/>
      <c r="X43" s="163"/>
      <c r="Y43" s="163"/>
      <c r="Z43" s="163"/>
      <c r="AA43" s="163"/>
      <c r="AB43" s="163"/>
      <c r="AC43" s="163"/>
      <c r="AD43" s="163"/>
      <c r="AE43" s="163"/>
      <c r="AF43" s="163"/>
      <c r="AG43" s="688"/>
      <c r="AH43" s="2050" t="s">
        <v>200</v>
      </c>
      <c r="AI43" s="2051"/>
      <c r="AJ43" s="2051"/>
      <c r="AK43" s="2052"/>
      <c r="AL43" s="163"/>
      <c r="AM43" s="163"/>
      <c r="AN43" s="156"/>
      <c r="AO43" s="155">
        <f>'R-Resumo Bal. Massa'!E43</f>
        <v>26.548363636363632</v>
      </c>
      <c r="AP43" s="156"/>
      <c r="AQ43" s="156"/>
      <c r="AR43" s="156"/>
      <c r="AS43" s="156"/>
      <c r="AT43" s="169"/>
      <c r="AV43" s="178"/>
      <c r="AW43" s="179"/>
      <c r="AX43" s="178"/>
      <c r="AY43" s="179"/>
    </row>
    <row r="44" spans="2:53" s="161" customFormat="1" ht="7.4" customHeight="1" x14ac:dyDescent="0.35">
      <c r="B44" s="168"/>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56"/>
      <c r="AO44" s="156"/>
      <c r="AP44" s="156"/>
      <c r="AQ44" s="156"/>
      <c r="AR44" s="156"/>
      <c r="AS44" s="156"/>
      <c r="AT44" s="169"/>
    </row>
    <row r="45" spans="2:53" s="161" customFormat="1" ht="17.149999999999999" customHeight="1" x14ac:dyDescent="0.35">
      <c r="B45" s="168"/>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56"/>
      <c r="AO45" s="156"/>
      <c r="AP45" s="156"/>
      <c r="AQ45" s="155">
        <f>'R-Resumo Bal. Massa'!H43</f>
        <v>411.49963636363651</v>
      </c>
      <c r="AR45" s="156"/>
      <c r="AS45" s="156"/>
      <c r="AT45" s="169"/>
    </row>
    <row r="46" spans="2:53" s="161" customFormat="1" ht="7.4" customHeight="1" x14ac:dyDescent="0.35">
      <c r="B46" s="168"/>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56"/>
      <c r="AO46" s="156"/>
      <c r="AP46" s="156"/>
      <c r="AQ46" s="156"/>
      <c r="AR46" s="156"/>
      <c r="AS46" s="156"/>
      <c r="AT46" s="169"/>
    </row>
    <row r="47" spans="2:53" s="161" customFormat="1" ht="17.149999999999999" customHeight="1" x14ac:dyDescent="0.35">
      <c r="B47" s="168"/>
      <c r="C47" s="163"/>
      <c r="D47" s="163"/>
      <c r="E47" s="163"/>
      <c r="F47" s="156"/>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56"/>
      <c r="AO47" s="156"/>
      <c r="AP47" s="156"/>
      <c r="AQ47" s="156"/>
      <c r="AR47" s="156"/>
      <c r="AS47" s="155">
        <f>'R-Resumo Bal. Massa'!G43</f>
        <v>109.51200000000004</v>
      </c>
      <c r="AT47" s="169"/>
    </row>
    <row r="48" spans="2:53" s="161" customFormat="1" ht="9.75" customHeight="1" x14ac:dyDescent="0.35">
      <c r="B48" s="168"/>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56"/>
      <c r="AO48" s="156"/>
      <c r="AP48" s="156"/>
      <c r="AQ48" s="156"/>
      <c r="AR48" s="156"/>
      <c r="AS48" s="156"/>
      <c r="AT48" s="169"/>
    </row>
    <row r="49" spans="2:49" s="161" customFormat="1" ht="15" customHeight="1" x14ac:dyDescent="0.35">
      <c r="B49" s="168"/>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56"/>
      <c r="AO49" s="156"/>
      <c r="AP49" s="156"/>
      <c r="AQ49" s="156"/>
      <c r="AR49" s="156"/>
      <c r="AS49" s="158">
        <f>IF('R-Definição'!I24="Sim",'R-Definição'!N15-'R-Definição'!I27-'R-Definição'!E107,'R-Definição'!N15-'R-Definição'!E107)</f>
        <v>960</v>
      </c>
      <c r="AT49" s="169"/>
      <c r="AU49" s="177"/>
      <c r="AW49" s="180"/>
    </row>
    <row r="50" spans="2:49" s="161" customFormat="1" ht="10.5" customHeight="1" x14ac:dyDescent="0.35">
      <c r="B50" s="168"/>
      <c r="C50" s="163"/>
      <c r="D50" s="163"/>
      <c r="E50" s="163"/>
      <c r="F50" s="156"/>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9"/>
    </row>
    <row r="51" spans="2:49" s="161" customFormat="1" ht="17.149999999999999" customHeight="1" x14ac:dyDescent="0.35">
      <c r="B51" s="168"/>
      <c r="C51" s="163"/>
      <c r="D51" s="163"/>
      <c r="E51" s="163"/>
      <c r="F51" s="216"/>
      <c r="G51" s="216"/>
      <c r="H51" s="217" t="s">
        <v>201</v>
      </c>
      <c r="I51" s="2019">
        <f>'R-Definição'!E126</f>
        <v>1139.0948789341692</v>
      </c>
      <c r="J51" s="2020"/>
      <c r="K51" s="216" t="s">
        <v>202</v>
      </c>
      <c r="L51" s="216"/>
      <c r="M51" s="216"/>
      <c r="N51" s="163"/>
      <c r="O51" s="163"/>
      <c r="P51" s="163"/>
      <c r="Q51" s="163"/>
      <c r="R51" s="163"/>
      <c r="S51" s="163"/>
      <c r="T51" s="163"/>
      <c r="U51" s="163"/>
      <c r="V51" s="163"/>
      <c r="W51" s="163"/>
      <c r="X51" s="163"/>
      <c r="Y51" s="163"/>
      <c r="Z51" s="163"/>
      <c r="AA51" s="163"/>
      <c r="AB51" s="163"/>
      <c r="AC51" s="163"/>
      <c r="AD51" s="163"/>
      <c r="AE51" s="163"/>
      <c r="AF51" s="183"/>
      <c r="AG51" s="183"/>
      <c r="AH51" s="183"/>
      <c r="AI51" s="183"/>
      <c r="AJ51" s="183"/>
      <c r="AK51" s="183"/>
      <c r="AL51" s="183"/>
      <c r="AM51" s="184" t="s">
        <v>203</v>
      </c>
      <c r="AN51" s="163"/>
      <c r="AO51" s="967">
        <f>AO15+AO19+AO23+AO27+AO33+AO37+AO43</f>
        <v>1018.7809636363635</v>
      </c>
      <c r="AP51" s="159"/>
      <c r="AQ51" s="967">
        <f>AQ29+AQ33+AQ39+AQ45</f>
        <v>836.91043636363656</v>
      </c>
      <c r="AR51" s="159"/>
      <c r="AS51" s="967">
        <f>'R-Resumo Bal. Massa'!D52</f>
        <v>1144.3085999999998</v>
      </c>
      <c r="AT51" s="169"/>
      <c r="AU51" s="177"/>
      <c r="AV51" s="177"/>
    </row>
    <row r="52" spans="2:49" s="161" customFormat="1" ht="4.4000000000000004" customHeight="1" x14ac:dyDescent="0.35">
      <c r="B52" s="168"/>
      <c r="C52" s="163"/>
      <c r="D52" s="163"/>
      <c r="E52" s="163"/>
      <c r="F52" s="163"/>
      <c r="G52" s="163"/>
      <c r="H52" s="163"/>
      <c r="I52" s="185"/>
      <c r="J52" s="185"/>
      <c r="K52" s="163"/>
      <c r="L52" s="163"/>
      <c r="M52" s="163"/>
      <c r="N52" s="163"/>
      <c r="O52" s="163"/>
      <c r="P52" s="163"/>
      <c r="Q52" s="163"/>
      <c r="R52" s="163"/>
      <c r="S52" s="163"/>
      <c r="T52" s="163"/>
      <c r="U52" s="163"/>
      <c r="V52" s="163"/>
      <c r="W52" s="163"/>
      <c r="X52" s="163"/>
      <c r="Y52" s="163"/>
      <c r="Z52" s="163"/>
      <c r="AA52" s="163"/>
      <c r="AB52" s="163"/>
      <c r="AC52" s="163"/>
      <c r="AD52" s="163"/>
      <c r="AE52" s="163"/>
      <c r="AF52" s="183"/>
      <c r="AG52" s="183"/>
      <c r="AH52" s="183"/>
      <c r="AI52" s="183"/>
      <c r="AJ52" s="183"/>
      <c r="AK52" s="183"/>
      <c r="AL52" s="183"/>
      <c r="AM52" s="183"/>
      <c r="AN52" s="163"/>
      <c r="AO52" s="163"/>
      <c r="AP52" s="163"/>
      <c r="AQ52" s="163"/>
      <c r="AR52" s="163"/>
      <c r="AS52" s="163"/>
      <c r="AT52" s="169"/>
    </row>
    <row r="53" spans="2:49" s="161" customFormat="1" ht="17.149999999999999" customHeight="1" x14ac:dyDescent="0.35">
      <c r="B53" s="168"/>
      <c r="C53" s="163"/>
      <c r="D53" s="216"/>
      <c r="E53" s="216"/>
      <c r="F53" s="216"/>
      <c r="G53" s="216"/>
      <c r="H53" s="217" t="s">
        <v>204</v>
      </c>
      <c r="I53" s="2019">
        <f>IF('R-Definição'!O124&gt;0,'R-Definição'!O124,"Não")</f>
        <v>1144.3086000000001</v>
      </c>
      <c r="J53" s="2020"/>
      <c r="K53" s="216" t="str">
        <f>IF(I53="Não","","t/d")</f>
        <v>t/d</v>
      </c>
      <c r="L53" s="216"/>
      <c r="M53" s="163"/>
      <c r="N53" s="163"/>
      <c r="O53" s="163"/>
      <c r="P53" s="163"/>
      <c r="Q53" s="163"/>
      <c r="R53" s="163"/>
      <c r="S53" s="163"/>
      <c r="T53" s="163"/>
      <c r="U53" s="163"/>
      <c r="V53" s="163"/>
      <c r="W53" s="163"/>
      <c r="X53" s="163"/>
      <c r="Y53" s="163"/>
      <c r="Z53" s="163"/>
      <c r="AA53" s="163"/>
      <c r="AB53" s="163"/>
      <c r="AC53" s="163"/>
      <c r="AD53" s="163"/>
      <c r="AE53" s="163"/>
      <c r="AF53" s="183"/>
      <c r="AG53" s="183"/>
      <c r="AH53" s="183"/>
      <c r="AI53" s="183"/>
      <c r="AJ53" s="183"/>
      <c r="AK53" s="183"/>
      <c r="AL53" s="183"/>
      <c r="AM53" s="184" t="s">
        <v>544</v>
      </c>
      <c r="AN53" s="163"/>
      <c r="AO53" s="966">
        <f>IF(C11&lt;&gt;0,ROUND(AO51/(AO51+AQ51+AS51)*100,1),0)</f>
        <v>34</v>
      </c>
      <c r="AP53" s="160"/>
      <c r="AQ53" s="966">
        <f>IF(C11&lt;&gt;0,ROUND(100-AO53-AS53,1),0)</f>
        <v>27.9</v>
      </c>
      <c r="AR53" s="160"/>
      <c r="AS53" s="966">
        <f>IF(C11&lt;&gt;0,ROUND(AS51/(AO51+AQ51+AS51)*100,1),0)</f>
        <v>38.1</v>
      </c>
      <c r="AT53" s="169"/>
      <c r="AU53" s="186"/>
      <c r="AV53" s="177"/>
    </row>
    <row r="54" spans="2:49" s="161" customFormat="1" ht="8.9" customHeight="1" x14ac:dyDescent="0.35">
      <c r="B54" s="187"/>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9"/>
      <c r="AG54" s="189"/>
      <c r="AH54" s="189"/>
      <c r="AI54" s="189"/>
      <c r="AJ54" s="189"/>
      <c r="AK54" s="189"/>
      <c r="AL54" s="189"/>
      <c r="AM54" s="189"/>
      <c r="AN54" s="188"/>
      <c r="AO54" s="188"/>
      <c r="AP54" s="188"/>
      <c r="AQ54" s="188"/>
      <c r="AR54" s="188"/>
      <c r="AS54" s="188"/>
      <c r="AT54" s="190"/>
      <c r="AV54" s="177"/>
    </row>
    <row r="55" spans="2:49" ht="14.25" customHeight="1" x14ac:dyDescent="0.35"/>
    <row r="56" spans="2:49" ht="14.25" customHeight="1" x14ac:dyDescent="0.35"/>
    <row r="57" spans="2:49" ht="14.25" customHeight="1" x14ac:dyDescent="0.35"/>
    <row r="58" spans="2:49" ht="14.25" customHeight="1" x14ac:dyDescent="0.35"/>
    <row r="59" spans="2:49" ht="14.25" customHeight="1" x14ac:dyDescent="0.35"/>
    <row r="60" spans="2:49" ht="14.25" customHeight="1" x14ac:dyDescent="0.35"/>
    <row r="61" spans="2:49" ht="14.25" customHeight="1" x14ac:dyDescent="0.35"/>
    <row r="62" spans="2:49" ht="14.25" customHeight="1" x14ac:dyDescent="0.35"/>
    <row r="63" spans="2:49" ht="14.25" customHeight="1" x14ac:dyDescent="0.35"/>
    <row r="64" spans="2:49"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sheetData>
  <sheetProtection password="EDB3" sheet="1" objects="1" scenarios="1"/>
  <mergeCells count="37">
    <mergeCell ref="AD37:AG37"/>
    <mergeCell ref="AH43:AK43"/>
    <mergeCell ref="Y27:AB27"/>
    <mergeCell ref="V27:W27"/>
    <mergeCell ref="Y33:Z33"/>
    <mergeCell ref="AB33:AF33"/>
    <mergeCell ref="AD35:AE35"/>
    <mergeCell ref="AS11:AS13"/>
    <mergeCell ref="AO11:AO13"/>
    <mergeCell ref="AQ11:AQ13"/>
    <mergeCell ref="R1:U1"/>
    <mergeCell ref="E11:H11"/>
    <mergeCell ref="K2:AJ2"/>
    <mergeCell ref="AK2:AT2"/>
    <mergeCell ref="E9:H9"/>
    <mergeCell ref="AG1:AR1"/>
    <mergeCell ref="B2:I2"/>
    <mergeCell ref="E3:H3"/>
    <mergeCell ref="V1:AB1"/>
    <mergeCell ref="AC1:AF1"/>
    <mergeCell ref="AB5:AK5"/>
    <mergeCell ref="AB7:AK7"/>
    <mergeCell ref="B1:Q1"/>
    <mergeCell ref="I53:J53"/>
    <mergeCell ref="I51:J51"/>
    <mergeCell ref="J43:M43"/>
    <mergeCell ref="J31:M31"/>
    <mergeCell ref="E5:H5"/>
    <mergeCell ref="E7:H7"/>
    <mergeCell ref="I15:O15"/>
    <mergeCell ref="L19:R19"/>
    <mergeCell ref="Q23:W23"/>
    <mergeCell ref="J25:M25"/>
    <mergeCell ref="S25:T25"/>
    <mergeCell ref="S29:T29"/>
    <mergeCell ref="S33:T33"/>
    <mergeCell ref="S37:T37"/>
  </mergeCells>
  <pageMargins left="0.511811024" right="0.511811024" top="0.78740157499999996" bottom="0.78740157499999996"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T177"/>
  <sheetViews>
    <sheetView showGridLines="0" zoomScale="80" zoomScaleNormal="80" workbookViewId="0">
      <selection activeCell="J5" sqref="J5:L6"/>
    </sheetView>
  </sheetViews>
  <sheetFormatPr defaultColWidth="14.453125" defaultRowHeight="15" customHeight="1" x14ac:dyDescent="0.35"/>
  <cols>
    <col min="1" max="1" width="1.26953125" customWidth="1"/>
    <col min="2" max="2" width="16.453125" customWidth="1"/>
    <col min="3" max="3" width="38.7265625" customWidth="1"/>
    <col min="4" max="4" width="17" customWidth="1"/>
    <col min="5" max="5" width="20.453125" customWidth="1"/>
    <col min="6" max="7" width="20.7265625" customWidth="1"/>
    <col min="8" max="8" width="14" customWidth="1"/>
    <col min="9" max="10" width="13" customWidth="1"/>
    <col min="11" max="11" width="13.453125" customWidth="1"/>
    <col min="12" max="12" width="9.7265625" customWidth="1"/>
    <col min="13" max="13" width="15" customWidth="1"/>
    <col min="14" max="14" width="15.7265625" customWidth="1"/>
    <col min="15" max="15" width="15" customWidth="1"/>
    <col min="16" max="16" width="9.453125" customWidth="1"/>
    <col min="17" max="20" width="8.7265625" customWidth="1"/>
  </cols>
  <sheetData>
    <row r="1" spans="1:20" ht="12.75" customHeight="1" x14ac:dyDescent="0.35">
      <c r="A1" s="3"/>
      <c r="B1" s="3"/>
      <c r="C1" s="3"/>
      <c r="D1" s="3"/>
      <c r="E1" s="3"/>
      <c r="F1" s="3"/>
      <c r="G1" s="3"/>
      <c r="H1" s="3"/>
      <c r="I1" s="3"/>
      <c r="J1" s="3"/>
      <c r="K1" s="3"/>
      <c r="L1" s="3"/>
      <c r="M1" s="3"/>
      <c r="N1" s="3"/>
      <c r="O1" s="3"/>
      <c r="P1" s="3"/>
      <c r="Q1" s="3"/>
      <c r="R1" s="3"/>
      <c r="S1" s="3"/>
      <c r="T1" s="3"/>
    </row>
    <row r="2" spans="1:20" ht="18" customHeight="1" x14ac:dyDescent="0.35">
      <c r="A2" s="3"/>
      <c r="B2" s="73" t="s">
        <v>493</v>
      </c>
      <c r="C2" s="964" t="str">
        <f>IF('R-Entrada'!D2&lt;&gt;0,'R-Entrada'!D2,"")</f>
        <v>São Judas Tadeu</v>
      </c>
      <c r="D2" s="69"/>
      <c r="E2" s="69"/>
      <c r="F2" s="69"/>
      <c r="G2" s="69"/>
      <c r="H2" s="69"/>
      <c r="I2" s="3"/>
      <c r="J2" s="3"/>
      <c r="K2" s="3"/>
      <c r="L2" s="3"/>
      <c r="M2" s="3"/>
      <c r="N2" s="3"/>
      <c r="O2" s="3"/>
      <c r="P2" s="3"/>
      <c r="Q2" s="3"/>
      <c r="R2" s="3"/>
      <c r="S2" s="3"/>
      <c r="T2" s="3"/>
    </row>
    <row r="3" spans="1:20" ht="18" customHeight="1" x14ac:dyDescent="0.35">
      <c r="A3" s="3"/>
      <c r="B3" s="73" t="s">
        <v>494</v>
      </c>
      <c r="C3" s="964" t="str">
        <f>IF('R-Entrada'!D3&lt;&gt;0,'R-Entrada'!D3,"")</f>
        <v>Rota Futura 1</v>
      </c>
      <c r="D3" s="69"/>
      <c r="E3" s="69"/>
      <c r="F3" s="69"/>
      <c r="G3" s="69"/>
      <c r="H3" s="69"/>
      <c r="I3" s="3"/>
      <c r="J3" s="25"/>
      <c r="K3" s="25"/>
      <c r="L3" s="3"/>
      <c r="M3" s="3"/>
      <c r="N3" s="3"/>
      <c r="O3" s="3"/>
      <c r="P3" s="3"/>
      <c r="Q3" s="3"/>
      <c r="R3" s="3"/>
      <c r="S3" s="3"/>
      <c r="T3" s="3"/>
    </row>
    <row r="4" spans="1:20" ht="18" customHeight="1" x14ac:dyDescent="0.35">
      <c r="A4" s="3"/>
      <c r="B4" s="69"/>
      <c r="C4" s="69"/>
      <c r="D4" s="69"/>
      <c r="E4" s="69"/>
      <c r="F4" s="69"/>
      <c r="G4" s="69"/>
      <c r="H4" s="69"/>
      <c r="I4" s="3"/>
      <c r="J4" s="2056"/>
      <c r="K4" s="1950"/>
      <c r="L4" s="3"/>
      <c r="M4" s="3"/>
      <c r="N4" s="3"/>
      <c r="O4" s="3"/>
      <c r="P4" s="3"/>
      <c r="Q4" s="3"/>
      <c r="R4" s="3"/>
      <c r="S4" s="3"/>
      <c r="T4" s="3"/>
    </row>
    <row r="5" spans="1:20" ht="26.15" customHeight="1" x14ac:dyDescent="0.35">
      <c r="A5" s="3"/>
      <c r="B5" s="98"/>
      <c r="C5" s="201" t="s">
        <v>545</v>
      </c>
      <c r="D5" s="98"/>
      <c r="E5" s="98"/>
      <c r="F5" s="98"/>
      <c r="G5" s="98"/>
      <c r="H5" s="98"/>
      <c r="I5" s="3"/>
      <c r="J5" s="2058" t="s">
        <v>474</v>
      </c>
      <c r="K5" s="1984"/>
      <c r="L5" s="1984"/>
      <c r="M5" s="3"/>
      <c r="N5" s="3"/>
      <c r="O5" s="3"/>
      <c r="P5" s="3"/>
      <c r="Q5" s="3"/>
      <c r="R5" s="3"/>
      <c r="S5" s="3"/>
      <c r="T5" s="3"/>
    </row>
    <row r="6" spans="1:20" ht="18" customHeight="1" x14ac:dyDescent="0.35">
      <c r="A6" s="3"/>
      <c r="B6" s="69"/>
      <c r="C6" s="69"/>
      <c r="D6" s="69"/>
      <c r="E6" s="69"/>
      <c r="F6" s="69"/>
      <c r="G6" s="69"/>
      <c r="H6" s="69"/>
      <c r="I6" s="3"/>
      <c r="J6" s="1941" t="str">
        <f>'R-Entrada'!L5</f>
        <v>Versão 1.01   -   Maio de 2022</v>
      </c>
      <c r="K6" s="2057"/>
      <c r="L6" s="2057"/>
      <c r="M6" s="3"/>
      <c r="N6" s="3"/>
      <c r="O6" s="3"/>
      <c r="P6" s="3"/>
      <c r="Q6" s="3"/>
      <c r="R6" s="3"/>
      <c r="S6" s="3"/>
      <c r="T6" s="3"/>
    </row>
    <row r="7" spans="1:20" ht="18" customHeight="1" x14ac:dyDescent="0.35">
      <c r="A7" s="3"/>
      <c r="B7" s="1942" t="s">
        <v>546</v>
      </c>
      <c r="C7" s="1980"/>
      <c r="D7" s="1980"/>
      <c r="E7" s="1980"/>
      <c r="F7" s="1980"/>
      <c r="G7" s="1980"/>
      <c r="H7" s="1980"/>
      <c r="I7" s="3"/>
      <c r="J7" s="689"/>
      <c r="K7" s="689"/>
      <c r="L7" s="689"/>
      <c r="M7" s="3"/>
      <c r="N7" s="3"/>
      <c r="O7" s="3"/>
      <c r="P7" s="3"/>
      <c r="Q7" s="3"/>
      <c r="R7" s="3"/>
      <c r="S7" s="3"/>
      <c r="T7" s="3"/>
    </row>
    <row r="8" spans="1:20" ht="18" customHeight="1" x14ac:dyDescent="0.35">
      <c r="A8" s="3"/>
      <c r="B8" s="1957" t="s">
        <v>205</v>
      </c>
      <c r="C8" s="1957" t="s">
        <v>206</v>
      </c>
      <c r="D8" s="1942" t="s">
        <v>207</v>
      </c>
      <c r="E8" s="1957" t="s">
        <v>208</v>
      </c>
      <c r="F8" s="1943"/>
      <c r="G8" s="1943"/>
      <c r="H8" s="1943"/>
      <c r="I8" s="3"/>
      <c r="J8" s="3"/>
      <c r="K8" s="3"/>
      <c r="L8" s="3"/>
      <c r="M8" s="3"/>
      <c r="N8" s="3"/>
      <c r="O8" s="3"/>
      <c r="P8" s="14"/>
      <c r="Q8" s="3"/>
      <c r="R8" s="3"/>
      <c r="S8" s="3"/>
      <c r="T8" s="3"/>
    </row>
    <row r="9" spans="1:20" ht="18" customHeight="1" x14ac:dyDescent="0.35">
      <c r="A9" s="7"/>
      <c r="B9" s="1943"/>
      <c r="C9" s="1943"/>
      <c r="D9" s="1943"/>
      <c r="E9" s="1957" t="s">
        <v>209</v>
      </c>
      <c r="F9" s="2072" t="s">
        <v>23</v>
      </c>
      <c r="G9" s="1942" t="s">
        <v>210</v>
      </c>
      <c r="H9" s="1957" t="s">
        <v>211</v>
      </c>
      <c r="I9" s="7"/>
      <c r="J9" s="7"/>
      <c r="K9" s="7"/>
      <c r="L9" s="7"/>
      <c r="M9" s="7"/>
      <c r="N9" s="7"/>
      <c r="O9" s="7"/>
      <c r="P9" s="3"/>
      <c r="Q9" s="3"/>
      <c r="R9" s="7"/>
      <c r="S9" s="3"/>
      <c r="T9" s="3"/>
    </row>
    <row r="10" spans="1:20" ht="18" customHeight="1" x14ac:dyDescent="0.35">
      <c r="A10" s="7"/>
      <c r="B10" s="1943"/>
      <c r="C10" s="1943"/>
      <c r="D10" s="1943"/>
      <c r="E10" s="1943"/>
      <c r="F10" s="1943"/>
      <c r="G10" s="1943"/>
      <c r="H10" s="1943"/>
      <c r="I10" s="7"/>
      <c r="J10" s="7"/>
      <c r="K10" s="7"/>
      <c r="L10" s="7"/>
      <c r="M10" s="7"/>
      <c r="N10" s="7"/>
      <c r="O10" s="7"/>
      <c r="P10" s="3"/>
      <c r="Q10" s="3"/>
      <c r="R10" s="7"/>
      <c r="S10" s="3"/>
      <c r="T10" s="3"/>
    </row>
    <row r="11" spans="1:20" ht="18" customHeight="1" x14ac:dyDescent="0.35">
      <c r="A11" s="7"/>
      <c r="B11" s="7"/>
      <c r="C11" s="7"/>
      <c r="D11" s="7"/>
      <c r="E11" s="7"/>
      <c r="F11" s="7"/>
      <c r="G11" s="7"/>
      <c r="H11" s="7"/>
      <c r="I11" s="7"/>
      <c r="J11" s="7"/>
      <c r="K11" s="7"/>
      <c r="L11" s="7"/>
      <c r="M11" s="7"/>
      <c r="N11" s="7"/>
      <c r="O11" s="7"/>
      <c r="P11" s="3"/>
      <c r="Q11" s="3"/>
      <c r="R11" s="7"/>
      <c r="S11" s="3"/>
      <c r="T11" s="3"/>
    </row>
    <row r="12" spans="1:20" ht="18" customHeight="1" x14ac:dyDescent="0.35">
      <c r="A12" s="7"/>
      <c r="B12" s="691"/>
      <c r="C12" s="703" t="s">
        <v>212</v>
      </c>
      <c r="D12" s="690"/>
      <c r="E12" s="4"/>
      <c r="F12" s="10"/>
      <c r="G12" s="4"/>
      <c r="H12" s="17"/>
      <c r="I12" s="7"/>
      <c r="J12" s="7"/>
      <c r="K12" s="7"/>
      <c r="L12" s="7"/>
      <c r="M12" s="7"/>
      <c r="N12" s="7"/>
      <c r="O12" s="7"/>
      <c r="P12" s="3"/>
      <c r="Q12" s="3"/>
      <c r="R12" s="7"/>
      <c r="S12" s="3"/>
      <c r="T12" s="3"/>
    </row>
    <row r="13" spans="1:20" ht="18" customHeight="1" x14ac:dyDescent="0.35">
      <c r="A13" s="3"/>
      <c r="B13" s="692"/>
      <c r="C13" s="699" t="s">
        <v>196</v>
      </c>
      <c r="D13" s="220">
        <f>'R-Definição'!N13</f>
        <v>449.99999999999994</v>
      </c>
      <c r="E13" s="6"/>
      <c r="F13" s="21"/>
      <c r="G13" s="4"/>
      <c r="H13" s="17"/>
      <c r="I13" s="17"/>
      <c r="J13" s="12"/>
      <c r="K13" s="16"/>
      <c r="L13" s="3"/>
      <c r="M13" s="3"/>
      <c r="N13" s="3"/>
      <c r="O13" s="3"/>
      <c r="P13" s="3"/>
      <c r="Q13" s="3"/>
      <c r="R13" s="7"/>
      <c r="S13" s="3"/>
      <c r="T13" s="3"/>
    </row>
    <row r="14" spans="1:20" ht="18" customHeight="1" x14ac:dyDescent="0.35">
      <c r="A14" s="7"/>
      <c r="B14" s="692"/>
      <c r="C14" s="699" t="s">
        <v>57</v>
      </c>
      <c r="D14" s="220">
        <f>'R-Definição'!N14</f>
        <v>150</v>
      </c>
      <c r="E14" s="6"/>
      <c r="F14" s="21"/>
      <c r="G14" s="4"/>
      <c r="H14" s="11"/>
      <c r="I14" s="17"/>
      <c r="J14" s="12"/>
      <c r="K14" s="17"/>
      <c r="L14" s="4"/>
      <c r="M14" s="4"/>
      <c r="N14" s="4"/>
      <c r="O14" s="4"/>
      <c r="P14" s="4"/>
      <c r="Q14" s="3"/>
      <c r="R14" s="7"/>
      <c r="S14" s="3"/>
      <c r="T14" s="3"/>
    </row>
    <row r="15" spans="1:20" ht="18" customHeight="1" x14ac:dyDescent="0.35">
      <c r="A15" s="7"/>
      <c r="B15" s="692"/>
      <c r="C15" s="699" t="s">
        <v>475</v>
      </c>
      <c r="D15" s="220">
        <f>'R-Definição'!N15</f>
        <v>2400</v>
      </c>
      <c r="E15" s="6"/>
      <c r="F15" s="4"/>
      <c r="G15" s="4"/>
      <c r="H15" s="27"/>
      <c r="I15" s="17"/>
      <c r="J15" s="12"/>
      <c r="K15" s="18"/>
      <c r="L15" s="3"/>
      <c r="M15" s="7"/>
      <c r="N15" s="7"/>
      <c r="O15" s="7"/>
      <c r="P15" s="3"/>
      <c r="Q15" s="3"/>
      <c r="R15" s="7"/>
      <c r="S15" s="3"/>
      <c r="T15" s="3"/>
    </row>
    <row r="16" spans="1:20" ht="18" customHeight="1" x14ac:dyDescent="0.35">
      <c r="A16" s="7"/>
      <c r="B16" s="691"/>
      <c r="C16" s="701" t="s">
        <v>51</v>
      </c>
      <c r="D16" s="695">
        <f>'R-Definição'!N16</f>
        <v>3000</v>
      </c>
      <c r="E16" s="14"/>
      <c r="F16" s="28"/>
      <c r="G16" s="29"/>
      <c r="H16" s="7"/>
      <c r="I16" s="30"/>
      <c r="J16" s="12"/>
      <c r="K16" s="19"/>
      <c r="L16" s="7"/>
      <c r="M16" s="7"/>
      <c r="N16" s="7"/>
      <c r="O16" s="7"/>
      <c r="P16" s="7"/>
      <c r="Q16" s="7"/>
      <c r="R16" s="7"/>
      <c r="S16" s="3"/>
      <c r="T16" s="3"/>
    </row>
    <row r="17" spans="1:20" ht="18" customHeight="1" x14ac:dyDescent="0.35">
      <c r="A17" s="7"/>
      <c r="B17" s="14"/>
      <c r="C17" s="14"/>
      <c r="D17" s="7"/>
      <c r="E17" s="7"/>
      <c r="F17" s="7"/>
      <c r="G17" s="7"/>
      <c r="H17" s="7"/>
      <c r="I17" s="4"/>
      <c r="J17" s="12"/>
      <c r="K17" s="15"/>
      <c r="L17" s="7"/>
      <c r="M17" s="7"/>
      <c r="N17" s="7"/>
      <c r="O17" s="7"/>
      <c r="P17" s="7"/>
      <c r="Q17" s="7"/>
      <c r="R17" s="7"/>
      <c r="S17" s="3"/>
      <c r="T17" s="3"/>
    </row>
    <row r="18" spans="1:20" ht="18" customHeight="1" x14ac:dyDescent="0.35">
      <c r="A18" s="3"/>
      <c r="B18" s="691"/>
      <c r="C18" s="703" t="s">
        <v>178</v>
      </c>
      <c r="D18" s="385"/>
      <c r="E18" s="384"/>
      <c r="F18" s="384"/>
      <c r="G18" s="690"/>
      <c r="H18" s="28"/>
      <c r="I18" s="3"/>
      <c r="J18" s="3"/>
      <c r="K18" s="3"/>
      <c r="L18" s="3"/>
      <c r="M18" s="3"/>
      <c r="N18" s="3"/>
      <c r="O18" s="3"/>
      <c r="P18" s="7"/>
      <c r="Q18" s="7"/>
      <c r="R18" s="3"/>
      <c r="S18" s="3"/>
      <c r="T18" s="3"/>
    </row>
    <row r="19" spans="1:20" ht="18" customHeight="1" x14ac:dyDescent="0.35">
      <c r="A19" s="3"/>
      <c r="B19" s="693">
        <f t="shared" ref="B19:B21" si="0">D19</f>
        <v>44.999999999999993</v>
      </c>
      <c r="C19" s="467" t="s">
        <v>754</v>
      </c>
      <c r="D19" s="220">
        <f>IF('R-Definição'!$E$28="Sim",'R-Definição'!$E$29,0)</f>
        <v>44.999999999999993</v>
      </c>
      <c r="E19" s="220">
        <f>'R-Definição'!M30</f>
        <v>26.999999999999996</v>
      </c>
      <c r="F19" s="220"/>
      <c r="G19" s="220">
        <f>SUM('R-Definição'!M34:'R-Definição'!M35)</f>
        <v>17.999999999999996</v>
      </c>
      <c r="H19" s="21"/>
      <c r="I19" s="3"/>
      <c r="J19" s="20"/>
      <c r="K19" s="3"/>
      <c r="L19" s="3"/>
      <c r="M19" s="3"/>
      <c r="N19" s="3"/>
      <c r="O19" s="3"/>
      <c r="P19" s="7"/>
      <c r="Q19" s="7"/>
      <c r="R19" s="3"/>
      <c r="S19" s="3"/>
      <c r="T19" s="3"/>
    </row>
    <row r="20" spans="1:20" ht="18" customHeight="1" x14ac:dyDescent="0.35">
      <c r="A20" s="3"/>
      <c r="B20" s="693">
        <f t="shared" si="0"/>
        <v>404.99999999999994</v>
      </c>
      <c r="C20" s="467" t="s">
        <v>755</v>
      </c>
      <c r="D20" s="220">
        <f>IF('R-Definição'!$E$32="Sim",'R-Definição'!$E$33,0)</f>
        <v>404.99999999999994</v>
      </c>
      <c r="E20" s="220">
        <f>'R-Definição'!N30</f>
        <v>242.99999999999997</v>
      </c>
      <c r="F20" s="220"/>
      <c r="G20" s="220">
        <f>SUM('R-Definição'!N34:'R-Definição'!N35)</f>
        <v>162</v>
      </c>
      <c r="H20" s="21"/>
      <c r="I20" s="3"/>
      <c r="J20" s="3"/>
      <c r="K20" s="3"/>
      <c r="L20" s="3"/>
      <c r="M20" s="7"/>
      <c r="N20" s="7"/>
      <c r="O20" s="7"/>
      <c r="P20" s="7"/>
      <c r="Q20" s="7"/>
      <c r="R20" s="3"/>
      <c r="S20" s="3"/>
      <c r="T20" s="3"/>
    </row>
    <row r="21" spans="1:20" ht="18" customHeight="1" x14ac:dyDescent="0.35">
      <c r="A21" s="3"/>
      <c r="B21" s="693">
        <f t="shared" si="0"/>
        <v>1440</v>
      </c>
      <c r="C21" s="467" t="s">
        <v>756</v>
      </c>
      <c r="D21" s="220">
        <f>IF('R-Definição'!$I$24="Sim",'R-Definição'!$I$27,0)</f>
        <v>1440</v>
      </c>
      <c r="E21" s="220">
        <f>'R-Definição'!O30</f>
        <v>182.51999999999998</v>
      </c>
      <c r="F21" s="220">
        <f>'R-Definição'!L32</f>
        <v>709.92</v>
      </c>
      <c r="G21" s="220">
        <f>SUM('R-Definição'!O34:'R-Definição'!O35)</f>
        <v>547.56000000000017</v>
      </c>
      <c r="H21" s="21"/>
      <c r="I21" s="3"/>
      <c r="J21" s="3"/>
      <c r="K21" s="3"/>
      <c r="L21" s="3"/>
      <c r="M21" s="7"/>
      <c r="N21" s="7"/>
      <c r="O21" s="7"/>
      <c r="P21" s="7"/>
      <c r="Q21" s="7"/>
      <c r="R21" s="3"/>
      <c r="S21" s="3"/>
      <c r="T21" s="3"/>
    </row>
    <row r="22" spans="1:20" ht="18" customHeight="1" x14ac:dyDescent="0.35">
      <c r="A22" s="3"/>
      <c r="B22" s="700"/>
      <c r="C22" s="701" t="s">
        <v>213</v>
      </c>
      <c r="D22" s="695">
        <f t="shared" ref="D22:G22" si="1">SUM(D19:D21)</f>
        <v>1890</v>
      </c>
      <c r="E22" s="221">
        <f t="shared" si="1"/>
        <v>452.51999999999992</v>
      </c>
      <c r="F22" s="221">
        <f t="shared" si="1"/>
        <v>709.92</v>
      </c>
      <c r="G22" s="221">
        <f t="shared" si="1"/>
        <v>727.56000000000017</v>
      </c>
      <c r="H22" s="21"/>
      <c r="I22" s="3"/>
      <c r="J22" s="3"/>
      <c r="K22" s="3"/>
      <c r="L22" s="3"/>
      <c r="M22" s="3"/>
      <c r="N22" s="3"/>
      <c r="O22" s="3"/>
      <c r="P22" s="3"/>
      <c r="Q22" s="3"/>
      <c r="R22" s="3"/>
      <c r="S22" s="3"/>
      <c r="T22" s="3"/>
    </row>
    <row r="23" spans="1:20" ht="18" customHeight="1" x14ac:dyDescent="0.35">
      <c r="A23" s="3"/>
      <c r="B23" s="3"/>
      <c r="C23" s="3"/>
      <c r="D23" s="31"/>
      <c r="E23" s="3"/>
      <c r="F23" s="3"/>
      <c r="G23" s="3"/>
      <c r="H23" s="3"/>
      <c r="I23" s="3"/>
      <c r="J23" s="3"/>
      <c r="K23" s="3"/>
      <c r="L23" s="3"/>
      <c r="M23" s="3"/>
      <c r="N23" s="3"/>
      <c r="O23" s="3"/>
      <c r="P23" s="3"/>
      <c r="Q23" s="3"/>
      <c r="R23" s="3"/>
      <c r="S23" s="3"/>
      <c r="T23" s="3"/>
    </row>
    <row r="24" spans="1:20" ht="18" customHeight="1" x14ac:dyDescent="0.35">
      <c r="A24" s="3"/>
      <c r="B24" s="691"/>
      <c r="C24" s="703" t="s">
        <v>98</v>
      </c>
      <c r="D24" s="385"/>
      <c r="E24" s="384"/>
      <c r="F24" s="384"/>
      <c r="G24" s="385"/>
      <c r="H24" s="222"/>
      <c r="I24" s="3"/>
      <c r="J24" s="3"/>
      <c r="K24" s="3"/>
      <c r="L24" s="3"/>
      <c r="M24" s="3"/>
      <c r="N24" s="3"/>
      <c r="O24" s="3"/>
      <c r="P24" s="3"/>
      <c r="Q24" s="3"/>
      <c r="R24" s="3"/>
      <c r="S24" s="3"/>
      <c r="T24" s="3"/>
    </row>
    <row r="25" spans="1:20" ht="18" customHeight="1" x14ac:dyDescent="0.35">
      <c r="A25" s="3"/>
      <c r="B25" s="2059">
        <f>D29</f>
        <v>162</v>
      </c>
      <c r="C25" s="230" t="s">
        <v>737</v>
      </c>
      <c r="D25" s="220">
        <f>'R-Definição'!E49</f>
        <v>16.199999999999996</v>
      </c>
      <c r="E25" s="2069">
        <f>'R-Definição'!O49+'R-Definição'!O50</f>
        <v>137.69999999999999</v>
      </c>
      <c r="F25" s="2060"/>
      <c r="G25" s="2069">
        <f>'R-Definição'!O53</f>
        <v>20.25</v>
      </c>
      <c r="H25" s="2069">
        <f>'R-Definição'!O55</f>
        <v>4.05</v>
      </c>
      <c r="I25" s="3"/>
      <c r="J25" s="3"/>
      <c r="K25" s="3"/>
      <c r="L25" s="3"/>
      <c r="M25" s="3"/>
      <c r="N25" s="3"/>
      <c r="O25" s="3"/>
      <c r="P25" s="3"/>
      <c r="Q25" s="3"/>
      <c r="R25" s="3"/>
      <c r="S25" s="3"/>
      <c r="T25" s="3"/>
    </row>
    <row r="26" spans="1:20" ht="18" customHeight="1" x14ac:dyDescent="0.35">
      <c r="A26" s="3"/>
      <c r="B26" s="2068"/>
      <c r="C26" s="230" t="s">
        <v>738</v>
      </c>
      <c r="D26" s="220">
        <f>'R-Definição'!E50</f>
        <v>145.80000000000001</v>
      </c>
      <c r="E26" s="2070"/>
      <c r="F26" s="2070"/>
      <c r="G26" s="2070"/>
      <c r="H26" s="2070"/>
      <c r="I26" s="3"/>
      <c r="J26" s="3"/>
      <c r="K26" s="3"/>
      <c r="L26" s="3"/>
      <c r="M26" s="3"/>
      <c r="N26" s="3"/>
      <c r="O26" s="3"/>
      <c r="P26" s="3"/>
      <c r="Q26" s="3"/>
      <c r="R26" s="3"/>
      <c r="S26" s="3"/>
      <c r="T26" s="3"/>
    </row>
    <row r="27" spans="1:20" ht="18" customHeight="1" x14ac:dyDescent="0.35">
      <c r="A27" s="3"/>
      <c r="B27" s="2068"/>
      <c r="C27" s="230" t="s">
        <v>547</v>
      </c>
      <c r="D27" s="220">
        <f>'R-Definição'!E51</f>
        <v>0</v>
      </c>
      <c r="E27" s="2070"/>
      <c r="F27" s="2070"/>
      <c r="G27" s="2070"/>
      <c r="H27" s="2070"/>
      <c r="I27" s="3"/>
      <c r="J27" s="3"/>
      <c r="K27" s="3"/>
      <c r="L27" s="3"/>
      <c r="M27" s="3"/>
      <c r="N27" s="3"/>
      <c r="O27" s="3"/>
      <c r="P27" s="3"/>
      <c r="Q27" s="3"/>
      <c r="R27" s="3"/>
      <c r="S27" s="3"/>
      <c r="T27" s="3"/>
    </row>
    <row r="28" spans="1:20" ht="18" customHeight="1" x14ac:dyDescent="0.35">
      <c r="A28" s="3"/>
      <c r="B28" s="2068"/>
      <c r="C28" s="230" t="s">
        <v>548</v>
      </c>
      <c r="D28" s="220">
        <f>'R-Definição'!E52</f>
        <v>0</v>
      </c>
      <c r="E28" s="2070"/>
      <c r="F28" s="2070"/>
      <c r="G28" s="2070"/>
      <c r="H28" s="2070"/>
      <c r="I28" s="3"/>
      <c r="J28" s="3"/>
      <c r="K28" s="3"/>
      <c r="L28" s="3"/>
      <c r="M28" s="3"/>
      <c r="N28" s="3"/>
      <c r="O28" s="3"/>
      <c r="P28" s="3"/>
      <c r="Q28" s="3"/>
      <c r="R28" s="3"/>
      <c r="S28" s="3"/>
      <c r="T28" s="3"/>
    </row>
    <row r="29" spans="1:20" ht="18" customHeight="1" x14ac:dyDescent="0.35">
      <c r="A29" s="3"/>
      <c r="B29" s="219"/>
      <c r="C29" s="701" t="s">
        <v>213</v>
      </c>
      <c r="D29" s="695">
        <f>SUM(D25:D28)</f>
        <v>162</v>
      </c>
      <c r="E29" s="221">
        <f>E25</f>
        <v>137.69999999999999</v>
      </c>
      <c r="F29" s="221"/>
      <c r="G29" s="221">
        <f>SUM(G25)</f>
        <v>20.25</v>
      </c>
      <c r="H29" s="221">
        <f>SUM(H25:H28)</f>
        <v>4.05</v>
      </c>
      <c r="I29" s="3"/>
      <c r="J29" s="3"/>
      <c r="K29" s="3"/>
      <c r="L29" s="3"/>
      <c r="M29" s="3"/>
      <c r="N29" s="3"/>
      <c r="O29" s="3"/>
      <c r="P29" s="3"/>
      <c r="Q29" s="3"/>
      <c r="R29" s="3"/>
      <c r="S29" s="3"/>
      <c r="T29" s="3"/>
    </row>
    <row r="30" spans="1:20" ht="18" customHeight="1" x14ac:dyDescent="0.35">
      <c r="A30" s="3"/>
      <c r="B30" s="696">
        <f>'R-Definição'!I51</f>
        <v>162</v>
      </c>
      <c r="C30" s="901" t="s">
        <v>214</v>
      </c>
      <c r="D30" s="225"/>
      <c r="E30" s="226"/>
      <c r="F30" s="226"/>
      <c r="G30" s="226"/>
      <c r="H30" s="226"/>
      <c r="I30" s="3"/>
      <c r="J30" s="3"/>
      <c r="K30" s="3"/>
      <c r="L30" s="3"/>
      <c r="M30" s="3"/>
      <c r="N30" s="3"/>
      <c r="O30" s="3"/>
      <c r="P30" s="3"/>
      <c r="Q30" s="3"/>
      <c r="R30" s="3"/>
      <c r="S30" s="3"/>
      <c r="T30" s="3"/>
    </row>
    <row r="31" spans="1:20" ht="18" customHeight="1" x14ac:dyDescent="0.35">
      <c r="A31" s="3"/>
      <c r="B31" s="696">
        <f>'R-Definição'!I52</f>
        <v>0</v>
      </c>
      <c r="C31" s="901" t="s">
        <v>215</v>
      </c>
      <c r="D31" s="227"/>
      <c r="E31" s="106"/>
      <c r="F31" s="106"/>
      <c r="G31" s="106"/>
      <c r="H31" s="106"/>
      <c r="I31" s="3"/>
      <c r="J31" s="3"/>
      <c r="K31" s="3"/>
      <c r="L31" s="3"/>
      <c r="M31" s="3"/>
      <c r="N31" s="3"/>
      <c r="O31" s="3"/>
      <c r="P31" s="3"/>
      <c r="Q31" s="3"/>
      <c r="R31" s="3"/>
      <c r="S31" s="3"/>
      <c r="T31" s="3"/>
    </row>
    <row r="32" spans="1:20" ht="18" customHeight="1" x14ac:dyDescent="0.35">
      <c r="A32" s="3"/>
      <c r="B32" s="81"/>
      <c r="C32" s="81"/>
      <c r="D32" s="228"/>
      <c r="E32" s="229"/>
      <c r="F32" s="229"/>
      <c r="G32" s="229"/>
      <c r="H32" s="229"/>
      <c r="I32" s="3"/>
      <c r="J32" s="3"/>
      <c r="K32" s="3"/>
      <c r="L32" s="3"/>
      <c r="M32" s="3"/>
      <c r="N32" s="3"/>
      <c r="O32" s="3"/>
      <c r="P32" s="3"/>
      <c r="Q32" s="3"/>
      <c r="R32" s="3"/>
      <c r="S32" s="3"/>
      <c r="T32" s="3"/>
    </row>
    <row r="33" spans="1:20" ht="18" customHeight="1" x14ac:dyDescent="0.35">
      <c r="A33" s="3"/>
      <c r="B33" s="691"/>
      <c r="C33" s="703" t="s">
        <v>181</v>
      </c>
      <c r="D33" s="385"/>
      <c r="E33" s="923"/>
      <c r="F33" s="384"/>
      <c r="G33" s="385"/>
      <c r="H33" s="222"/>
      <c r="I33" s="3"/>
      <c r="J33" s="3"/>
      <c r="K33" s="3"/>
      <c r="L33" s="3"/>
      <c r="M33" s="3"/>
      <c r="N33" s="3"/>
      <c r="O33" s="3"/>
      <c r="P33" s="3"/>
      <c r="Q33" s="3"/>
      <c r="R33" s="3"/>
      <c r="S33" s="3"/>
      <c r="T33" s="3"/>
    </row>
    <row r="34" spans="1:20" ht="18" customHeight="1" x14ac:dyDescent="0.35">
      <c r="A34" s="3"/>
      <c r="B34" s="696">
        <f>'R-Definição'!O62</f>
        <v>859.92</v>
      </c>
      <c r="C34" s="464" t="s">
        <v>216</v>
      </c>
      <c r="D34" s="922">
        <f>IF('R-Definição'!$J$67&lt;&gt;"Uso agrícola dir.",'R-Definição'!$O$62,0)</f>
        <v>859.92</v>
      </c>
      <c r="E34" s="924"/>
      <c r="F34" s="2071">
        <f>'R-Definição'!O67+'R-Definição'!O68</f>
        <v>402.01259999999996</v>
      </c>
      <c r="G34" s="2069">
        <f>'R-Definição'!O73</f>
        <v>36.546599999999998</v>
      </c>
      <c r="H34" s="2069">
        <f>'R-Definição'!O74</f>
        <v>421.36079999999998</v>
      </c>
      <c r="I34" s="3"/>
      <c r="J34" s="3"/>
      <c r="K34" s="3"/>
      <c r="L34" s="3"/>
      <c r="M34" s="3"/>
      <c r="N34" s="3"/>
      <c r="O34" s="3"/>
      <c r="P34" s="3"/>
      <c r="Q34" s="3"/>
      <c r="R34" s="3"/>
      <c r="S34" s="3"/>
      <c r="T34" s="3"/>
    </row>
    <row r="35" spans="1:20" ht="18" customHeight="1" x14ac:dyDescent="0.35">
      <c r="A35" s="3"/>
      <c r="B35" s="696">
        <f>'R-Definição'!O63+'R-Definição'!O64</f>
        <v>730.9319999999999</v>
      </c>
      <c r="C35" s="464" t="s">
        <v>126</v>
      </c>
      <c r="D35" s="220">
        <f>'R-Definição'!E60-'R-Definição'!O62</f>
        <v>0</v>
      </c>
      <c r="E35" s="921"/>
      <c r="F35" s="2061"/>
      <c r="G35" s="2061"/>
      <c r="H35" s="2061"/>
      <c r="I35" s="3"/>
      <c r="J35" s="3"/>
      <c r="K35" s="3"/>
      <c r="L35" s="3"/>
      <c r="M35" s="3"/>
      <c r="N35" s="3"/>
      <c r="O35" s="3"/>
      <c r="P35" s="3"/>
      <c r="Q35" s="3"/>
      <c r="R35" s="3"/>
      <c r="S35" s="3"/>
      <c r="T35" s="3"/>
    </row>
    <row r="36" spans="1:20" ht="18" customHeight="1" x14ac:dyDescent="0.35">
      <c r="A36" s="3"/>
      <c r="B36" s="208"/>
      <c r="C36" s="702" t="s">
        <v>213</v>
      </c>
      <c r="D36" s="239">
        <f>SUM(D33:D35)</f>
        <v>859.92</v>
      </c>
      <c r="E36" s="234"/>
      <c r="F36" s="704">
        <f t="shared" ref="F36:H36" si="2">F34</f>
        <v>402.01259999999996</v>
      </c>
      <c r="G36" s="704">
        <f t="shared" si="2"/>
        <v>36.546599999999998</v>
      </c>
      <c r="H36" s="704">
        <f t="shared" si="2"/>
        <v>421.36079999999998</v>
      </c>
      <c r="I36" s="3"/>
      <c r="J36" s="3"/>
      <c r="K36" s="3"/>
      <c r="L36" s="3"/>
      <c r="M36" s="3"/>
      <c r="N36" s="3"/>
      <c r="O36" s="3"/>
      <c r="P36" s="3"/>
      <c r="Q36" s="3"/>
      <c r="R36" s="3"/>
      <c r="S36" s="3"/>
      <c r="T36" s="3"/>
    </row>
    <row r="37" spans="1:20" ht="18" customHeight="1" x14ac:dyDescent="0.35">
      <c r="A37" s="3"/>
      <c r="B37" s="81"/>
      <c r="C37" s="81"/>
      <c r="D37" s="228"/>
      <c r="E37" s="104"/>
      <c r="F37" s="104"/>
      <c r="G37" s="104"/>
      <c r="H37" s="104"/>
      <c r="I37" s="3"/>
      <c r="J37" s="3"/>
      <c r="K37" s="3"/>
      <c r="L37" s="3"/>
      <c r="M37" s="3"/>
      <c r="N37" s="3"/>
      <c r="O37" s="3"/>
      <c r="P37" s="3"/>
      <c r="Q37" s="3"/>
      <c r="R37" s="3"/>
      <c r="S37" s="3"/>
      <c r="T37" s="3"/>
    </row>
    <row r="38" spans="1:20" ht="18" customHeight="1" x14ac:dyDescent="0.35">
      <c r="A38" s="3"/>
      <c r="B38" s="691"/>
      <c r="C38" s="703" t="s">
        <v>62</v>
      </c>
      <c r="D38" s="385"/>
      <c r="E38" s="384"/>
      <c r="F38" s="384"/>
      <c r="G38" s="385"/>
      <c r="H38" s="222"/>
      <c r="I38" s="3"/>
      <c r="J38" s="3"/>
      <c r="K38" s="3"/>
      <c r="L38" s="3"/>
      <c r="M38" s="3"/>
      <c r="N38" s="3"/>
      <c r="O38" s="3"/>
      <c r="P38" s="3"/>
      <c r="Q38" s="3"/>
      <c r="R38" s="3"/>
      <c r="S38" s="3"/>
      <c r="T38" s="3"/>
    </row>
    <row r="39" spans="1:20" ht="18" customHeight="1" x14ac:dyDescent="0.35">
      <c r="A39" s="3"/>
      <c r="B39" s="2059">
        <f>'R-Definição'!E112</f>
        <v>547.56000000000017</v>
      </c>
      <c r="C39" s="464" t="s">
        <v>217</v>
      </c>
      <c r="D39" s="220">
        <f>'R-Definição'!E107</f>
        <v>0</v>
      </c>
      <c r="E39" s="2062">
        <f>'R-Definição'!O107+'R-Definição'!O108+'R-Definição'!O109</f>
        <v>26.548363636363632</v>
      </c>
      <c r="F39" s="2060"/>
      <c r="G39" s="2062">
        <f>'R-Definição'!O110</f>
        <v>109.51200000000004</v>
      </c>
      <c r="H39" s="2062">
        <f>'R-Definição'!O113</f>
        <v>411.49963636363651</v>
      </c>
      <c r="I39" s="3"/>
      <c r="J39" s="3"/>
      <c r="K39" s="3"/>
      <c r="L39" s="3"/>
      <c r="M39" s="3"/>
      <c r="N39" s="3"/>
      <c r="O39" s="3"/>
      <c r="P39" s="3"/>
      <c r="Q39" s="3"/>
      <c r="R39" s="3"/>
      <c r="S39" s="3"/>
      <c r="T39" s="3"/>
    </row>
    <row r="40" spans="1:20" ht="18" customHeight="1" x14ac:dyDescent="0.35">
      <c r="A40" s="3"/>
      <c r="B40" s="1991"/>
      <c r="C40" s="464" t="s">
        <v>757</v>
      </c>
      <c r="D40" s="220">
        <f>'R-Definição'!E108</f>
        <v>0</v>
      </c>
      <c r="E40" s="2061"/>
      <c r="F40" s="2061"/>
      <c r="G40" s="2061"/>
      <c r="H40" s="2061"/>
      <c r="I40" s="3"/>
      <c r="J40" s="3"/>
      <c r="K40" s="3"/>
      <c r="L40" s="3"/>
      <c r="M40" s="3"/>
      <c r="N40" s="3"/>
      <c r="O40" s="3"/>
      <c r="P40" s="3"/>
      <c r="Q40" s="3"/>
      <c r="R40" s="3"/>
      <c r="S40" s="3"/>
      <c r="T40" s="3"/>
    </row>
    <row r="41" spans="1:20" ht="18" customHeight="1" x14ac:dyDescent="0.35">
      <c r="A41" s="3"/>
      <c r="B41" s="1991"/>
      <c r="C41" s="464" t="s">
        <v>739</v>
      </c>
      <c r="D41" s="220">
        <f>'R-Definição'!E109</f>
        <v>0</v>
      </c>
      <c r="E41" s="2061"/>
      <c r="F41" s="2061"/>
      <c r="G41" s="2061"/>
      <c r="H41" s="2061"/>
      <c r="I41" s="3"/>
      <c r="J41" s="3"/>
      <c r="K41" s="3"/>
      <c r="L41" s="3"/>
      <c r="M41" s="3"/>
      <c r="N41" s="3"/>
      <c r="O41" s="3"/>
      <c r="P41" s="3"/>
      <c r="Q41" s="3"/>
      <c r="R41" s="3"/>
      <c r="S41" s="3"/>
      <c r="T41" s="3"/>
    </row>
    <row r="42" spans="1:20" ht="18" customHeight="1" x14ac:dyDescent="0.35">
      <c r="A42" s="3"/>
      <c r="B42" s="1991"/>
      <c r="C42" s="235" t="s">
        <v>831</v>
      </c>
      <c r="D42" s="220">
        <f>'R-Definição'!E110</f>
        <v>547.56000000000017</v>
      </c>
      <c r="E42" s="2061"/>
      <c r="F42" s="2061"/>
      <c r="G42" s="2061"/>
      <c r="H42" s="2061"/>
      <c r="I42" s="3"/>
      <c r="J42" s="3"/>
      <c r="K42" s="3"/>
      <c r="L42" s="3"/>
      <c r="M42" s="3"/>
      <c r="N42" s="3"/>
      <c r="O42" s="3"/>
      <c r="P42" s="3"/>
      <c r="Q42" s="3"/>
      <c r="R42" s="3"/>
      <c r="S42" s="3"/>
      <c r="T42" s="3"/>
    </row>
    <row r="43" spans="1:20" ht="18" customHeight="1" x14ac:dyDescent="0.35">
      <c r="A43" s="3"/>
      <c r="B43" s="208"/>
      <c r="C43" s="702" t="s">
        <v>213</v>
      </c>
      <c r="D43" s="925">
        <f>SUM(D39:D42)</f>
        <v>547.56000000000017</v>
      </c>
      <c r="E43" s="705">
        <f>E39</f>
        <v>26.548363636363632</v>
      </c>
      <c r="F43" s="706"/>
      <c r="G43" s="705">
        <f t="shared" ref="G43:H43" si="3">SUM(G38:G42)</f>
        <v>109.51200000000004</v>
      </c>
      <c r="H43" s="705">
        <f t="shared" si="3"/>
        <v>411.49963636363651</v>
      </c>
      <c r="I43" s="3"/>
      <c r="J43" s="3"/>
      <c r="K43" s="3"/>
      <c r="L43" s="3"/>
      <c r="M43" s="3"/>
      <c r="N43" s="3"/>
      <c r="O43" s="3"/>
      <c r="P43" s="3"/>
      <c r="Q43" s="3"/>
      <c r="R43" s="3"/>
      <c r="S43" s="3"/>
      <c r="T43" s="3"/>
    </row>
    <row r="44" spans="1:20" ht="18" customHeight="1" x14ac:dyDescent="0.35">
      <c r="A44" s="3"/>
      <c r="B44" s="3"/>
      <c r="C44" s="69"/>
      <c r="D44" s="32"/>
      <c r="E44" s="5"/>
      <c r="F44" s="5"/>
      <c r="G44" s="5"/>
      <c r="H44" s="5"/>
      <c r="I44" s="3"/>
      <c r="J44" s="3"/>
      <c r="K44" s="3"/>
      <c r="L44" s="3"/>
      <c r="M44" s="3"/>
      <c r="N44" s="3"/>
      <c r="O44" s="3"/>
      <c r="P44" s="3"/>
      <c r="Q44" s="3"/>
      <c r="R44" s="3"/>
      <c r="S44" s="3"/>
      <c r="T44" s="3"/>
    </row>
    <row r="45" spans="1:20" ht="18" customHeight="1" x14ac:dyDescent="0.35">
      <c r="A45" s="3"/>
      <c r="B45" s="691"/>
      <c r="C45" s="385" t="s">
        <v>63</v>
      </c>
      <c r="D45" s="690"/>
      <c r="E45" s="5"/>
      <c r="F45" s="5"/>
      <c r="G45" s="5"/>
      <c r="H45" s="5"/>
      <c r="I45" s="3"/>
      <c r="J45" s="3"/>
      <c r="K45" s="3"/>
      <c r="L45" s="3"/>
      <c r="M45" s="3"/>
      <c r="N45" s="3"/>
      <c r="O45" s="3"/>
      <c r="P45" s="3"/>
      <c r="Q45" s="3"/>
      <c r="R45" s="3"/>
      <c r="S45" s="3"/>
      <c r="T45" s="3"/>
    </row>
    <row r="46" spans="1:20" ht="18" customHeight="1" x14ac:dyDescent="0.35">
      <c r="A46" s="3"/>
      <c r="B46" s="2059">
        <f>'R-Definição'!E119</f>
        <v>1144.3086000000001</v>
      </c>
      <c r="C46" s="464" t="s">
        <v>218</v>
      </c>
      <c r="D46" s="220">
        <f>'R-Definição'!N95</f>
        <v>960</v>
      </c>
      <c r="E46" s="5"/>
      <c r="F46" s="5"/>
      <c r="G46" s="5"/>
      <c r="H46" s="5"/>
      <c r="I46" s="3"/>
      <c r="J46" s="3"/>
      <c r="K46" s="3"/>
      <c r="L46" s="3"/>
      <c r="M46" s="3"/>
      <c r="N46" s="3"/>
      <c r="O46" s="3"/>
      <c r="P46" s="3"/>
      <c r="Q46" s="3"/>
      <c r="R46" s="3"/>
      <c r="S46" s="3"/>
      <c r="T46" s="3"/>
    </row>
    <row r="47" spans="1:20" ht="18" customHeight="1" x14ac:dyDescent="0.35">
      <c r="A47" s="3"/>
      <c r="B47" s="1991"/>
      <c r="C47" s="464" t="s">
        <v>549</v>
      </c>
      <c r="D47" s="220">
        <f>'R-Definição'!N96</f>
        <v>0</v>
      </c>
      <c r="E47" s="5"/>
      <c r="F47" s="671" t="s">
        <v>219</v>
      </c>
      <c r="G47" s="386"/>
      <c r="H47" s="697"/>
      <c r="I47" s="3"/>
      <c r="J47" s="3"/>
      <c r="K47" s="3"/>
      <c r="L47" s="3"/>
      <c r="M47" s="3"/>
      <c r="N47" s="3"/>
      <c r="O47" s="3"/>
      <c r="P47" s="3"/>
      <c r="Q47" s="3"/>
      <c r="R47" s="3"/>
      <c r="S47" s="3"/>
      <c r="T47" s="3"/>
    </row>
    <row r="48" spans="1:20" ht="18" customHeight="1" x14ac:dyDescent="0.35">
      <c r="A48" s="3"/>
      <c r="B48" s="1991"/>
      <c r="C48" s="464" t="s">
        <v>550</v>
      </c>
      <c r="D48" s="220">
        <f>'R-Definição'!N98+'R-Definição'!N99+'R-Definição'!N97</f>
        <v>18</v>
      </c>
      <c r="E48" s="6"/>
      <c r="F48" s="694"/>
      <c r="G48" s="218" t="s">
        <v>220</v>
      </c>
      <c r="H48" s="218" t="s">
        <v>20</v>
      </c>
      <c r="I48" s="3"/>
      <c r="J48" s="3"/>
      <c r="K48" s="3"/>
      <c r="L48" s="3"/>
      <c r="M48" s="3"/>
      <c r="N48" s="3"/>
      <c r="O48" s="3"/>
      <c r="P48" s="3"/>
      <c r="Q48" s="3"/>
      <c r="R48" s="3"/>
      <c r="S48" s="3"/>
      <c r="T48" s="3"/>
    </row>
    <row r="49" spans="1:20" ht="18" customHeight="1" x14ac:dyDescent="0.35">
      <c r="A49" s="3"/>
      <c r="B49" s="1991"/>
      <c r="C49" s="464" t="s">
        <v>551</v>
      </c>
      <c r="D49" s="220">
        <f>'R-Definição'!O53</f>
        <v>20.25</v>
      </c>
      <c r="E49" s="5"/>
      <c r="F49" s="230" t="s">
        <v>221</v>
      </c>
      <c r="G49" s="220">
        <f>D52</f>
        <v>1144.3085999999998</v>
      </c>
      <c r="H49" s="831">
        <f>IF($G$52&lt;&gt;0,G49/$G$52*100,0)</f>
        <v>38.143619999999991</v>
      </c>
      <c r="I49" s="20"/>
      <c r="J49" s="3"/>
      <c r="K49" s="3"/>
      <c r="L49" s="3"/>
      <c r="M49" s="3"/>
      <c r="N49" s="3"/>
      <c r="O49" s="3"/>
      <c r="P49" s="3"/>
      <c r="Q49" s="3"/>
      <c r="R49" s="3"/>
      <c r="S49" s="3"/>
      <c r="T49" s="3"/>
    </row>
    <row r="50" spans="1:20" ht="18" customHeight="1" x14ac:dyDescent="0.35">
      <c r="A50" s="3"/>
      <c r="B50" s="1991"/>
      <c r="C50" s="464" t="s">
        <v>552</v>
      </c>
      <c r="D50" s="220">
        <f>'R-Definição'!O73</f>
        <v>36.546599999999998</v>
      </c>
      <c r="E50" s="5"/>
      <c r="F50" s="230" t="s">
        <v>554</v>
      </c>
      <c r="G50" s="831">
        <f>E43+F36+E29+E22</f>
        <v>1018.7809636363636</v>
      </c>
      <c r="H50" s="831">
        <f>IF($G$52&lt;&gt;0,G50/$G$52*100,0)</f>
        <v>33.959365454545456</v>
      </c>
      <c r="I50" s="22"/>
      <c r="J50" s="3"/>
      <c r="K50" s="3"/>
      <c r="L50" s="3"/>
      <c r="M50" s="3"/>
      <c r="N50" s="3"/>
      <c r="O50" s="3"/>
      <c r="P50" s="3"/>
      <c r="Q50" s="3"/>
      <c r="R50" s="3"/>
      <c r="S50" s="3"/>
      <c r="T50" s="3"/>
    </row>
    <row r="51" spans="1:20" ht="18" customHeight="1" x14ac:dyDescent="0.35">
      <c r="A51" s="3"/>
      <c r="B51" s="1991"/>
      <c r="C51" s="464" t="s">
        <v>553</v>
      </c>
      <c r="D51" s="220">
        <f>'R-Definição'!O110</f>
        <v>109.51200000000004</v>
      </c>
      <c r="E51" s="3"/>
      <c r="F51" s="230" t="s">
        <v>222</v>
      </c>
      <c r="G51" s="831">
        <f>H29+H36+H43</f>
        <v>836.91043636363656</v>
      </c>
      <c r="H51" s="831">
        <f>IF($G$52&lt;&gt;0,G51/$G$52*100,0)</f>
        <v>27.897014545454553</v>
      </c>
      <c r="I51" s="3"/>
      <c r="J51" s="3"/>
      <c r="K51" s="3"/>
      <c r="L51" s="3"/>
      <c r="M51" s="3"/>
      <c r="N51" s="3"/>
      <c r="O51" s="3"/>
      <c r="P51" s="3"/>
      <c r="Q51" s="3"/>
      <c r="R51" s="3"/>
      <c r="S51" s="3"/>
      <c r="T51" s="3"/>
    </row>
    <row r="52" spans="1:20" ht="18" customHeight="1" x14ac:dyDescent="0.35">
      <c r="A52" s="3"/>
      <c r="B52" s="700"/>
      <c r="C52" s="701" t="s">
        <v>213</v>
      </c>
      <c r="D52" s="695">
        <f>SUM(D46:D51)</f>
        <v>1144.3085999999998</v>
      </c>
      <c r="E52" s="3"/>
      <c r="F52" s="707" t="s">
        <v>51</v>
      </c>
      <c r="G52" s="221">
        <f>SUM(G49:G51)</f>
        <v>3000</v>
      </c>
      <c r="H52" s="698">
        <f>IF($G$52&lt;&gt;0,G52/$G$52*100,0)</f>
        <v>100</v>
      </c>
      <c r="I52" s="20"/>
      <c r="J52" s="3"/>
      <c r="K52" s="3"/>
      <c r="L52" s="3"/>
      <c r="M52" s="3"/>
      <c r="N52" s="3"/>
      <c r="O52" s="3"/>
      <c r="P52" s="3"/>
      <c r="Q52" s="3"/>
      <c r="R52" s="3"/>
      <c r="S52" s="3"/>
      <c r="T52" s="3"/>
    </row>
    <row r="53" spans="1:20" ht="18" customHeight="1" x14ac:dyDescent="0.35">
      <c r="A53" s="3"/>
      <c r="B53" s="3"/>
      <c r="C53" s="3"/>
      <c r="D53" s="3"/>
      <c r="E53" s="3"/>
      <c r="F53" s="237" t="s">
        <v>223</v>
      </c>
      <c r="G53" s="236"/>
      <c r="H53" s="3"/>
      <c r="I53" s="3"/>
      <c r="J53" s="3"/>
      <c r="K53" s="3"/>
      <c r="L53" s="3"/>
      <c r="M53" s="3"/>
      <c r="N53" s="3"/>
      <c r="O53" s="3"/>
      <c r="P53" s="3"/>
      <c r="Q53" s="3"/>
      <c r="R53" s="3"/>
      <c r="S53" s="3"/>
      <c r="T53" s="3"/>
    </row>
    <row r="54" spans="1:20" ht="18" customHeight="1" x14ac:dyDescent="0.35">
      <c r="A54" s="3"/>
      <c r="B54" s="3"/>
      <c r="C54" s="13"/>
      <c r="D54" s="22"/>
      <c r="E54" s="3"/>
      <c r="F54" s="3"/>
      <c r="G54" s="22"/>
      <c r="H54" s="22"/>
      <c r="I54" s="3"/>
      <c r="J54" s="3"/>
      <c r="K54" s="3"/>
      <c r="L54" s="3"/>
      <c r="M54" s="3"/>
      <c r="N54" s="3"/>
      <c r="O54" s="3"/>
      <c r="P54" s="3"/>
      <c r="Q54" s="3"/>
      <c r="R54" s="3"/>
      <c r="S54" s="3"/>
      <c r="T54" s="3"/>
    </row>
    <row r="55" spans="1:20" ht="18" customHeight="1" x14ac:dyDescent="0.35">
      <c r="A55" s="3"/>
      <c r="B55" s="1942" t="s">
        <v>144</v>
      </c>
      <c r="C55" s="1980"/>
      <c r="D55" s="1942" t="s">
        <v>224</v>
      </c>
      <c r="E55" s="2002"/>
      <c r="F55" s="2002"/>
      <c r="G55" s="2002"/>
      <c r="H55" s="2002"/>
      <c r="I55" s="2002"/>
      <c r="J55" s="2002"/>
      <c r="K55" s="2002"/>
      <c r="L55" s="3"/>
      <c r="M55" s="3"/>
      <c r="N55" s="3"/>
      <c r="O55" s="3"/>
      <c r="P55" s="3"/>
      <c r="Q55" s="3"/>
      <c r="R55" s="3"/>
      <c r="S55" s="3"/>
      <c r="T55" s="3"/>
    </row>
    <row r="56" spans="1:20" ht="18" customHeight="1" x14ac:dyDescent="0.35">
      <c r="A56" s="3"/>
      <c r="B56" s="1980"/>
      <c r="C56" s="1980"/>
      <c r="D56" s="2065" t="s">
        <v>51</v>
      </c>
      <c r="E56" s="2065" t="s">
        <v>178</v>
      </c>
      <c r="F56" s="2066"/>
      <c r="G56" s="2066"/>
      <c r="H56" s="2067" t="s">
        <v>60</v>
      </c>
      <c r="I56" s="2067" t="s">
        <v>181</v>
      </c>
      <c r="J56" s="2067" t="s">
        <v>62</v>
      </c>
      <c r="K56" s="2067" t="s">
        <v>63</v>
      </c>
      <c r="L56" s="3"/>
      <c r="M56" s="3"/>
      <c r="N56" s="3"/>
      <c r="O56" s="3"/>
      <c r="P56" s="3"/>
      <c r="Q56" s="3"/>
      <c r="R56" s="3"/>
      <c r="S56" s="3"/>
      <c r="T56" s="3"/>
    </row>
    <row r="57" spans="1:20" ht="18" customHeight="1" x14ac:dyDescent="0.35">
      <c r="A57" s="3"/>
      <c r="B57" s="2064" t="s">
        <v>26</v>
      </c>
      <c r="C57" s="472" t="s">
        <v>19</v>
      </c>
      <c r="D57" s="2066"/>
      <c r="E57" s="472" t="s">
        <v>78</v>
      </c>
      <c r="F57" s="472" t="s">
        <v>85</v>
      </c>
      <c r="G57" s="472" t="s">
        <v>71</v>
      </c>
      <c r="H57" s="2066"/>
      <c r="I57" s="2066"/>
      <c r="J57" s="2066"/>
      <c r="K57" s="2066"/>
      <c r="L57" s="3"/>
      <c r="M57" s="3"/>
      <c r="N57" s="3"/>
      <c r="O57" s="3"/>
      <c r="P57" s="3"/>
      <c r="Q57" s="3"/>
      <c r="R57" s="3"/>
      <c r="S57" s="3"/>
      <c r="T57" s="3"/>
    </row>
    <row r="58" spans="1:20" ht="18" customHeight="1" x14ac:dyDescent="0.35">
      <c r="A58" s="3"/>
      <c r="B58" s="2064"/>
      <c r="C58" s="230" t="s">
        <v>72</v>
      </c>
      <c r="D58" s="220">
        <f t="shared" ref="D58:D64" si="4">SUM(E58:K58)</f>
        <v>185.83109717868336</v>
      </c>
      <c r="E58" s="220">
        <f>'R-Definição'!M24</f>
        <v>11.087774294670844</v>
      </c>
      <c r="F58" s="220">
        <f>'R-Definição'!N24</f>
        <v>99.789968652037601</v>
      </c>
      <c r="G58" s="220">
        <f>'R-Definição'!O24</f>
        <v>74.953354231974927</v>
      </c>
      <c r="H58" s="831"/>
      <c r="I58" s="830"/>
      <c r="J58" s="830"/>
      <c r="K58" s="830"/>
      <c r="L58" s="3"/>
      <c r="M58" s="3"/>
      <c r="N58" s="3"/>
      <c r="O58" s="3"/>
      <c r="P58" s="3"/>
      <c r="Q58" s="3"/>
      <c r="R58" s="3"/>
      <c r="S58" s="3"/>
      <c r="T58" s="3"/>
    </row>
    <row r="59" spans="1:20" ht="18" customHeight="1" x14ac:dyDescent="0.35">
      <c r="A59" s="3"/>
      <c r="B59" s="2064"/>
      <c r="C59" s="230" t="s">
        <v>27</v>
      </c>
      <c r="D59" s="220">
        <f t="shared" si="4"/>
        <v>126.25166144200625</v>
      </c>
      <c r="E59" s="220">
        <f>'R-Definição'!M25</f>
        <v>7.5329153605015673</v>
      </c>
      <c r="F59" s="220">
        <f>'R-Definição'!N25</f>
        <v>67.7962382445141</v>
      </c>
      <c r="G59" s="220">
        <f>'R-Definição'!O25</f>
        <v>50.922507836990597</v>
      </c>
      <c r="H59" s="832"/>
      <c r="I59" s="833"/>
      <c r="J59" s="833"/>
      <c r="K59" s="833"/>
      <c r="L59" s="3"/>
      <c r="M59" s="3"/>
      <c r="N59" s="3"/>
      <c r="O59" s="3"/>
      <c r="P59" s="3"/>
      <c r="Q59" s="3"/>
      <c r="R59" s="3"/>
      <c r="S59" s="3"/>
      <c r="T59" s="3"/>
    </row>
    <row r="60" spans="1:20" ht="18" customHeight="1" x14ac:dyDescent="0.35">
      <c r="A60" s="3"/>
      <c r="B60" s="2064"/>
      <c r="C60" s="230" t="s">
        <v>76</v>
      </c>
      <c r="D60" s="220">
        <f t="shared" si="4"/>
        <v>65.253667711598737</v>
      </c>
      <c r="E60" s="220">
        <f>'R-Definição'!M26</f>
        <v>3.8934169278996862</v>
      </c>
      <c r="F60" s="220">
        <f>'R-Definição'!N26</f>
        <v>35.040752351097176</v>
      </c>
      <c r="G60" s="220">
        <f>'R-Definição'!O26</f>
        <v>26.319498432601872</v>
      </c>
      <c r="H60" s="831"/>
      <c r="I60" s="830"/>
      <c r="J60" s="830"/>
      <c r="K60" s="830"/>
      <c r="L60" s="3"/>
      <c r="M60" s="3"/>
      <c r="N60" s="3"/>
      <c r="O60" s="3"/>
      <c r="P60" s="3"/>
      <c r="Q60" s="3"/>
      <c r="R60" s="3"/>
      <c r="S60" s="3"/>
      <c r="T60" s="3"/>
    </row>
    <row r="61" spans="1:20" ht="18" customHeight="1" x14ac:dyDescent="0.35">
      <c r="A61" s="3"/>
      <c r="B61" s="2064"/>
      <c r="C61" s="230" t="s">
        <v>29</v>
      </c>
      <c r="D61" s="220">
        <f t="shared" si="4"/>
        <v>34.045391849529778</v>
      </c>
      <c r="E61" s="220">
        <f>'R-Definição'!M27</f>
        <v>2.0313479623824451</v>
      </c>
      <c r="F61" s="220">
        <f>'R-Definição'!N27</f>
        <v>18.282131661442005</v>
      </c>
      <c r="G61" s="220">
        <f>'R-Definição'!O27</f>
        <v>13.731912225705329</v>
      </c>
      <c r="H61" s="831"/>
      <c r="I61" s="830"/>
      <c r="J61" s="830"/>
      <c r="K61" s="830"/>
      <c r="L61" s="3"/>
      <c r="M61" s="3"/>
      <c r="N61" s="3"/>
      <c r="O61" s="3"/>
      <c r="P61" s="3"/>
      <c r="Q61" s="3"/>
      <c r="R61" s="3"/>
      <c r="S61" s="3"/>
      <c r="T61" s="3"/>
    </row>
    <row r="62" spans="1:20" ht="18" customHeight="1" x14ac:dyDescent="0.35">
      <c r="A62" s="3"/>
      <c r="B62" s="2064"/>
      <c r="C62" s="230" t="s">
        <v>30</v>
      </c>
      <c r="D62" s="220">
        <f t="shared" si="4"/>
        <v>53.682432601880862</v>
      </c>
      <c r="E62" s="220">
        <f>'R-Definição'!M28</f>
        <v>1.9467084639498431</v>
      </c>
      <c r="F62" s="220">
        <f>'R-Definição'!N28</f>
        <v>17.520376175548588</v>
      </c>
      <c r="G62" s="220">
        <f>'R-Definição'!O28</f>
        <v>13.159749216300936</v>
      </c>
      <c r="H62" s="831"/>
      <c r="I62" s="830"/>
      <c r="J62" s="831">
        <f>'R-Definição'!O107</f>
        <v>21.055598746081497</v>
      </c>
      <c r="K62" s="830"/>
      <c r="L62" s="3"/>
      <c r="M62" s="3"/>
      <c r="N62" s="3"/>
      <c r="O62" s="3"/>
      <c r="P62" s="3"/>
      <c r="Q62" s="3"/>
      <c r="R62" s="3"/>
      <c r="S62" s="3"/>
      <c r="T62" s="3"/>
    </row>
    <row r="63" spans="1:20" ht="18" customHeight="1" x14ac:dyDescent="0.35">
      <c r="A63" s="3"/>
      <c r="B63" s="2064"/>
      <c r="C63" s="230" t="s">
        <v>82</v>
      </c>
      <c r="D63" s="220">
        <f t="shared" si="4"/>
        <v>14.004112852664578</v>
      </c>
      <c r="E63" s="220">
        <f>'R-Definição'!M29</f>
        <v>0.50783699059561127</v>
      </c>
      <c r="F63" s="220">
        <f>'R-Definição'!N29</f>
        <v>4.5705329153605012</v>
      </c>
      <c r="G63" s="220">
        <f>'R-Definição'!O29</f>
        <v>3.4329780564263324</v>
      </c>
      <c r="H63" s="831"/>
      <c r="I63" s="830"/>
      <c r="J63" s="831">
        <f>'R-Definição'!O108</f>
        <v>5.4927648902821335</v>
      </c>
      <c r="K63" s="830"/>
      <c r="L63" s="3"/>
      <c r="M63" s="3"/>
      <c r="N63" s="3"/>
      <c r="O63" s="3"/>
      <c r="P63" s="3"/>
      <c r="Q63" s="3"/>
      <c r="R63" s="3"/>
      <c r="S63" s="3"/>
      <c r="T63" s="3"/>
    </row>
    <row r="64" spans="1:20" ht="18" customHeight="1" x14ac:dyDescent="0.35">
      <c r="A64" s="3"/>
      <c r="B64" s="2064"/>
      <c r="C64" s="708" t="s">
        <v>517</v>
      </c>
      <c r="D64" s="239">
        <f t="shared" si="4"/>
        <v>479.06836363636353</v>
      </c>
      <c r="E64" s="240">
        <f t="shared" ref="E64:G64" si="5">SUM(E58:E63)</f>
        <v>26.999999999999996</v>
      </c>
      <c r="F64" s="240">
        <f t="shared" si="5"/>
        <v>242.99999999999997</v>
      </c>
      <c r="G64" s="240">
        <f t="shared" si="5"/>
        <v>182.51999999999998</v>
      </c>
      <c r="H64" s="233"/>
      <c r="I64" s="474"/>
      <c r="J64" s="241">
        <f>SUM(J58:J63)</f>
        <v>26.548363636363632</v>
      </c>
      <c r="K64" s="474"/>
      <c r="L64" s="3"/>
      <c r="M64" s="3"/>
      <c r="N64" s="3"/>
      <c r="O64" s="3"/>
      <c r="P64" s="3"/>
      <c r="Q64" s="3"/>
      <c r="R64" s="3"/>
      <c r="S64" s="3"/>
      <c r="T64" s="3"/>
    </row>
    <row r="65" spans="1:20" ht="18" customHeight="1" x14ac:dyDescent="0.35">
      <c r="A65" s="3"/>
      <c r="B65" s="2064"/>
      <c r="C65" s="472" t="s">
        <v>19</v>
      </c>
      <c r="D65" s="220"/>
      <c r="E65" s="830"/>
      <c r="F65" s="830"/>
      <c r="G65" s="830"/>
      <c r="H65" s="831"/>
      <c r="I65" s="830"/>
      <c r="J65" s="830"/>
      <c r="K65" s="830"/>
      <c r="L65" s="3"/>
      <c r="M65" s="3"/>
      <c r="N65" s="3"/>
      <c r="O65" s="3"/>
      <c r="P65" s="3"/>
      <c r="Q65" s="3"/>
      <c r="R65" s="3"/>
      <c r="S65" s="3"/>
      <c r="T65" s="3"/>
    </row>
    <row r="66" spans="1:20" ht="18" customHeight="1" x14ac:dyDescent="0.35">
      <c r="A66" s="3"/>
      <c r="B66" s="2063" t="s">
        <v>226</v>
      </c>
      <c r="C66" s="230" t="s">
        <v>1030</v>
      </c>
      <c r="D66" s="220">
        <f t="shared" ref="D66:D68" si="6">SUM(E66:K66)</f>
        <v>0</v>
      </c>
      <c r="E66" s="830"/>
      <c r="F66" s="830"/>
      <c r="G66" s="830"/>
      <c r="H66" s="831"/>
      <c r="I66" s="831">
        <f>'R-Definição'!O67</f>
        <v>0</v>
      </c>
      <c r="J66" s="830"/>
      <c r="K66" s="830"/>
      <c r="L66" s="3"/>
      <c r="M66" s="3"/>
      <c r="N66" s="3"/>
      <c r="O66" s="3"/>
      <c r="P66" s="3"/>
      <c r="Q66" s="3"/>
      <c r="R66" s="3"/>
      <c r="S66" s="3"/>
      <c r="T66" s="3"/>
    </row>
    <row r="67" spans="1:20" ht="18" customHeight="1" x14ac:dyDescent="0.35">
      <c r="A67" s="3"/>
      <c r="B67" s="2064"/>
      <c r="C67" s="230" t="s">
        <v>1031</v>
      </c>
      <c r="D67" s="220">
        <f t="shared" si="6"/>
        <v>402.01259999999996</v>
      </c>
      <c r="E67" s="830"/>
      <c r="F67" s="830"/>
      <c r="G67" s="830"/>
      <c r="H67" s="831"/>
      <c r="I67" s="831">
        <f>IF('R-Definição'!I72&lt;&gt;"Cobertura de aterro sanitário",'R-Definição'!O68,0)</f>
        <v>402.01259999999996</v>
      </c>
      <c r="J67" s="830"/>
      <c r="K67" s="830"/>
      <c r="L67" s="3"/>
      <c r="M67" s="3"/>
      <c r="N67" s="3"/>
      <c r="O67" s="3"/>
      <c r="P67" s="3"/>
      <c r="Q67" s="3"/>
      <c r="R67" s="3"/>
      <c r="S67" s="3"/>
      <c r="T67" s="3"/>
    </row>
    <row r="68" spans="1:20" ht="18" customHeight="1" x14ac:dyDescent="0.35">
      <c r="A68" s="3"/>
      <c r="B68" s="2064"/>
      <c r="C68" s="230" t="s">
        <v>1032</v>
      </c>
      <c r="D68" s="220">
        <f t="shared" si="6"/>
        <v>0</v>
      </c>
      <c r="E68" s="220"/>
      <c r="F68" s="220"/>
      <c r="G68" s="220"/>
      <c r="H68" s="220"/>
      <c r="I68" s="220">
        <f>IF('R-Definição'!I72="Cobertura de aterro sanitário",'R-Definição'!O68,0)</f>
        <v>0</v>
      </c>
      <c r="J68" s="220"/>
      <c r="K68" s="220"/>
      <c r="L68" s="3"/>
      <c r="M68" s="3"/>
      <c r="N68" s="3"/>
      <c r="O68" s="3"/>
      <c r="P68" s="3"/>
      <c r="Q68" s="3"/>
      <c r="R68" s="3"/>
      <c r="S68" s="3"/>
      <c r="T68" s="3"/>
    </row>
    <row r="69" spans="1:20" ht="18" customHeight="1" x14ac:dyDescent="0.35">
      <c r="A69" s="3"/>
      <c r="B69" s="2064"/>
      <c r="C69" s="708" t="s">
        <v>555</v>
      </c>
      <c r="D69" s="239">
        <f>SUM(D66:D67)</f>
        <v>402.01259999999996</v>
      </c>
      <c r="E69" s="472"/>
      <c r="F69" s="472"/>
      <c r="G69" s="472"/>
      <c r="H69" s="233"/>
      <c r="I69" s="233">
        <f>SUM(I66:I68)</f>
        <v>402.01259999999996</v>
      </c>
      <c r="J69" s="474"/>
      <c r="K69" s="474"/>
      <c r="L69" s="3"/>
      <c r="M69" s="3"/>
      <c r="N69" s="3"/>
      <c r="O69" s="3"/>
      <c r="P69" s="3"/>
      <c r="Q69" s="3"/>
      <c r="R69" s="3"/>
      <c r="S69" s="3"/>
      <c r="T69" s="3"/>
    </row>
    <row r="70" spans="1:20" ht="18" customHeight="1" x14ac:dyDescent="0.35">
      <c r="A70" s="3"/>
      <c r="B70" s="2064"/>
      <c r="C70" s="472" t="s">
        <v>19</v>
      </c>
      <c r="D70" s="220"/>
      <c r="E70" s="830"/>
      <c r="F70" s="830"/>
      <c r="G70" s="830"/>
      <c r="H70" s="831"/>
      <c r="I70" s="830"/>
      <c r="J70" s="830"/>
      <c r="K70" s="830"/>
      <c r="L70" s="3"/>
      <c r="M70" s="3"/>
      <c r="N70" s="3"/>
      <c r="O70" s="3"/>
      <c r="P70" s="3"/>
      <c r="Q70" s="3"/>
      <c r="R70" s="3"/>
      <c r="S70" s="3"/>
      <c r="T70" s="3"/>
    </row>
    <row r="71" spans="1:20" ht="18" customHeight="1" x14ac:dyDescent="0.35">
      <c r="A71" s="3"/>
      <c r="B71" s="2064" t="s">
        <v>60</v>
      </c>
      <c r="C71" s="230" t="s">
        <v>227</v>
      </c>
      <c r="D71" s="220">
        <f t="shared" ref="D71:D72" si="7">SUM(E71:K71)</f>
        <v>0</v>
      </c>
      <c r="E71" s="830"/>
      <c r="F71" s="830"/>
      <c r="G71" s="830"/>
      <c r="H71" s="831">
        <f>'R-Definição'!O49</f>
        <v>0</v>
      </c>
      <c r="I71" s="830"/>
      <c r="J71" s="830"/>
      <c r="K71" s="830"/>
      <c r="L71" s="3"/>
      <c r="M71" s="3"/>
      <c r="N71" s="3"/>
      <c r="O71" s="3"/>
      <c r="P71" s="3"/>
      <c r="Q71" s="3"/>
      <c r="R71" s="3"/>
      <c r="S71" s="3"/>
      <c r="T71" s="3"/>
    </row>
    <row r="72" spans="1:20" ht="18" customHeight="1" x14ac:dyDescent="0.35">
      <c r="A72" s="3"/>
      <c r="B72" s="2064"/>
      <c r="C72" s="230" t="s">
        <v>228</v>
      </c>
      <c r="D72" s="220">
        <f t="shared" si="7"/>
        <v>137.69999999999999</v>
      </c>
      <c r="E72" s="830"/>
      <c r="F72" s="830"/>
      <c r="G72" s="830"/>
      <c r="H72" s="831">
        <f>'R-Definição'!O50</f>
        <v>137.69999999999999</v>
      </c>
      <c r="I72" s="830"/>
      <c r="J72" s="830"/>
      <c r="K72" s="830"/>
      <c r="L72" s="3"/>
      <c r="M72" s="3"/>
      <c r="N72" s="3"/>
      <c r="O72" s="3"/>
      <c r="P72" s="3"/>
      <c r="Q72" s="3"/>
      <c r="R72" s="3"/>
      <c r="S72" s="3"/>
      <c r="T72" s="3"/>
    </row>
    <row r="73" spans="1:20" ht="18" customHeight="1" x14ac:dyDescent="0.35">
      <c r="A73" s="3"/>
      <c r="B73" s="2064"/>
      <c r="C73" s="472" t="s">
        <v>556</v>
      </c>
      <c r="D73" s="239">
        <f>SUM(D71:D72)</f>
        <v>137.69999999999999</v>
      </c>
      <c r="E73" s="472"/>
      <c r="F73" s="472"/>
      <c r="G73" s="472"/>
      <c r="H73" s="233"/>
      <c r="I73" s="474"/>
      <c r="J73" s="474"/>
      <c r="K73" s="474"/>
      <c r="L73" s="3"/>
      <c r="M73" s="3"/>
      <c r="N73" s="3"/>
      <c r="O73" s="3"/>
      <c r="P73" s="3"/>
      <c r="Q73" s="3"/>
      <c r="R73" s="3"/>
      <c r="S73" s="3"/>
      <c r="T73" s="3"/>
    </row>
    <row r="74" spans="1:20" ht="18" customHeight="1" x14ac:dyDescent="0.35">
      <c r="A74" s="3"/>
      <c r="B74" s="230" t="s">
        <v>229</v>
      </c>
      <c r="C74" s="230" t="s">
        <v>230</v>
      </c>
      <c r="D74" s="826">
        <f t="shared" ref="D74:D76" si="8">SUM(E74:K74)</f>
        <v>269295.06920225313</v>
      </c>
      <c r="E74" s="826"/>
      <c r="F74" s="826"/>
      <c r="G74" s="826"/>
      <c r="H74" s="827"/>
      <c r="I74" s="826">
        <f>'R-Definição'!O69</f>
        <v>0</v>
      </c>
      <c r="J74" s="826">
        <f>'R-Definição'!O111</f>
        <v>269295.06920225313</v>
      </c>
      <c r="K74" s="826">
        <f>'R-Definição'!J127</f>
        <v>0</v>
      </c>
      <c r="L74" s="3"/>
      <c r="M74" s="3"/>
      <c r="N74" s="3"/>
      <c r="O74" s="3"/>
      <c r="P74" s="3"/>
      <c r="Q74" s="3"/>
      <c r="R74" s="3"/>
      <c r="S74" s="3"/>
      <c r="T74" s="3"/>
    </row>
    <row r="75" spans="1:20" ht="18" customHeight="1" x14ac:dyDescent="0.35">
      <c r="A75" s="3"/>
      <c r="B75" s="230" t="s">
        <v>231</v>
      </c>
      <c r="C75" s="230" t="s">
        <v>758</v>
      </c>
      <c r="D75" s="826">
        <f t="shared" si="8"/>
        <v>58609.931949635356</v>
      </c>
      <c r="E75" s="826"/>
      <c r="F75" s="826"/>
      <c r="G75" s="826"/>
      <c r="H75" s="827"/>
      <c r="I75" s="826">
        <f>'R-Definição'!O70</f>
        <v>50305.32</v>
      </c>
      <c r="J75" s="826"/>
      <c r="K75" s="826">
        <f>'R-Definição'!J128</f>
        <v>8304.6119496353604</v>
      </c>
      <c r="L75" s="3"/>
      <c r="M75" s="3"/>
      <c r="N75" s="3"/>
      <c r="O75" s="3"/>
      <c r="P75" s="3"/>
      <c r="Q75" s="3"/>
      <c r="R75" s="3"/>
      <c r="S75" s="3"/>
      <c r="T75" s="3"/>
    </row>
    <row r="76" spans="1:20" ht="18" customHeight="1" x14ac:dyDescent="0.35">
      <c r="A76" s="3"/>
      <c r="B76" s="230" t="s">
        <v>232</v>
      </c>
      <c r="C76" s="230" t="s">
        <v>19</v>
      </c>
      <c r="D76" s="828">
        <f t="shared" si="8"/>
        <v>0</v>
      </c>
      <c r="E76" s="829"/>
      <c r="F76" s="829"/>
      <c r="G76" s="829"/>
      <c r="H76" s="827"/>
      <c r="I76" s="829"/>
      <c r="J76" s="827">
        <f>'R-Definição'!O109</f>
        <v>0</v>
      </c>
      <c r="K76" s="829"/>
      <c r="L76" s="3"/>
      <c r="M76" s="3"/>
      <c r="N76" s="3"/>
      <c r="O76" s="3"/>
      <c r="P76" s="3"/>
      <c r="Q76" s="3"/>
      <c r="R76" s="3"/>
      <c r="S76" s="3"/>
      <c r="T76" s="3"/>
    </row>
    <row r="77" spans="1:20" ht="12.75" customHeight="1" x14ac:dyDescent="0.35">
      <c r="A77" s="3"/>
      <c r="B77" s="3"/>
      <c r="C77" s="3"/>
      <c r="D77" s="3"/>
      <c r="E77" s="3"/>
      <c r="F77" s="3"/>
      <c r="G77" s="3"/>
      <c r="H77" s="3"/>
      <c r="I77" s="3"/>
      <c r="J77" s="3"/>
      <c r="K77" s="3"/>
      <c r="L77" s="3"/>
      <c r="M77" s="3"/>
      <c r="N77" s="3"/>
      <c r="O77" s="3"/>
      <c r="P77" s="3"/>
      <c r="Q77" s="3"/>
      <c r="R77" s="3"/>
      <c r="S77" s="3"/>
      <c r="T77" s="3"/>
    </row>
    <row r="78" spans="1:20" ht="12.75" customHeight="1" x14ac:dyDescent="0.35">
      <c r="A78" s="3"/>
      <c r="B78" s="3"/>
      <c r="C78" s="3"/>
      <c r="D78" s="3"/>
      <c r="E78" s="3"/>
      <c r="F78" s="3"/>
      <c r="G78" s="3"/>
      <c r="H78" s="3"/>
      <c r="I78" s="3"/>
      <c r="J78" s="3"/>
      <c r="K78" s="3"/>
      <c r="L78" s="3"/>
      <c r="M78" s="3"/>
      <c r="N78" s="3"/>
      <c r="O78" s="3"/>
      <c r="P78" s="3"/>
      <c r="Q78" s="3"/>
      <c r="R78" s="3"/>
      <c r="S78" s="3"/>
      <c r="T78" s="3"/>
    </row>
    <row r="79" spans="1:20" ht="13.5" customHeight="1" x14ac:dyDescent="0.35">
      <c r="A79" s="3"/>
      <c r="B79" s="3"/>
      <c r="C79" s="3"/>
      <c r="D79" s="3"/>
      <c r="E79" s="3"/>
      <c r="F79" s="3"/>
      <c r="G79" s="3"/>
      <c r="H79" s="3"/>
      <c r="I79" s="3"/>
      <c r="J79" s="3"/>
      <c r="K79" s="3"/>
      <c r="L79" s="3"/>
      <c r="M79" s="3"/>
      <c r="N79" s="3"/>
      <c r="O79" s="3"/>
      <c r="P79" s="3"/>
      <c r="Q79" s="3"/>
      <c r="R79" s="3"/>
      <c r="S79" s="3"/>
      <c r="T79" s="3"/>
    </row>
    <row r="80" spans="1:20" ht="13.5" customHeight="1" x14ac:dyDescent="0.35">
      <c r="A80" s="3"/>
      <c r="B80" s="3"/>
      <c r="C80" s="3"/>
      <c r="D80" s="3"/>
      <c r="E80" s="3"/>
      <c r="F80" s="3"/>
      <c r="G80" s="3"/>
      <c r="H80" s="3"/>
      <c r="I80" s="3"/>
      <c r="J80" s="3"/>
      <c r="K80" s="3"/>
      <c r="L80" s="3"/>
      <c r="M80" s="3"/>
      <c r="N80" s="3"/>
      <c r="O80" s="3"/>
      <c r="P80" s="3"/>
      <c r="Q80" s="3"/>
      <c r="R80" s="3"/>
      <c r="S80" s="3"/>
      <c r="T80" s="3"/>
    </row>
    <row r="81" spans="1:20" ht="13.5" customHeight="1" x14ac:dyDescent="0.35">
      <c r="A81" s="3"/>
      <c r="B81" s="3"/>
      <c r="C81" s="3"/>
      <c r="D81" s="3"/>
      <c r="E81" s="3"/>
      <c r="F81" s="3"/>
      <c r="G81" s="3"/>
      <c r="H81" s="3"/>
      <c r="I81" s="3"/>
      <c r="J81" s="3"/>
      <c r="K81" s="3"/>
      <c r="L81" s="3"/>
      <c r="M81" s="3"/>
      <c r="N81" s="3"/>
      <c r="O81" s="3"/>
      <c r="P81" s="3"/>
      <c r="Q81" s="3"/>
      <c r="R81" s="3"/>
      <c r="S81" s="3"/>
      <c r="T81" s="3"/>
    </row>
    <row r="82" spans="1:20" ht="13.5" customHeight="1" x14ac:dyDescent="0.35">
      <c r="A82" s="3"/>
      <c r="B82" s="3"/>
      <c r="C82" s="3"/>
      <c r="D82" s="3"/>
      <c r="E82" s="3"/>
      <c r="F82" s="3"/>
      <c r="G82" s="3"/>
      <c r="H82" s="3"/>
      <c r="I82" s="3"/>
      <c r="J82" s="3"/>
      <c r="K82" s="3"/>
      <c r="L82" s="3"/>
      <c r="M82" s="3"/>
      <c r="N82" s="3"/>
      <c r="O82" s="3"/>
      <c r="P82" s="3"/>
      <c r="Q82" s="3"/>
      <c r="R82" s="3"/>
      <c r="S82" s="3"/>
      <c r="T82" s="3"/>
    </row>
    <row r="83" spans="1:20" ht="13.5" customHeight="1" x14ac:dyDescent="0.35">
      <c r="A83" s="3"/>
      <c r="B83" s="3"/>
      <c r="C83" s="3"/>
      <c r="D83" s="3"/>
      <c r="E83" s="3"/>
      <c r="F83" s="3"/>
      <c r="G83" s="3"/>
      <c r="H83" s="3"/>
      <c r="I83" s="3"/>
      <c r="J83" s="3"/>
      <c r="K83" s="3"/>
      <c r="L83" s="3"/>
      <c r="M83" s="3"/>
      <c r="N83" s="3"/>
      <c r="O83" s="3"/>
      <c r="P83" s="3"/>
      <c r="Q83" s="3"/>
      <c r="R83" s="3"/>
      <c r="S83" s="3"/>
      <c r="T83" s="3"/>
    </row>
    <row r="84" spans="1:20" ht="13.5" customHeight="1" x14ac:dyDescent="0.35">
      <c r="A84" s="3"/>
      <c r="B84" s="3"/>
      <c r="C84" s="3"/>
      <c r="D84" s="3"/>
      <c r="E84" s="3"/>
      <c r="F84" s="3"/>
      <c r="G84" s="3"/>
      <c r="H84" s="3"/>
      <c r="I84" s="3"/>
      <c r="J84" s="3"/>
      <c r="K84" s="3"/>
      <c r="L84" s="3"/>
      <c r="M84" s="3"/>
      <c r="N84" s="3"/>
      <c r="O84" s="3"/>
      <c r="P84" s="3"/>
      <c r="Q84" s="3"/>
      <c r="R84" s="3"/>
      <c r="S84" s="3"/>
      <c r="T84" s="3"/>
    </row>
    <row r="85" spans="1:20" ht="13.5" customHeight="1" x14ac:dyDescent="0.35">
      <c r="A85" s="3"/>
      <c r="B85" s="3"/>
      <c r="C85" s="3"/>
      <c r="D85" s="3"/>
      <c r="E85" s="3"/>
      <c r="F85" s="3"/>
      <c r="G85" s="3"/>
      <c r="H85" s="3"/>
      <c r="I85" s="3"/>
      <c r="J85" s="23"/>
      <c r="K85" s="23"/>
      <c r="L85" s="3"/>
      <c r="M85" s="3"/>
      <c r="N85" s="3"/>
      <c r="O85" s="3"/>
      <c r="P85" s="3"/>
      <c r="Q85" s="3"/>
      <c r="R85" s="3"/>
      <c r="S85" s="3"/>
      <c r="T85" s="3"/>
    </row>
    <row r="86" spans="1:20" ht="13.5" customHeight="1" x14ac:dyDescent="0.35">
      <c r="A86" s="3"/>
      <c r="B86" s="3"/>
      <c r="C86" s="3"/>
      <c r="D86" s="3"/>
      <c r="E86" s="3"/>
      <c r="F86" s="3"/>
      <c r="G86" s="3"/>
      <c r="H86" s="3"/>
      <c r="I86" s="3"/>
      <c r="J86" s="23"/>
      <c r="K86" s="23"/>
      <c r="L86" s="23"/>
      <c r="M86" s="3"/>
      <c r="N86" s="3"/>
      <c r="O86" s="3"/>
      <c r="P86" s="3"/>
      <c r="Q86" s="3"/>
      <c r="R86" s="3"/>
      <c r="S86" s="3"/>
      <c r="T86" s="3"/>
    </row>
    <row r="87" spans="1:20" ht="13.5" customHeight="1" x14ac:dyDescent="0.35">
      <c r="A87" s="3"/>
      <c r="B87" s="3"/>
      <c r="C87" s="3"/>
      <c r="D87" s="3"/>
      <c r="E87" s="3"/>
      <c r="F87" s="20"/>
      <c r="G87" s="3"/>
      <c r="H87" s="3"/>
      <c r="I87" s="3"/>
      <c r="J87" s="3"/>
      <c r="K87" s="3"/>
      <c r="L87" s="23"/>
      <c r="M87" s="3"/>
      <c r="N87" s="3"/>
      <c r="O87" s="3"/>
      <c r="P87" s="3"/>
      <c r="Q87" s="3"/>
      <c r="R87" s="3"/>
      <c r="S87" s="3"/>
      <c r="T87" s="3"/>
    </row>
    <row r="88" spans="1:20" ht="13.5" customHeight="1" x14ac:dyDescent="0.35">
      <c r="A88" s="3"/>
      <c r="B88" s="3"/>
      <c r="C88" s="3"/>
      <c r="D88" s="3"/>
      <c r="E88" s="3"/>
      <c r="F88" s="3"/>
      <c r="G88" s="3"/>
      <c r="H88" s="3"/>
      <c r="I88" s="3"/>
      <c r="J88" s="3"/>
      <c r="K88" s="3"/>
      <c r="L88" s="3"/>
      <c r="M88" s="3"/>
      <c r="N88" s="3"/>
      <c r="O88" s="3"/>
      <c r="P88" s="3"/>
      <c r="Q88" s="3"/>
      <c r="R88" s="3"/>
      <c r="S88" s="3"/>
      <c r="T88" s="3"/>
    </row>
    <row r="89" spans="1:20" ht="13.5" customHeight="1" x14ac:dyDescent="0.35">
      <c r="A89" s="3"/>
      <c r="B89" s="3"/>
      <c r="C89" s="3"/>
      <c r="D89" s="3"/>
      <c r="E89" s="3"/>
      <c r="F89" s="3"/>
      <c r="G89" s="3"/>
      <c r="H89" s="3"/>
      <c r="I89" s="3"/>
      <c r="J89" s="3"/>
      <c r="K89" s="3"/>
      <c r="L89" s="3"/>
      <c r="M89" s="3"/>
      <c r="N89" s="3"/>
      <c r="O89" s="3"/>
      <c r="P89" s="3"/>
      <c r="Q89" s="3"/>
      <c r="R89" s="3"/>
      <c r="S89" s="3"/>
      <c r="T89" s="3"/>
    </row>
    <row r="90" spans="1:20" ht="13.5" customHeight="1" x14ac:dyDescent="0.35">
      <c r="A90" s="3"/>
      <c r="B90" s="3"/>
      <c r="C90" s="3"/>
      <c r="D90" s="3"/>
      <c r="E90" s="3"/>
      <c r="F90" s="3"/>
      <c r="G90" s="3"/>
      <c r="H90" s="3"/>
      <c r="I90" s="3"/>
      <c r="J90" s="3"/>
      <c r="K90" s="3"/>
      <c r="L90" s="3"/>
      <c r="M90" s="3"/>
      <c r="N90" s="3"/>
      <c r="O90" s="3"/>
      <c r="P90" s="3"/>
      <c r="Q90" s="3"/>
      <c r="R90" s="3"/>
      <c r="S90" s="3"/>
      <c r="T90" s="3"/>
    </row>
    <row r="91" spans="1:20" ht="13.5" customHeight="1" x14ac:dyDescent="0.35">
      <c r="A91" s="3"/>
      <c r="B91" s="3"/>
      <c r="C91" s="3"/>
      <c r="D91" s="3"/>
      <c r="E91" s="3"/>
      <c r="F91" s="3"/>
      <c r="G91" s="3"/>
      <c r="H91" s="3"/>
      <c r="I91" s="3"/>
      <c r="J91" s="3"/>
      <c r="K91" s="3"/>
      <c r="L91" s="3"/>
      <c r="M91" s="3"/>
      <c r="N91" s="3"/>
      <c r="O91" s="3"/>
      <c r="P91" s="3"/>
      <c r="Q91" s="3"/>
      <c r="R91" s="3"/>
      <c r="S91" s="3"/>
      <c r="T91" s="3"/>
    </row>
    <row r="92" spans="1:20" ht="6" customHeight="1" x14ac:dyDescent="0.35">
      <c r="A92" s="3"/>
      <c r="B92" s="3"/>
      <c r="C92" s="3"/>
      <c r="D92" s="3"/>
      <c r="E92" s="3"/>
      <c r="F92" s="3"/>
      <c r="G92" s="3"/>
      <c r="H92" s="3"/>
      <c r="I92" s="3"/>
      <c r="J92" s="3"/>
      <c r="K92" s="3"/>
      <c r="L92" s="3"/>
      <c r="M92" s="3"/>
      <c r="N92" s="3"/>
      <c r="O92" s="3"/>
      <c r="P92" s="3"/>
      <c r="Q92" s="3"/>
      <c r="R92" s="3"/>
      <c r="S92" s="3"/>
      <c r="T92" s="3"/>
    </row>
    <row r="93" spans="1:20" ht="13.5" customHeight="1" x14ac:dyDescent="0.35">
      <c r="A93" s="3"/>
      <c r="B93" s="3"/>
      <c r="C93" s="3"/>
      <c r="D93" s="3"/>
      <c r="E93" s="3"/>
      <c r="F93" s="3"/>
      <c r="G93" s="3"/>
      <c r="H93" s="3"/>
      <c r="I93" s="3"/>
      <c r="J93" s="3"/>
      <c r="K93" s="3"/>
      <c r="L93" s="3"/>
      <c r="M93" s="3"/>
      <c r="N93" s="3"/>
      <c r="O93" s="3"/>
      <c r="P93" s="3"/>
      <c r="Q93" s="3"/>
      <c r="R93" s="3"/>
      <c r="S93" s="3"/>
      <c r="T93" s="3"/>
    </row>
    <row r="94" spans="1:20" ht="13.5" customHeight="1" x14ac:dyDescent="0.35">
      <c r="A94" s="3"/>
      <c r="B94" s="3"/>
      <c r="C94" s="3"/>
      <c r="D94" s="3"/>
      <c r="E94" s="3"/>
      <c r="F94" s="3"/>
      <c r="G94" s="3"/>
      <c r="H94" s="3"/>
      <c r="I94" s="3"/>
      <c r="J94" s="3"/>
      <c r="K94" s="3"/>
      <c r="L94" s="3"/>
      <c r="M94" s="3"/>
      <c r="N94" s="3"/>
      <c r="O94" s="3"/>
      <c r="P94" s="3"/>
      <c r="Q94" s="3"/>
      <c r="R94" s="3"/>
      <c r="S94" s="3"/>
      <c r="T94" s="3"/>
    </row>
    <row r="95" spans="1:20" ht="13.5" customHeight="1" x14ac:dyDescent="0.35">
      <c r="A95" s="3"/>
      <c r="B95" s="3"/>
      <c r="C95" s="3"/>
      <c r="D95" s="3"/>
      <c r="E95" s="3"/>
      <c r="F95" s="3"/>
      <c r="G95" s="3"/>
      <c r="H95" s="3"/>
      <c r="I95" s="3"/>
      <c r="J95" s="3"/>
      <c r="K95" s="3"/>
      <c r="L95" s="3"/>
      <c r="M95" s="3"/>
      <c r="N95" s="3"/>
      <c r="O95" s="3"/>
      <c r="P95" s="3"/>
      <c r="Q95" s="3"/>
      <c r="R95" s="3"/>
      <c r="S95" s="3"/>
      <c r="T95" s="3"/>
    </row>
    <row r="96" spans="1:20" ht="13.5" customHeight="1" x14ac:dyDescent="0.35">
      <c r="A96" s="3"/>
      <c r="B96" s="3"/>
      <c r="C96" s="3"/>
      <c r="D96" s="3"/>
      <c r="E96" s="3"/>
      <c r="F96" s="3"/>
      <c r="G96" s="3"/>
      <c r="H96" s="3"/>
      <c r="I96" s="3"/>
      <c r="J96" s="3"/>
      <c r="K96" s="3"/>
      <c r="L96" s="3"/>
      <c r="M96" s="3"/>
      <c r="N96" s="3"/>
      <c r="O96" s="3"/>
      <c r="P96" s="3"/>
      <c r="Q96" s="3"/>
      <c r="R96" s="3"/>
      <c r="S96" s="3"/>
      <c r="T96" s="3"/>
    </row>
    <row r="97" spans="1:20" ht="3.75" customHeight="1" x14ac:dyDescent="0.35">
      <c r="A97" s="3"/>
      <c r="B97" s="3"/>
      <c r="C97" s="3"/>
      <c r="D97" s="3"/>
      <c r="E97" s="3"/>
      <c r="F97" s="3"/>
      <c r="G97" s="3"/>
      <c r="H97" s="3"/>
      <c r="I97" s="3"/>
      <c r="J97" s="3"/>
      <c r="K97" s="3"/>
      <c r="L97" s="3"/>
      <c r="M97" s="3"/>
      <c r="N97" s="3"/>
      <c r="O97" s="3"/>
      <c r="P97" s="3"/>
      <c r="Q97" s="3"/>
      <c r="R97" s="3"/>
      <c r="S97" s="3"/>
      <c r="T97" s="3"/>
    </row>
    <row r="98" spans="1:20" ht="13.5" customHeight="1" x14ac:dyDescent="0.35">
      <c r="A98" s="3"/>
      <c r="B98" s="3"/>
      <c r="C98" s="3"/>
      <c r="D98" s="3"/>
      <c r="E98" s="3"/>
      <c r="F98" s="3"/>
      <c r="G98" s="3"/>
      <c r="H98" s="3"/>
      <c r="I98" s="3"/>
      <c r="J98" s="3"/>
      <c r="K98" s="3"/>
      <c r="L98" s="3"/>
      <c r="M98" s="3"/>
      <c r="N98" s="3"/>
      <c r="O98" s="3"/>
      <c r="P98" s="3"/>
      <c r="Q98" s="3"/>
      <c r="R98" s="3"/>
      <c r="S98" s="3"/>
      <c r="T98" s="3"/>
    </row>
    <row r="99" spans="1:20" ht="13.5" customHeight="1" x14ac:dyDescent="0.35">
      <c r="A99" s="3"/>
      <c r="B99" s="3"/>
      <c r="C99" s="3"/>
      <c r="D99" s="3"/>
      <c r="E99" s="3"/>
      <c r="F99" s="3"/>
      <c r="G99" s="3"/>
      <c r="H99" s="3"/>
      <c r="I99" s="3"/>
      <c r="J99" s="3"/>
      <c r="K99" s="3"/>
      <c r="L99" s="3"/>
      <c r="M99" s="3"/>
      <c r="N99" s="3"/>
      <c r="O99" s="3"/>
      <c r="P99" s="3"/>
      <c r="Q99" s="3"/>
      <c r="R99" s="3"/>
      <c r="S99" s="3"/>
      <c r="T99" s="3"/>
    </row>
    <row r="100" spans="1:20" ht="13.5" customHeight="1" x14ac:dyDescent="0.35">
      <c r="A100" s="3"/>
      <c r="B100" s="3"/>
      <c r="C100" s="3"/>
      <c r="D100" s="3"/>
      <c r="E100" s="3"/>
      <c r="F100" s="3"/>
      <c r="G100" s="3"/>
      <c r="H100" s="3"/>
      <c r="I100" s="3"/>
      <c r="J100" s="3"/>
      <c r="K100" s="3"/>
      <c r="L100" s="3"/>
      <c r="M100" s="3"/>
      <c r="N100" s="3"/>
      <c r="O100" s="3"/>
      <c r="P100" s="3"/>
      <c r="Q100" s="3"/>
      <c r="R100" s="3"/>
      <c r="S100" s="3"/>
      <c r="T100" s="3"/>
    </row>
    <row r="101" spans="1:20" ht="13.5" customHeight="1" x14ac:dyDescent="0.35">
      <c r="A101" s="3"/>
      <c r="B101" s="3"/>
      <c r="C101" s="3"/>
      <c r="D101" s="3"/>
      <c r="E101" s="3"/>
      <c r="F101" s="3"/>
      <c r="G101" s="3"/>
      <c r="H101" s="3"/>
      <c r="I101" s="3"/>
      <c r="J101" s="3"/>
      <c r="K101" s="3"/>
      <c r="L101" s="3"/>
      <c r="M101" s="3"/>
      <c r="N101" s="3"/>
      <c r="O101" s="3"/>
      <c r="P101" s="3"/>
      <c r="Q101" s="3"/>
      <c r="R101" s="3"/>
      <c r="S101" s="3"/>
      <c r="T101" s="3"/>
    </row>
    <row r="102" spans="1:20" ht="13.5" customHeight="1" x14ac:dyDescent="0.35">
      <c r="A102" s="3"/>
      <c r="B102" s="3"/>
      <c r="C102" s="3"/>
      <c r="D102" s="3"/>
      <c r="E102" s="3"/>
      <c r="F102" s="3"/>
      <c r="G102" s="3"/>
      <c r="H102" s="3"/>
      <c r="I102" s="3"/>
      <c r="J102" s="3"/>
      <c r="K102" s="3"/>
      <c r="L102" s="3"/>
      <c r="M102" s="3"/>
      <c r="N102" s="3"/>
      <c r="O102" s="3"/>
      <c r="P102" s="3"/>
      <c r="Q102" s="3"/>
      <c r="R102" s="3"/>
      <c r="S102" s="3"/>
      <c r="T102" s="3"/>
    </row>
    <row r="103" spans="1:20" ht="13.5" customHeight="1" x14ac:dyDescent="0.35">
      <c r="A103" s="3"/>
      <c r="B103" s="3"/>
      <c r="C103" s="3"/>
      <c r="D103" s="3"/>
      <c r="E103" s="3"/>
      <c r="F103" s="3"/>
      <c r="G103" s="3"/>
      <c r="H103" s="3"/>
      <c r="I103" s="3"/>
      <c r="J103" s="3"/>
      <c r="K103" s="3"/>
      <c r="L103" s="3"/>
      <c r="M103" s="3"/>
      <c r="N103" s="3"/>
      <c r="O103" s="3"/>
      <c r="P103" s="3"/>
      <c r="Q103" s="3"/>
      <c r="R103" s="3"/>
      <c r="S103" s="3"/>
      <c r="T103" s="3"/>
    </row>
    <row r="104" spans="1:20" ht="13.5" customHeight="1" x14ac:dyDescent="0.35">
      <c r="A104" s="3"/>
      <c r="B104" s="3"/>
      <c r="C104" s="3"/>
      <c r="D104" s="3"/>
      <c r="E104" s="3"/>
      <c r="F104" s="3"/>
      <c r="G104" s="3"/>
      <c r="H104" s="3"/>
      <c r="I104" s="3"/>
      <c r="J104" s="3"/>
      <c r="K104" s="3"/>
      <c r="L104" s="3"/>
      <c r="M104" s="3"/>
      <c r="N104" s="3"/>
      <c r="O104" s="3"/>
      <c r="P104" s="3"/>
      <c r="Q104" s="3"/>
      <c r="R104" s="3"/>
      <c r="S104" s="3"/>
      <c r="T104" s="3"/>
    </row>
    <row r="105" spans="1:20" ht="3" customHeight="1" x14ac:dyDescent="0.35">
      <c r="A105" s="3"/>
      <c r="B105" s="3"/>
      <c r="C105" s="3"/>
      <c r="D105" s="3"/>
      <c r="E105" s="3"/>
      <c r="F105" s="3"/>
      <c r="G105" s="3"/>
      <c r="H105" s="3"/>
      <c r="I105" s="3"/>
      <c r="J105" s="3"/>
      <c r="K105" s="3"/>
      <c r="L105" s="3"/>
      <c r="M105" s="3"/>
      <c r="N105" s="3"/>
      <c r="O105" s="3"/>
      <c r="P105" s="3"/>
      <c r="Q105" s="3"/>
      <c r="R105" s="3"/>
      <c r="S105" s="3"/>
      <c r="T105" s="3"/>
    </row>
    <row r="106" spans="1:20" ht="13.5" customHeight="1" x14ac:dyDescent="0.35">
      <c r="A106" s="3"/>
      <c r="B106" s="3"/>
      <c r="C106" s="3"/>
      <c r="D106" s="3"/>
      <c r="E106" s="3"/>
      <c r="F106" s="3"/>
      <c r="G106" s="3"/>
      <c r="H106" s="3"/>
      <c r="I106" s="3"/>
      <c r="J106" s="3"/>
      <c r="K106" s="3"/>
      <c r="L106" s="3"/>
      <c r="M106" s="3"/>
      <c r="N106" s="3"/>
      <c r="O106" s="3"/>
      <c r="P106" s="3"/>
      <c r="Q106" s="3"/>
      <c r="R106" s="3"/>
      <c r="S106" s="3"/>
      <c r="T106" s="3"/>
    </row>
    <row r="107" spans="1:20" ht="13.5" customHeight="1" x14ac:dyDescent="0.35">
      <c r="A107" s="3"/>
      <c r="B107" s="3"/>
      <c r="C107" s="3"/>
      <c r="D107" s="3"/>
      <c r="E107" s="3"/>
      <c r="F107" s="3"/>
      <c r="G107" s="3"/>
      <c r="H107" s="3"/>
      <c r="I107" s="3"/>
      <c r="J107" s="3"/>
      <c r="K107" s="3"/>
      <c r="L107" s="3"/>
      <c r="M107" s="3"/>
      <c r="N107" s="3"/>
      <c r="O107" s="3"/>
      <c r="P107" s="3"/>
      <c r="Q107" s="3"/>
      <c r="R107" s="3"/>
      <c r="S107" s="3"/>
      <c r="T107" s="3"/>
    </row>
    <row r="108" spans="1:20" ht="13.5" customHeight="1" x14ac:dyDescent="0.35">
      <c r="A108" s="3"/>
      <c r="B108" s="3"/>
      <c r="C108" s="3"/>
      <c r="D108" s="3"/>
      <c r="E108" s="3"/>
      <c r="F108" s="3"/>
      <c r="G108" s="3"/>
      <c r="H108" s="3"/>
      <c r="I108" s="3"/>
      <c r="J108" s="3"/>
      <c r="K108" s="3"/>
      <c r="L108" s="3"/>
      <c r="M108" s="3"/>
      <c r="N108" s="3"/>
      <c r="O108" s="3"/>
      <c r="P108" s="3"/>
      <c r="Q108" s="3"/>
      <c r="R108" s="3"/>
      <c r="S108" s="3"/>
      <c r="T108" s="3"/>
    </row>
    <row r="109" spans="1:20" ht="13.5" customHeight="1" x14ac:dyDescent="0.35">
      <c r="A109" s="3"/>
      <c r="B109" s="3"/>
      <c r="C109" s="3"/>
      <c r="D109" s="3"/>
      <c r="E109" s="3"/>
      <c r="F109" s="3"/>
      <c r="G109" s="3"/>
      <c r="H109" s="3"/>
      <c r="I109" s="3"/>
      <c r="J109" s="3"/>
      <c r="K109" s="3"/>
      <c r="L109" s="3"/>
      <c r="M109" s="3"/>
      <c r="N109" s="3"/>
      <c r="O109" s="3"/>
      <c r="P109" s="3"/>
      <c r="Q109" s="3"/>
      <c r="R109" s="3"/>
      <c r="S109" s="3"/>
      <c r="T109" s="3"/>
    </row>
    <row r="110" spans="1:20" ht="12.75" customHeight="1" x14ac:dyDescent="0.35">
      <c r="A110" s="3"/>
      <c r="B110" s="3"/>
      <c r="C110" s="3"/>
      <c r="D110" s="3"/>
      <c r="E110" s="3"/>
      <c r="F110" s="3"/>
      <c r="G110" s="3"/>
      <c r="H110" s="3"/>
      <c r="I110" s="3"/>
      <c r="J110" s="3"/>
      <c r="K110" s="3"/>
      <c r="L110" s="3"/>
      <c r="M110" s="3"/>
      <c r="N110" s="3"/>
      <c r="O110" s="3"/>
      <c r="P110" s="3"/>
      <c r="Q110" s="3"/>
      <c r="R110" s="3"/>
      <c r="S110" s="3"/>
      <c r="T110" s="3"/>
    </row>
    <row r="111" spans="1:20" ht="12.75" customHeight="1" x14ac:dyDescent="0.35">
      <c r="A111" s="3"/>
      <c r="B111" s="3"/>
      <c r="C111" s="3"/>
      <c r="D111" s="3"/>
      <c r="E111" s="3"/>
      <c r="F111" s="3"/>
      <c r="G111" s="3"/>
      <c r="H111" s="3"/>
      <c r="I111" s="3"/>
      <c r="J111" s="3"/>
      <c r="K111" s="3"/>
      <c r="L111" s="3"/>
      <c r="M111" s="3"/>
      <c r="N111" s="3"/>
      <c r="O111" s="3"/>
      <c r="P111" s="3"/>
      <c r="Q111" s="3"/>
      <c r="R111" s="3"/>
      <c r="S111" s="3"/>
      <c r="T111" s="3"/>
    </row>
    <row r="112" spans="1:20" ht="13.5" customHeight="1" x14ac:dyDescent="0.35">
      <c r="A112" s="3"/>
      <c r="B112" s="3"/>
      <c r="C112" s="3"/>
      <c r="D112" s="3"/>
      <c r="E112" s="3"/>
      <c r="F112" s="3"/>
      <c r="G112" s="3"/>
      <c r="H112" s="3"/>
      <c r="I112" s="3"/>
      <c r="J112" s="3"/>
      <c r="K112" s="3"/>
      <c r="L112" s="3"/>
      <c r="M112" s="3"/>
      <c r="N112" s="3"/>
      <c r="O112" s="3"/>
      <c r="P112" s="3"/>
      <c r="Q112" s="3"/>
      <c r="R112" s="3"/>
      <c r="S112" s="3"/>
      <c r="T112" s="3"/>
    </row>
    <row r="113" spans="1:20" ht="12.75" customHeight="1" x14ac:dyDescent="0.35">
      <c r="A113" s="3"/>
      <c r="B113" s="3"/>
      <c r="C113" s="3"/>
      <c r="D113" s="3"/>
      <c r="E113" s="3"/>
      <c r="F113" s="3"/>
      <c r="G113" s="3"/>
      <c r="H113" s="3"/>
      <c r="I113" s="3"/>
      <c r="J113" s="3"/>
      <c r="K113" s="3"/>
      <c r="L113" s="3"/>
      <c r="M113" s="3"/>
      <c r="N113" s="3"/>
      <c r="O113" s="3"/>
      <c r="P113" s="3"/>
      <c r="Q113" s="3"/>
      <c r="R113" s="3"/>
      <c r="S113" s="3"/>
      <c r="T113" s="3"/>
    </row>
    <row r="114" spans="1:20" ht="12.75" customHeight="1" x14ac:dyDescent="0.35">
      <c r="A114" s="3"/>
      <c r="B114" s="3"/>
      <c r="C114" s="3"/>
      <c r="D114" s="3"/>
      <c r="E114" s="3"/>
      <c r="F114" s="3"/>
      <c r="G114" s="3"/>
      <c r="H114" s="3"/>
      <c r="I114" s="3"/>
      <c r="J114" s="3"/>
      <c r="K114" s="3"/>
      <c r="L114" s="3"/>
      <c r="M114" s="3"/>
      <c r="N114" s="3"/>
      <c r="O114" s="3"/>
      <c r="P114" s="3"/>
      <c r="Q114" s="3"/>
      <c r="R114" s="3"/>
      <c r="S114" s="3"/>
      <c r="T114" s="3"/>
    </row>
    <row r="115" spans="1:20" ht="12.75" customHeight="1" x14ac:dyDescent="0.35">
      <c r="A115" s="3"/>
      <c r="B115" s="3"/>
      <c r="C115" s="3"/>
      <c r="D115" s="3"/>
      <c r="E115" s="3"/>
      <c r="F115" s="3"/>
      <c r="G115" s="3"/>
      <c r="H115" s="3"/>
      <c r="I115" s="3"/>
      <c r="J115" s="3"/>
      <c r="K115" s="3"/>
      <c r="L115" s="3"/>
      <c r="M115" s="3"/>
      <c r="N115" s="3"/>
      <c r="O115" s="3"/>
      <c r="P115" s="3"/>
      <c r="Q115" s="3"/>
      <c r="R115" s="3"/>
      <c r="S115" s="3"/>
      <c r="T115" s="3"/>
    </row>
    <row r="116" spans="1:20" ht="12.75" customHeight="1" x14ac:dyDescent="0.35">
      <c r="A116" s="3"/>
      <c r="B116" s="3"/>
      <c r="C116" s="3"/>
      <c r="D116" s="3"/>
      <c r="E116" s="3"/>
      <c r="F116" s="3"/>
      <c r="G116" s="3"/>
      <c r="H116" s="3"/>
      <c r="I116" s="3"/>
      <c r="J116" s="3"/>
      <c r="K116" s="3"/>
      <c r="L116" s="3"/>
      <c r="M116" s="3"/>
      <c r="N116" s="3"/>
      <c r="O116" s="3"/>
      <c r="P116" s="3"/>
      <c r="Q116" s="3"/>
      <c r="R116" s="3"/>
      <c r="S116" s="3"/>
      <c r="T116" s="3"/>
    </row>
    <row r="117" spans="1:20" ht="12.75" customHeight="1" x14ac:dyDescent="0.35">
      <c r="A117" s="3"/>
      <c r="B117" s="3"/>
      <c r="C117" s="3"/>
      <c r="D117" s="3"/>
      <c r="E117" s="3"/>
      <c r="F117" s="3"/>
      <c r="G117" s="3"/>
      <c r="H117" s="3"/>
      <c r="I117" s="3"/>
      <c r="J117" s="3"/>
      <c r="K117" s="3"/>
      <c r="L117" s="3"/>
      <c r="M117" s="3"/>
      <c r="N117" s="3"/>
      <c r="O117" s="3"/>
      <c r="P117" s="3"/>
      <c r="Q117" s="3"/>
      <c r="R117" s="3"/>
      <c r="S117" s="3"/>
      <c r="T117" s="3"/>
    </row>
    <row r="118" spans="1:20" ht="12.75" customHeight="1" x14ac:dyDescent="0.35">
      <c r="A118" s="3"/>
      <c r="B118" s="3"/>
      <c r="C118" s="3"/>
      <c r="D118" s="3"/>
      <c r="E118" s="3"/>
      <c r="F118" s="3"/>
      <c r="G118" s="3"/>
      <c r="H118" s="3"/>
      <c r="I118" s="3"/>
      <c r="J118" s="3"/>
      <c r="K118" s="3"/>
      <c r="L118" s="3"/>
      <c r="M118" s="3"/>
      <c r="N118" s="3"/>
      <c r="O118" s="3"/>
      <c r="P118" s="3"/>
      <c r="Q118" s="3"/>
      <c r="R118" s="3"/>
      <c r="S118" s="3"/>
      <c r="T118" s="3"/>
    </row>
    <row r="119" spans="1:20" ht="12.75" customHeight="1" x14ac:dyDescent="0.35">
      <c r="A119" s="3"/>
      <c r="B119" s="3"/>
      <c r="C119" s="3"/>
      <c r="D119" s="3"/>
      <c r="E119" s="3"/>
      <c r="F119" s="3"/>
      <c r="G119" s="3"/>
      <c r="H119" s="3"/>
      <c r="I119" s="3"/>
      <c r="J119" s="3"/>
      <c r="K119" s="3"/>
      <c r="L119" s="3"/>
      <c r="M119" s="3"/>
      <c r="N119" s="3"/>
      <c r="O119" s="3"/>
      <c r="P119" s="3"/>
      <c r="Q119" s="3"/>
      <c r="R119" s="3"/>
      <c r="S119" s="3"/>
      <c r="T119" s="3"/>
    </row>
    <row r="120" spans="1:20" ht="14.25" customHeight="1" x14ac:dyDescent="0.35">
      <c r="A120" s="3"/>
      <c r="B120" s="3"/>
      <c r="C120" s="3"/>
      <c r="D120" s="3"/>
      <c r="E120" s="3"/>
      <c r="F120" s="3"/>
      <c r="G120" s="3"/>
      <c r="H120" s="3"/>
      <c r="I120" s="3"/>
      <c r="J120" s="3"/>
      <c r="K120" s="3"/>
      <c r="L120" s="3"/>
      <c r="M120" s="3"/>
      <c r="N120" s="3"/>
      <c r="O120" s="3"/>
      <c r="P120" s="3"/>
      <c r="Q120" s="3"/>
      <c r="R120" s="3"/>
      <c r="S120" s="3"/>
      <c r="T120" s="3"/>
    </row>
    <row r="121" spans="1:20" ht="14.25" customHeight="1" x14ac:dyDescent="0.35">
      <c r="A121" s="3"/>
      <c r="B121" s="3"/>
      <c r="C121" s="3"/>
      <c r="D121" s="3"/>
      <c r="E121" s="3"/>
      <c r="F121" s="3"/>
      <c r="G121" s="3"/>
      <c r="H121" s="3"/>
      <c r="I121" s="3"/>
      <c r="J121" s="3"/>
      <c r="K121" s="3"/>
      <c r="L121" s="3"/>
      <c r="M121" s="3"/>
      <c r="N121" s="3"/>
      <c r="O121" s="3"/>
      <c r="P121" s="3"/>
      <c r="Q121" s="3"/>
      <c r="R121" s="3"/>
      <c r="S121" s="3"/>
      <c r="T121" s="3"/>
    </row>
    <row r="122" spans="1:20" ht="12.75" customHeight="1" x14ac:dyDescent="0.35">
      <c r="A122" s="3"/>
      <c r="B122" s="3"/>
      <c r="C122" s="3"/>
      <c r="D122" s="3"/>
      <c r="E122" s="3"/>
      <c r="F122" s="3"/>
      <c r="G122" s="3"/>
      <c r="H122" s="3"/>
      <c r="I122" s="3"/>
      <c r="J122" s="3"/>
      <c r="K122" s="3"/>
      <c r="L122" s="3"/>
      <c r="M122" s="3"/>
      <c r="N122" s="3"/>
      <c r="O122" s="3"/>
      <c r="P122" s="3"/>
      <c r="Q122" s="3"/>
      <c r="R122" s="3"/>
      <c r="S122" s="3"/>
      <c r="T122" s="3"/>
    </row>
    <row r="123" spans="1:20" ht="12.75" customHeight="1" x14ac:dyDescent="0.35">
      <c r="A123" s="3"/>
      <c r="B123" s="3"/>
      <c r="C123" s="3"/>
      <c r="D123" s="3"/>
      <c r="E123" s="3"/>
      <c r="F123" s="3"/>
      <c r="G123" s="3"/>
      <c r="H123" s="3"/>
      <c r="I123" s="3"/>
      <c r="J123" s="3"/>
      <c r="K123" s="3"/>
      <c r="L123" s="3"/>
      <c r="M123" s="3"/>
      <c r="N123" s="3"/>
      <c r="O123" s="3"/>
      <c r="P123" s="3"/>
      <c r="Q123" s="3"/>
      <c r="R123" s="3"/>
      <c r="S123" s="3"/>
      <c r="T123" s="3"/>
    </row>
    <row r="124" spans="1:20" ht="12.75" customHeight="1" x14ac:dyDescent="0.35">
      <c r="A124" s="3"/>
      <c r="B124" s="3"/>
      <c r="C124" s="3"/>
      <c r="D124" s="3"/>
      <c r="E124" s="3"/>
      <c r="F124" s="3"/>
      <c r="G124" s="3"/>
      <c r="H124" s="3"/>
      <c r="I124" s="3"/>
      <c r="J124" s="3"/>
      <c r="K124" s="3"/>
      <c r="L124" s="3"/>
      <c r="M124" s="3"/>
      <c r="N124" s="3"/>
      <c r="O124" s="3"/>
      <c r="P124" s="3"/>
      <c r="Q124" s="3"/>
      <c r="R124" s="3"/>
      <c r="S124" s="3"/>
      <c r="T124" s="3"/>
    </row>
    <row r="125" spans="1:20" ht="12.75" customHeight="1" x14ac:dyDescent="0.35">
      <c r="A125" s="3"/>
      <c r="B125" s="3"/>
      <c r="C125" s="3"/>
      <c r="D125" s="3"/>
      <c r="E125" s="3"/>
      <c r="F125" s="3"/>
      <c r="G125" s="3"/>
      <c r="H125" s="3"/>
      <c r="I125" s="3"/>
      <c r="J125" s="3"/>
      <c r="K125" s="3"/>
      <c r="L125" s="3"/>
      <c r="M125" s="3"/>
      <c r="N125" s="3"/>
      <c r="O125" s="3"/>
      <c r="P125" s="3"/>
      <c r="Q125" s="3"/>
      <c r="R125" s="3"/>
      <c r="S125" s="3"/>
      <c r="T125" s="3"/>
    </row>
    <row r="126" spans="1:20" ht="23.25" customHeight="1" x14ac:dyDescent="0.35">
      <c r="A126" s="3"/>
      <c r="B126" s="3"/>
      <c r="C126" s="3"/>
      <c r="D126" s="3"/>
      <c r="E126" s="3"/>
      <c r="F126" s="3"/>
      <c r="G126" s="3"/>
      <c r="H126" s="3"/>
      <c r="I126" s="3"/>
      <c r="J126" s="3"/>
      <c r="K126" s="3"/>
      <c r="L126" s="3"/>
      <c r="M126" s="3"/>
      <c r="N126" s="3"/>
      <c r="O126" s="3"/>
      <c r="P126" s="3"/>
      <c r="Q126" s="3"/>
      <c r="R126" s="3"/>
      <c r="S126" s="3"/>
      <c r="T126" s="3"/>
    </row>
    <row r="127" spans="1:20" ht="12.75" customHeight="1" x14ac:dyDescent="0.35">
      <c r="A127" s="3"/>
      <c r="B127" s="3"/>
      <c r="C127" s="3"/>
      <c r="D127" s="3"/>
      <c r="E127" s="3"/>
      <c r="F127" s="3"/>
      <c r="G127" s="3"/>
      <c r="H127" s="3"/>
      <c r="I127" s="3"/>
      <c r="J127" s="3"/>
      <c r="K127" s="3"/>
      <c r="L127" s="3"/>
      <c r="M127" s="3"/>
      <c r="N127" s="3"/>
      <c r="O127" s="3"/>
      <c r="P127" s="3"/>
      <c r="Q127" s="3"/>
      <c r="R127" s="3"/>
      <c r="S127" s="3"/>
      <c r="T127" s="3"/>
    </row>
    <row r="128" spans="1:20" ht="12.75" customHeight="1" x14ac:dyDescent="0.35">
      <c r="A128" s="3"/>
      <c r="B128" s="3"/>
      <c r="C128" s="3"/>
      <c r="D128" s="3"/>
      <c r="E128" s="3"/>
      <c r="F128" s="3"/>
      <c r="G128" s="3"/>
      <c r="H128" s="3"/>
      <c r="I128" s="3"/>
      <c r="J128" s="3"/>
      <c r="K128" s="3"/>
      <c r="L128" s="3"/>
      <c r="M128" s="3"/>
      <c r="N128" s="3"/>
      <c r="O128" s="3"/>
      <c r="P128" s="3"/>
      <c r="Q128" s="3"/>
      <c r="R128" s="3"/>
      <c r="S128" s="3"/>
      <c r="T128" s="3"/>
    </row>
    <row r="129" spans="1:20" ht="12.75" customHeight="1" x14ac:dyDescent="0.35">
      <c r="A129" s="3"/>
      <c r="B129" s="3"/>
      <c r="C129" s="3"/>
      <c r="D129" s="3"/>
      <c r="E129" s="3"/>
      <c r="F129" s="3"/>
      <c r="G129" s="3"/>
      <c r="H129" s="3"/>
      <c r="I129" s="3"/>
      <c r="J129" s="3"/>
      <c r="K129" s="3"/>
      <c r="L129" s="3"/>
      <c r="M129" s="3"/>
      <c r="N129" s="3"/>
      <c r="O129" s="3"/>
      <c r="P129" s="3"/>
      <c r="Q129" s="3"/>
      <c r="R129" s="3"/>
      <c r="S129" s="3"/>
      <c r="T129" s="3"/>
    </row>
    <row r="130" spans="1:20" ht="12.75" customHeight="1" x14ac:dyDescent="0.35">
      <c r="A130" s="3"/>
      <c r="B130" s="3"/>
      <c r="C130" s="3"/>
      <c r="D130" s="9" t="str">
        <f t="shared" ref="D130:G130" si="9">IF(AND(SUM(D111:D117)&lt;&gt;100)*(SUM(D111:D117)&lt;&gt;0)," Atenção: O total deve fechar 100%"," ")</f>
        <v xml:space="preserve"> </v>
      </c>
      <c r="E130" s="9" t="str">
        <f t="shared" si="9"/>
        <v xml:space="preserve"> </v>
      </c>
      <c r="F130" s="9" t="str">
        <f t="shared" si="9"/>
        <v xml:space="preserve"> </v>
      </c>
      <c r="G130" s="9" t="str">
        <f t="shared" si="9"/>
        <v xml:space="preserve"> </v>
      </c>
      <c r="H130" s="3"/>
      <c r="I130" s="3"/>
      <c r="J130" s="3"/>
      <c r="K130" s="3"/>
      <c r="L130" s="3"/>
      <c r="M130" s="3"/>
      <c r="N130" s="3"/>
      <c r="O130" s="3"/>
      <c r="P130" s="3"/>
      <c r="Q130" s="3"/>
      <c r="R130" s="3"/>
      <c r="S130" s="3"/>
      <c r="T130" s="3"/>
    </row>
    <row r="131" spans="1:20" ht="12.75" customHeight="1" x14ac:dyDescent="0.35">
      <c r="A131" s="3"/>
      <c r="B131" s="3"/>
      <c r="C131" s="3"/>
      <c r="D131" s="3"/>
      <c r="E131" s="3"/>
      <c r="F131" s="3"/>
      <c r="G131" s="3"/>
      <c r="H131" s="3"/>
      <c r="I131" s="3"/>
      <c r="J131" s="3"/>
      <c r="K131" s="3"/>
      <c r="L131" s="3"/>
      <c r="M131" s="3"/>
      <c r="N131" s="3"/>
      <c r="O131" s="3"/>
      <c r="P131" s="3"/>
      <c r="Q131" s="3"/>
      <c r="R131" s="3"/>
      <c r="S131" s="3"/>
      <c r="T131" s="3"/>
    </row>
    <row r="132" spans="1:20" ht="12.75" customHeight="1" x14ac:dyDescent="0.35">
      <c r="A132" s="3"/>
      <c r="B132" s="3"/>
      <c r="C132" s="3"/>
      <c r="D132" s="3"/>
      <c r="E132" s="3"/>
      <c r="F132" s="3"/>
      <c r="G132" s="3"/>
      <c r="H132" s="3"/>
      <c r="I132" s="3"/>
      <c r="J132" s="3"/>
      <c r="K132" s="3"/>
      <c r="L132" s="3"/>
      <c r="M132" s="3"/>
      <c r="N132" s="3"/>
      <c r="O132" s="3"/>
      <c r="P132" s="3"/>
      <c r="Q132" s="3"/>
      <c r="R132" s="3"/>
      <c r="S132" s="3"/>
      <c r="T132" s="3"/>
    </row>
    <row r="133" spans="1:20" ht="12.75" customHeight="1" x14ac:dyDescent="0.35">
      <c r="A133" s="3"/>
      <c r="B133" s="3"/>
      <c r="C133" s="3"/>
      <c r="D133" s="3"/>
      <c r="E133" s="3"/>
      <c r="F133" s="3"/>
      <c r="G133" s="3"/>
      <c r="H133" s="3"/>
      <c r="I133" s="3"/>
      <c r="J133" s="3"/>
      <c r="K133" s="3"/>
      <c r="L133" s="3"/>
      <c r="M133" s="3"/>
      <c r="N133" s="3"/>
      <c r="O133" s="3"/>
      <c r="P133" s="3"/>
      <c r="Q133" s="3"/>
      <c r="R133" s="3"/>
      <c r="S133" s="3"/>
      <c r="T133" s="3"/>
    </row>
    <row r="134" spans="1:20" ht="12.75" customHeight="1" x14ac:dyDescent="0.35">
      <c r="A134" s="3"/>
      <c r="B134" s="3"/>
      <c r="C134" s="3"/>
      <c r="D134" s="3"/>
      <c r="E134" s="3"/>
      <c r="F134" s="3"/>
      <c r="G134" s="3"/>
      <c r="H134" s="3"/>
      <c r="I134" s="3"/>
      <c r="J134" s="3"/>
      <c r="K134" s="3"/>
      <c r="L134" s="3"/>
      <c r="M134" s="3"/>
      <c r="N134" s="3"/>
      <c r="O134" s="3"/>
      <c r="P134" s="3"/>
      <c r="Q134" s="3"/>
      <c r="R134" s="3"/>
      <c r="S134" s="3"/>
      <c r="T134" s="3"/>
    </row>
    <row r="135" spans="1:20" ht="12.75" customHeight="1" x14ac:dyDescent="0.35">
      <c r="A135" s="3"/>
      <c r="B135" s="3"/>
      <c r="C135" s="3"/>
      <c r="D135" s="3"/>
      <c r="E135" s="3"/>
      <c r="F135" s="3"/>
      <c r="G135" s="3"/>
      <c r="H135" s="3"/>
      <c r="I135" s="3"/>
      <c r="J135" s="3"/>
      <c r="K135" s="3"/>
      <c r="L135" s="3"/>
      <c r="M135" s="3"/>
      <c r="N135" s="3"/>
      <c r="O135" s="3"/>
      <c r="P135" s="3"/>
      <c r="Q135" s="3"/>
      <c r="R135" s="3"/>
      <c r="S135" s="3"/>
      <c r="T135" s="3"/>
    </row>
    <row r="136" spans="1:20" ht="12.75" customHeight="1" x14ac:dyDescent="0.35">
      <c r="A136" s="3"/>
      <c r="B136" s="3"/>
      <c r="C136" s="3"/>
      <c r="D136" s="3"/>
      <c r="E136" s="3"/>
      <c r="F136" s="3"/>
      <c r="G136" s="3"/>
      <c r="H136" s="3"/>
      <c r="I136" s="3"/>
      <c r="J136" s="3"/>
      <c r="K136" s="3"/>
      <c r="L136" s="3"/>
      <c r="M136" s="3"/>
      <c r="N136" s="3"/>
      <c r="O136" s="3"/>
      <c r="P136" s="3"/>
      <c r="Q136" s="3"/>
      <c r="R136" s="3"/>
      <c r="S136" s="3"/>
      <c r="T136" s="3"/>
    </row>
    <row r="137" spans="1:20" ht="12.75" customHeight="1" x14ac:dyDescent="0.35">
      <c r="A137" s="3"/>
      <c r="B137" s="3"/>
      <c r="C137" s="3"/>
      <c r="D137" s="3"/>
      <c r="E137" s="3"/>
      <c r="F137" s="3"/>
      <c r="G137" s="3"/>
      <c r="H137" s="3"/>
      <c r="I137" s="3"/>
      <c r="J137" s="3"/>
      <c r="K137" s="3"/>
      <c r="L137" s="3"/>
      <c r="M137" s="3"/>
      <c r="N137" s="3"/>
      <c r="O137" s="3"/>
      <c r="P137" s="3"/>
      <c r="Q137" s="3"/>
      <c r="R137" s="3"/>
      <c r="S137" s="3"/>
      <c r="T137" s="3"/>
    </row>
    <row r="138" spans="1:20" ht="12.75" customHeight="1" x14ac:dyDescent="0.35">
      <c r="A138" s="3"/>
      <c r="B138" s="3"/>
      <c r="C138" s="3"/>
      <c r="D138" s="3"/>
      <c r="E138" s="3"/>
      <c r="F138" s="3"/>
      <c r="G138" s="3"/>
      <c r="H138" s="3"/>
      <c r="I138" s="3"/>
      <c r="J138" s="3"/>
      <c r="K138" s="3"/>
      <c r="L138" s="3"/>
      <c r="M138" s="3"/>
      <c r="N138" s="3"/>
      <c r="O138" s="3"/>
      <c r="P138" s="3"/>
      <c r="Q138" s="3"/>
      <c r="R138" s="3"/>
      <c r="S138" s="3"/>
      <c r="T138" s="3"/>
    </row>
    <row r="139" spans="1:20" ht="14.25" customHeight="1" x14ac:dyDescent="0.35">
      <c r="A139" s="3"/>
      <c r="B139" s="3"/>
      <c r="C139" s="3"/>
      <c r="D139" s="3"/>
      <c r="E139" s="3"/>
      <c r="F139" s="3"/>
      <c r="G139" s="3"/>
      <c r="H139" s="3"/>
      <c r="I139" s="3"/>
      <c r="J139" s="3"/>
      <c r="K139" s="3"/>
      <c r="L139" s="3"/>
      <c r="M139" s="3"/>
      <c r="N139" s="3"/>
      <c r="O139" s="3"/>
      <c r="P139" s="3"/>
      <c r="Q139" s="3"/>
      <c r="R139" s="3"/>
      <c r="S139" s="3"/>
      <c r="T139" s="3"/>
    </row>
    <row r="140" spans="1:20" ht="12.75" customHeight="1" x14ac:dyDescent="0.35">
      <c r="A140" s="3"/>
      <c r="B140" s="3"/>
      <c r="C140" s="3"/>
      <c r="D140" s="3"/>
      <c r="E140" s="3"/>
      <c r="F140" s="3"/>
      <c r="G140" s="3"/>
      <c r="H140" s="3"/>
      <c r="I140" s="3"/>
      <c r="J140" s="3"/>
      <c r="K140" s="3"/>
      <c r="L140" s="3"/>
      <c r="M140" s="3"/>
      <c r="N140" s="3"/>
      <c r="O140" s="3"/>
      <c r="P140" s="3"/>
      <c r="Q140" s="3"/>
      <c r="R140" s="3"/>
      <c r="S140" s="3"/>
      <c r="T140" s="3"/>
    </row>
    <row r="141" spans="1:20" ht="12.75" customHeight="1" x14ac:dyDescent="0.35">
      <c r="A141" s="3"/>
      <c r="B141" s="3"/>
      <c r="C141" s="3"/>
      <c r="D141" s="3"/>
      <c r="E141" s="3"/>
      <c r="F141" s="3"/>
      <c r="G141" s="3"/>
      <c r="H141" s="3"/>
      <c r="I141" s="3"/>
      <c r="J141" s="3"/>
      <c r="K141" s="3"/>
      <c r="L141" s="3"/>
      <c r="M141" s="3"/>
      <c r="N141" s="3"/>
      <c r="O141" s="3"/>
      <c r="P141" s="3"/>
      <c r="Q141" s="3"/>
      <c r="R141" s="3"/>
      <c r="S141" s="3"/>
      <c r="T141" s="3"/>
    </row>
    <row r="142" spans="1:20" ht="12.75" customHeight="1" x14ac:dyDescent="0.35">
      <c r="A142" s="3"/>
      <c r="B142" s="3"/>
      <c r="C142" s="3"/>
      <c r="D142" s="3"/>
      <c r="E142" s="3"/>
      <c r="F142" s="3"/>
      <c r="G142" s="3"/>
      <c r="H142" s="3"/>
      <c r="I142" s="3"/>
      <c r="J142" s="3"/>
      <c r="K142" s="3"/>
      <c r="L142" s="3"/>
      <c r="M142" s="3"/>
      <c r="N142" s="3"/>
      <c r="O142" s="3"/>
      <c r="P142" s="3"/>
      <c r="Q142" s="3"/>
      <c r="R142" s="3"/>
      <c r="S142" s="3"/>
      <c r="T142" s="3"/>
    </row>
    <row r="143" spans="1:20" ht="12.75" customHeight="1" x14ac:dyDescent="0.35">
      <c r="A143" s="3"/>
      <c r="B143" s="3"/>
      <c r="C143" s="3"/>
      <c r="D143" s="3"/>
      <c r="E143" s="3"/>
      <c r="F143" s="3"/>
      <c r="G143" s="3"/>
      <c r="H143" s="3"/>
      <c r="I143" s="3"/>
      <c r="J143" s="3"/>
      <c r="K143" s="3"/>
      <c r="L143" s="3"/>
      <c r="M143" s="3"/>
      <c r="N143" s="3"/>
      <c r="O143" s="3"/>
      <c r="P143" s="3"/>
      <c r="Q143" s="3"/>
      <c r="R143" s="3"/>
      <c r="S143" s="3"/>
      <c r="T143" s="3"/>
    </row>
    <row r="144" spans="1:20" ht="12.75" customHeight="1" x14ac:dyDescent="0.35">
      <c r="A144" s="3"/>
      <c r="B144" s="3"/>
      <c r="C144" s="3"/>
      <c r="D144" s="3"/>
      <c r="E144" s="3"/>
      <c r="F144" s="3"/>
      <c r="G144" s="3"/>
      <c r="H144" s="3"/>
      <c r="I144" s="3"/>
      <c r="J144" s="3"/>
      <c r="K144" s="3"/>
      <c r="L144" s="3"/>
      <c r="M144" s="3"/>
      <c r="N144" s="3"/>
      <c r="O144" s="3"/>
      <c r="P144" s="3"/>
      <c r="Q144" s="3"/>
      <c r="R144" s="3"/>
      <c r="S144" s="3"/>
      <c r="T144" s="3"/>
    </row>
    <row r="145" spans="1:20" ht="12.75" customHeight="1" x14ac:dyDescent="0.35">
      <c r="A145" s="3"/>
      <c r="B145" s="3"/>
      <c r="C145" s="3"/>
      <c r="D145" s="3"/>
      <c r="E145" s="3"/>
      <c r="F145" s="3"/>
      <c r="G145" s="3"/>
      <c r="H145" s="3"/>
      <c r="I145" s="3"/>
      <c r="J145" s="3"/>
      <c r="K145" s="3"/>
      <c r="L145" s="3"/>
      <c r="M145" s="3"/>
      <c r="N145" s="3"/>
      <c r="O145" s="3"/>
      <c r="P145" s="3"/>
      <c r="Q145" s="3"/>
      <c r="R145" s="3"/>
      <c r="S145" s="3"/>
      <c r="T145" s="3"/>
    </row>
    <row r="146" spans="1:20" ht="12.75" customHeight="1" x14ac:dyDescent="0.35">
      <c r="A146" s="3"/>
      <c r="B146" s="3"/>
      <c r="C146" s="3"/>
      <c r="D146" s="3"/>
      <c r="E146" s="3"/>
      <c r="F146" s="3"/>
      <c r="G146" s="3"/>
      <c r="H146" s="3"/>
      <c r="I146" s="3"/>
      <c r="J146" s="3"/>
      <c r="K146" s="3"/>
      <c r="L146" s="3"/>
      <c r="M146" s="3"/>
      <c r="N146" s="3"/>
      <c r="O146" s="3"/>
      <c r="P146" s="3"/>
      <c r="Q146" s="3"/>
      <c r="R146" s="3"/>
      <c r="S146" s="3"/>
      <c r="T146" s="3"/>
    </row>
    <row r="147" spans="1:20" ht="12.75" customHeight="1" x14ac:dyDescent="0.35">
      <c r="A147" s="3"/>
      <c r="B147" s="3"/>
      <c r="C147" s="3"/>
      <c r="D147" s="3"/>
      <c r="E147" s="3"/>
      <c r="F147" s="3"/>
      <c r="G147" s="3"/>
      <c r="H147" s="3"/>
      <c r="I147" s="3"/>
      <c r="J147" s="3"/>
      <c r="K147" s="3"/>
      <c r="L147" s="3"/>
      <c r="M147" s="3"/>
      <c r="N147" s="3"/>
      <c r="O147" s="3"/>
      <c r="P147" s="3"/>
      <c r="Q147" s="3"/>
      <c r="R147" s="3"/>
      <c r="S147" s="3"/>
      <c r="T147" s="3"/>
    </row>
    <row r="148" spans="1:20" ht="12.75" customHeight="1" x14ac:dyDescent="0.35">
      <c r="A148" s="3"/>
      <c r="B148" s="3"/>
      <c r="C148" s="3"/>
      <c r="D148" s="3"/>
      <c r="E148" s="3"/>
      <c r="F148" s="3"/>
      <c r="G148" s="3"/>
      <c r="H148" s="3"/>
      <c r="I148" s="3"/>
      <c r="J148" s="3"/>
      <c r="K148" s="3"/>
      <c r="L148" s="3"/>
      <c r="M148" s="3"/>
      <c r="N148" s="3"/>
      <c r="O148" s="3"/>
      <c r="P148" s="3"/>
      <c r="Q148" s="3"/>
      <c r="R148" s="3"/>
      <c r="S148" s="3"/>
      <c r="T148" s="3"/>
    </row>
    <row r="149" spans="1:20" ht="12.75" customHeight="1" x14ac:dyDescent="0.35">
      <c r="A149" s="3"/>
      <c r="B149" s="3"/>
      <c r="C149" s="3"/>
      <c r="D149" s="3"/>
      <c r="E149" s="3"/>
      <c r="F149" s="3"/>
      <c r="G149" s="3"/>
      <c r="H149" s="3"/>
      <c r="I149" s="3"/>
      <c r="J149" s="3"/>
      <c r="K149" s="3"/>
      <c r="L149" s="3"/>
      <c r="M149" s="3"/>
      <c r="N149" s="3"/>
      <c r="O149" s="3"/>
      <c r="P149" s="3"/>
      <c r="Q149" s="3"/>
      <c r="R149" s="3"/>
      <c r="S149" s="3"/>
      <c r="T149" s="3"/>
    </row>
    <row r="150" spans="1:20" ht="12.75" customHeight="1" x14ac:dyDescent="0.35">
      <c r="A150" s="3"/>
      <c r="B150" s="3"/>
      <c r="C150" s="3"/>
      <c r="D150" s="3"/>
      <c r="E150" s="3"/>
      <c r="F150" s="3"/>
      <c r="G150" s="3"/>
      <c r="H150" s="3"/>
      <c r="I150" s="3"/>
      <c r="J150" s="3"/>
      <c r="K150" s="3"/>
      <c r="L150" s="3"/>
      <c r="M150" s="3"/>
      <c r="N150" s="3"/>
      <c r="O150" s="3"/>
      <c r="P150" s="3"/>
      <c r="Q150" s="3"/>
      <c r="R150" s="3"/>
      <c r="S150" s="3"/>
      <c r="T150" s="3"/>
    </row>
    <row r="151" spans="1:20" ht="12.75" customHeight="1" x14ac:dyDescent="0.35">
      <c r="A151" s="3"/>
      <c r="B151" s="3"/>
      <c r="C151" s="3"/>
      <c r="D151" s="3"/>
      <c r="E151" s="3"/>
      <c r="F151" s="3"/>
      <c r="G151" s="3"/>
      <c r="H151" s="3"/>
      <c r="I151" s="3"/>
      <c r="J151" s="3"/>
      <c r="K151" s="3"/>
      <c r="L151" s="3"/>
      <c r="M151" s="3"/>
      <c r="N151" s="3"/>
      <c r="O151" s="3"/>
      <c r="P151" s="3"/>
      <c r="Q151" s="3"/>
      <c r="R151" s="3"/>
      <c r="S151" s="3"/>
      <c r="T151" s="3"/>
    </row>
    <row r="152" spans="1:20" ht="12.75" customHeight="1" x14ac:dyDescent="0.35">
      <c r="A152" s="3"/>
      <c r="B152" s="3"/>
      <c r="C152" s="3"/>
      <c r="D152" s="3"/>
      <c r="E152" s="3"/>
      <c r="F152" s="3"/>
      <c r="G152" s="3"/>
      <c r="H152" s="3"/>
      <c r="I152" s="3"/>
      <c r="J152" s="3"/>
      <c r="K152" s="3"/>
      <c r="L152" s="3"/>
      <c r="M152" s="3"/>
      <c r="N152" s="3"/>
      <c r="O152" s="3"/>
      <c r="P152" s="3"/>
      <c r="Q152" s="3"/>
      <c r="R152" s="3"/>
      <c r="S152" s="3"/>
      <c r="T152" s="3"/>
    </row>
    <row r="153" spans="1:20" ht="12.75" customHeight="1" x14ac:dyDescent="0.35">
      <c r="A153" s="3"/>
      <c r="B153" s="3"/>
      <c r="C153" s="3"/>
      <c r="D153" s="3"/>
      <c r="E153" s="3"/>
      <c r="F153" s="3"/>
      <c r="G153" s="3"/>
      <c r="H153" s="3"/>
      <c r="I153" s="3"/>
      <c r="J153" s="3"/>
      <c r="K153" s="3"/>
      <c r="L153" s="3"/>
      <c r="M153" s="3"/>
      <c r="N153" s="3"/>
      <c r="O153" s="3"/>
      <c r="P153" s="3"/>
      <c r="Q153" s="3"/>
      <c r="R153" s="3"/>
      <c r="S153" s="3"/>
      <c r="T153" s="3"/>
    </row>
    <row r="154" spans="1:20" ht="12.75" customHeight="1" x14ac:dyDescent="0.35">
      <c r="A154" s="3"/>
      <c r="B154" s="3"/>
      <c r="C154" s="3"/>
      <c r="D154" s="3"/>
      <c r="E154" s="3"/>
      <c r="F154" s="3"/>
      <c r="G154" s="3"/>
      <c r="H154" s="3"/>
      <c r="I154" s="3"/>
      <c r="J154" s="3"/>
      <c r="K154" s="3"/>
      <c r="L154" s="3"/>
      <c r="M154" s="3"/>
      <c r="N154" s="3"/>
      <c r="O154" s="3"/>
      <c r="P154" s="3"/>
      <c r="Q154" s="3"/>
      <c r="R154" s="3"/>
      <c r="S154" s="3"/>
      <c r="T154" s="3"/>
    </row>
    <row r="155" spans="1:20" ht="12.75" customHeight="1" x14ac:dyDescent="0.35">
      <c r="A155" s="3"/>
      <c r="B155" s="3"/>
      <c r="C155" s="3"/>
      <c r="D155" s="3"/>
      <c r="E155" s="3"/>
      <c r="F155" s="3"/>
      <c r="G155" s="3"/>
      <c r="H155" s="3"/>
      <c r="I155" s="3"/>
      <c r="J155" s="3"/>
      <c r="K155" s="3"/>
      <c r="L155" s="3"/>
      <c r="M155" s="3"/>
      <c r="N155" s="3"/>
      <c r="O155" s="3"/>
      <c r="P155" s="3"/>
      <c r="Q155" s="3"/>
      <c r="R155" s="3"/>
      <c r="S155" s="3"/>
      <c r="T155" s="3"/>
    </row>
    <row r="156" spans="1:20" ht="13.5" customHeight="1" x14ac:dyDescent="0.35">
      <c r="A156" s="3"/>
      <c r="B156" s="3"/>
      <c r="C156" s="3"/>
      <c r="D156" s="3"/>
      <c r="E156" s="3"/>
      <c r="F156" s="3"/>
      <c r="G156" s="3"/>
      <c r="H156" s="3"/>
      <c r="I156" s="3"/>
      <c r="J156" s="3"/>
      <c r="K156" s="3"/>
      <c r="L156" s="3"/>
      <c r="M156" s="3"/>
      <c r="N156" s="3"/>
      <c r="O156" s="3"/>
      <c r="P156" s="3"/>
      <c r="Q156" s="3"/>
      <c r="R156" s="3"/>
      <c r="S156" s="3"/>
      <c r="T156" s="3"/>
    </row>
    <row r="157" spans="1:20" ht="12.75" customHeight="1" x14ac:dyDescent="0.35">
      <c r="A157" s="3"/>
      <c r="B157" s="3"/>
      <c r="C157" s="3"/>
      <c r="D157" s="3"/>
      <c r="E157" s="3"/>
      <c r="F157" s="3"/>
      <c r="G157" s="3"/>
      <c r="H157" s="3"/>
      <c r="I157" s="3"/>
      <c r="J157" s="3"/>
      <c r="K157" s="3"/>
      <c r="L157" s="3"/>
      <c r="M157" s="3"/>
      <c r="N157" s="3"/>
      <c r="O157" s="3"/>
      <c r="P157" s="3"/>
      <c r="Q157" s="3"/>
      <c r="R157" s="3"/>
      <c r="S157" s="3"/>
      <c r="T157" s="3"/>
    </row>
    <row r="158" spans="1:20" ht="12.75" customHeight="1" x14ac:dyDescent="0.35">
      <c r="A158" s="3"/>
      <c r="B158" s="3"/>
      <c r="C158" s="3"/>
      <c r="D158" s="3"/>
      <c r="E158" s="3"/>
      <c r="F158" s="3"/>
      <c r="G158" s="3"/>
      <c r="H158" s="3"/>
      <c r="I158" s="3"/>
      <c r="J158" s="3"/>
      <c r="K158" s="3"/>
      <c r="L158" s="3"/>
      <c r="M158" s="3"/>
      <c r="N158" s="3"/>
      <c r="O158" s="3"/>
      <c r="P158" s="3"/>
      <c r="Q158" s="3"/>
      <c r="R158" s="3"/>
      <c r="S158" s="3"/>
      <c r="T158" s="3"/>
    </row>
    <row r="159" spans="1:20" ht="12.75" customHeight="1" x14ac:dyDescent="0.35">
      <c r="A159" s="3"/>
      <c r="B159" s="3"/>
      <c r="C159" s="3"/>
      <c r="D159" s="3"/>
      <c r="E159" s="3"/>
      <c r="F159" s="3"/>
      <c r="G159" s="3"/>
      <c r="H159" s="3"/>
      <c r="I159" s="3"/>
      <c r="J159" s="3"/>
      <c r="K159" s="3"/>
      <c r="L159" s="3"/>
      <c r="M159" s="3"/>
      <c r="N159" s="3"/>
      <c r="O159" s="3"/>
      <c r="P159" s="3"/>
      <c r="Q159" s="3"/>
      <c r="R159" s="3"/>
      <c r="S159" s="3"/>
      <c r="T159" s="3"/>
    </row>
    <row r="160" spans="1:20" ht="12.75" customHeight="1" x14ac:dyDescent="0.35">
      <c r="A160" s="3"/>
      <c r="B160" s="3"/>
      <c r="C160" s="3"/>
      <c r="D160" s="3"/>
      <c r="E160" s="3"/>
      <c r="F160" s="3"/>
      <c r="G160" s="3"/>
      <c r="H160" s="3"/>
      <c r="I160" s="3"/>
      <c r="J160" s="3"/>
      <c r="K160" s="3"/>
      <c r="L160" s="3"/>
      <c r="M160" s="3"/>
      <c r="N160" s="3"/>
      <c r="O160" s="3"/>
      <c r="P160" s="3"/>
      <c r="Q160" s="3"/>
      <c r="R160" s="3"/>
      <c r="S160" s="3"/>
      <c r="T160" s="3"/>
    </row>
    <row r="161" spans="1:20" ht="12.75" customHeight="1" x14ac:dyDescent="0.35">
      <c r="A161" s="3"/>
      <c r="B161" s="3"/>
      <c r="C161" s="3"/>
      <c r="D161" s="3"/>
      <c r="E161" s="3"/>
      <c r="F161" s="3"/>
      <c r="G161" s="3"/>
      <c r="H161" s="3"/>
      <c r="I161" s="3"/>
      <c r="J161" s="3"/>
      <c r="K161" s="3"/>
      <c r="L161" s="3"/>
      <c r="M161" s="3"/>
      <c r="N161" s="3"/>
      <c r="O161" s="3"/>
      <c r="P161" s="3"/>
      <c r="Q161" s="3"/>
      <c r="R161" s="3"/>
      <c r="S161" s="3"/>
      <c r="T161" s="3"/>
    </row>
    <row r="162" spans="1:20" ht="12.75" customHeight="1" x14ac:dyDescent="0.35">
      <c r="A162" s="3"/>
      <c r="B162" s="3"/>
      <c r="C162" s="3"/>
      <c r="D162" s="3"/>
      <c r="E162" s="3"/>
      <c r="F162" s="3"/>
      <c r="G162" s="3"/>
      <c r="H162" s="3"/>
      <c r="I162" s="3"/>
      <c r="J162" s="3"/>
      <c r="K162" s="3"/>
      <c r="L162" s="3"/>
      <c r="M162" s="3"/>
      <c r="N162" s="3"/>
      <c r="O162" s="3"/>
      <c r="P162" s="3"/>
      <c r="Q162" s="3"/>
      <c r="R162" s="3"/>
      <c r="S162" s="3"/>
      <c r="T162" s="3"/>
    </row>
    <row r="163" spans="1:20" ht="12.75" customHeight="1" x14ac:dyDescent="0.35">
      <c r="A163" s="3"/>
      <c r="B163" s="3"/>
      <c r="C163" s="3"/>
      <c r="D163" s="3"/>
      <c r="E163" s="3"/>
      <c r="F163" s="3"/>
      <c r="G163" s="3"/>
      <c r="H163" s="3"/>
      <c r="I163" s="3"/>
      <c r="J163" s="3"/>
      <c r="K163" s="3"/>
      <c r="L163" s="3"/>
      <c r="M163" s="3"/>
      <c r="N163" s="3"/>
      <c r="O163" s="3"/>
      <c r="P163" s="3"/>
      <c r="Q163" s="3"/>
      <c r="R163" s="3"/>
      <c r="S163" s="3"/>
      <c r="T163" s="3"/>
    </row>
    <row r="164" spans="1:20" ht="12.75" customHeight="1" x14ac:dyDescent="0.35">
      <c r="A164" s="3"/>
      <c r="B164" s="3"/>
      <c r="C164" s="3"/>
      <c r="D164" s="3"/>
      <c r="E164" s="3"/>
      <c r="F164" s="3"/>
      <c r="G164" s="3"/>
      <c r="H164" s="3"/>
      <c r="I164" s="3"/>
      <c r="J164" s="3"/>
      <c r="K164" s="3"/>
      <c r="L164" s="3"/>
      <c r="M164" s="3"/>
      <c r="N164" s="3"/>
      <c r="O164" s="3"/>
      <c r="P164" s="3"/>
      <c r="Q164" s="3"/>
      <c r="R164" s="3"/>
      <c r="S164" s="3"/>
      <c r="T164" s="3"/>
    </row>
    <row r="165" spans="1:20" ht="12.75" customHeight="1" x14ac:dyDescent="0.35">
      <c r="A165" s="3"/>
      <c r="B165" s="3"/>
      <c r="C165" s="3"/>
      <c r="D165" s="3"/>
      <c r="E165" s="3"/>
      <c r="F165" s="3"/>
      <c r="G165" s="3"/>
      <c r="H165" s="3"/>
      <c r="I165" s="3"/>
      <c r="J165" s="3"/>
      <c r="K165" s="3"/>
      <c r="L165" s="3"/>
      <c r="M165" s="3"/>
      <c r="N165" s="3"/>
      <c r="O165" s="3"/>
      <c r="P165" s="3"/>
      <c r="Q165" s="3"/>
      <c r="R165" s="3"/>
      <c r="S165" s="3"/>
      <c r="T165" s="3"/>
    </row>
    <row r="166" spans="1:20" ht="13.5" customHeight="1" x14ac:dyDescent="0.35">
      <c r="A166" s="3"/>
      <c r="B166" s="3"/>
      <c r="C166" s="3"/>
      <c r="D166" s="3"/>
      <c r="E166" s="3"/>
      <c r="F166" s="3"/>
      <c r="G166" s="3"/>
      <c r="H166" s="3"/>
      <c r="I166" s="3"/>
      <c r="J166" s="3"/>
      <c r="K166" s="3"/>
      <c r="L166" s="3"/>
      <c r="M166" s="3"/>
      <c r="N166" s="3"/>
      <c r="O166" s="3"/>
      <c r="P166" s="3"/>
      <c r="Q166" s="3"/>
      <c r="R166" s="3"/>
      <c r="S166" s="3"/>
      <c r="T166" s="3"/>
    </row>
    <row r="167" spans="1:20" ht="12.75" customHeight="1" x14ac:dyDescent="0.35">
      <c r="A167" s="3"/>
      <c r="B167" s="3"/>
      <c r="C167" s="3"/>
      <c r="D167" s="3"/>
      <c r="E167" s="3"/>
      <c r="F167" s="3"/>
      <c r="G167" s="3"/>
      <c r="H167" s="3"/>
      <c r="I167" s="3"/>
      <c r="J167" s="3"/>
      <c r="K167" s="3"/>
      <c r="L167" s="3"/>
      <c r="M167" s="3"/>
      <c r="N167" s="3"/>
      <c r="O167" s="3"/>
      <c r="P167" s="3"/>
      <c r="Q167" s="3"/>
      <c r="R167" s="3"/>
      <c r="S167" s="3"/>
      <c r="T167" s="3"/>
    </row>
    <row r="168" spans="1:20" ht="12.75" customHeight="1" x14ac:dyDescent="0.35">
      <c r="A168" s="3"/>
      <c r="B168" s="3"/>
      <c r="C168" s="3"/>
      <c r="D168" s="3"/>
      <c r="E168" s="3"/>
      <c r="F168" s="3"/>
      <c r="G168" s="3"/>
      <c r="H168" s="3"/>
      <c r="I168" s="3"/>
      <c r="J168" s="3"/>
      <c r="K168" s="3"/>
      <c r="L168" s="3"/>
      <c r="M168" s="3"/>
      <c r="N168" s="3"/>
      <c r="O168" s="3"/>
      <c r="P168" s="3"/>
      <c r="Q168" s="3"/>
      <c r="R168" s="3"/>
      <c r="S168" s="3"/>
      <c r="T168" s="3"/>
    </row>
    <row r="169" spans="1:20" ht="13.5" customHeight="1" x14ac:dyDescent="0.35">
      <c r="A169" s="3"/>
      <c r="B169" s="3"/>
      <c r="C169" s="3"/>
      <c r="D169" s="3"/>
      <c r="E169" s="3"/>
      <c r="F169" s="3"/>
      <c r="G169" s="3"/>
      <c r="H169" s="3"/>
      <c r="I169" s="3"/>
      <c r="J169" s="3"/>
      <c r="K169" s="3"/>
      <c r="L169" s="3"/>
      <c r="M169" s="3"/>
      <c r="N169" s="3"/>
      <c r="O169" s="3"/>
      <c r="P169" s="3"/>
      <c r="Q169" s="3"/>
      <c r="R169" s="3"/>
      <c r="S169" s="3"/>
      <c r="T169" s="3"/>
    </row>
    <row r="170" spans="1:20" ht="12.75" customHeight="1" x14ac:dyDescent="0.35">
      <c r="A170" s="3"/>
      <c r="B170" s="3"/>
      <c r="C170" s="3"/>
      <c r="D170" s="3"/>
      <c r="E170" s="3"/>
      <c r="F170" s="3"/>
      <c r="G170" s="3"/>
      <c r="H170" s="3"/>
      <c r="I170" s="3"/>
      <c r="J170" s="3"/>
      <c r="K170" s="3"/>
      <c r="L170" s="3"/>
      <c r="M170" s="3"/>
      <c r="N170" s="3"/>
      <c r="O170" s="3"/>
      <c r="P170" s="3"/>
      <c r="Q170" s="3"/>
      <c r="R170" s="3"/>
      <c r="S170" s="3"/>
      <c r="T170" s="3"/>
    </row>
    <row r="171" spans="1:20" ht="12.75" customHeight="1" x14ac:dyDescent="0.35">
      <c r="A171" s="3"/>
      <c r="B171" s="3"/>
      <c r="C171" s="3"/>
      <c r="D171" s="3"/>
      <c r="E171" s="3"/>
      <c r="F171" s="3"/>
      <c r="G171" s="3"/>
      <c r="H171" s="3"/>
      <c r="I171" s="3"/>
      <c r="J171" s="3"/>
      <c r="K171" s="3"/>
      <c r="L171" s="3"/>
      <c r="M171" s="3"/>
      <c r="N171" s="3"/>
      <c r="O171" s="3"/>
      <c r="P171" s="3"/>
      <c r="Q171" s="3"/>
      <c r="R171" s="3"/>
      <c r="S171" s="3"/>
      <c r="T171" s="3"/>
    </row>
    <row r="172" spans="1:20" ht="12.75" customHeight="1" x14ac:dyDescent="0.35">
      <c r="A172" s="3"/>
      <c r="B172" s="3"/>
      <c r="C172" s="3"/>
      <c r="D172" s="3"/>
      <c r="E172" s="3"/>
      <c r="F172" s="3"/>
      <c r="G172" s="3"/>
      <c r="H172" s="3"/>
      <c r="I172" s="3"/>
      <c r="J172" s="3"/>
      <c r="K172" s="3"/>
      <c r="L172" s="3"/>
      <c r="M172" s="3"/>
      <c r="N172" s="3"/>
      <c r="O172" s="3"/>
      <c r="P172" s="3"/>
      <c r="Q172" s="3"/>
      <c r="R172" s="3"/>
      <c r="S172" s="3"/>
      <c r="T172" s="3"/>
    </row>
    <row r="173" spans="1:20" ht="12.75" customHeight="1" x14ac:dyDescent="0.35">
      <c r="A173" s="3"/>
      <c r="B173" s="3"/>
      <c r="C173" s="3"/>
      <c r="D173" s="3"/>
      <c r="E173" s="3"/>
      <c r="F173" s="3"/>
      <c r="G173" s="3"/>
      <c r="H173" s="3"/>
      <c r="I173" s="3"/>
      <c r="J173" s="3"/>
      <c r="K173" s="3"/>
      <c r="L173" s="3"/>
      <c r="M173" s="3"/>
      <c r="N173" s="3"/>
      <c r="O173" s="3"/>
      <c r="P173" s="3"/>
      <c r="Q173" s="3"/>
      <c r="R173" s="3"/>
      <c r="S173" s="3"/>
      <c r="T173" s="3"/>
    </row>
    <row r="174" spans="1:20" ht="12.75" customHeight="1" x14ac:dyDescent="0.35">
      <c r="A174" s="3"/>
      <c r="B174" s="3"/>
      <c r="C174" s="3"/>
      <c r="D174" s="3"/>
      <c r="E174" s="3"/>
      <c r="F174" s="3"/>
      <c r="G174" s="3"/>
      <c r="H174" s="3"/>
      <c r="I174" s="3"/>
      <c r="J174" s="3"/>
      <c r="K174" s="3"/>
      <c r="L174" s="3"/>
      <c r="M174" s="3"/>
      <c r="N174" s="3"/>
      <c r="O174" s="3"/>
      <c r="P174" s="3"/>
      <c r="Q174" s="3"/>
      <c r="R174" s="3"/>
      <c r="S174" s="3"/>
      <c r="T174" s="3"/>
    </row>
    <row r="175" spans="1:20" ht="12.75" customHeight="1" x14ac:dyDescent="0.35">
      <c r="A175" s="3"/>
      <c r="B175" s="3"/>
      <c r="C175" s="3"/>
      <c r="D175" s="3"/>
      <c r="E175" s="3"/>
      <c r="F175" s="3"/>
      <c r="G175" s="3"/>
      <c r="H175" s="3"/>
      <c r="I175" s="3"/>
      <c r="J175" s="3"/>
      <c r="K175" s="3"/>
      <c r="L175" s="3"/>
      <c r="M175" s="3"/>
      <c r="N175" s="3"/>
      <c r="O175" s="3"/>
      <c r="P175" s="3"/>
      <c r="Q175" s="3"/>
      <c r="R175" s="3"/>
      <c r="S175" s="3"/>
      <c r="T175" s="3"/>
    </row>
    <row r="176" spans="1:20" ht="12.75" customHeight="1" x14ac:dyDescent="0.35">
      <c r="A176" s="3"/>
      <c r="B176" s="3"/>
      <c r="C176" s="3"/>
      <c r="D176" s="3"/>
      <c r="E176" s="3"/>
      <c r="F176" s="3"/>
      <c r="G176" s="3"/>
      <c r="H176" s="3"/>
      <c r="I176" s="3"/>
      <c r="J176" s="3"/>
      <c r="K176" s="3"/>
      <c r="L176" s="3"/>
      <c r="M176" s="3"/>
      <c r="N176" s="3"/>
      <c r="O176" s="3"/>
      <c r="P176" s="3"/>
      <c r="Q176" s="3"/>
      <c r="R176" s="3"/>
      <c r="S176" s="3"/>
      <c r="T176" s="3"/>
    </row>
    <row r="177" spans="1:20" ht="13.5" customHeight="1" x14ac:dyDescent="0.35">
      <c r="A177" s="3"/>
      <c r="B177" s="3"/>
      <c r="C177" s="3"/>
      <c r="D177" s="3"/>
      <c r="E177" s="3"/>
      <c r="F177" s="3"/>
      <c r="G177" s="3"/>
      <c r="H177" s="3"/>
      <c r="I177" s="3"/>
      <c r="J177" s="3"/>
      <c r="K177" s="3"/>
      <c r="L177" s="3"/>
      <c r="M177" s="3"/>
      <c r="N177" s="3"/>
      <c r="O177" s="3"/>
      <c r="P177" s="3"/>
      <c r="Q177" s="3"/>
      <c r="R177" s="3"/>
      <c r="S177" s="3"/>
      <c r="T177" s="3"/>
    </row>
  </sheetData>
  <sheetProtection password="EDB3" sheet="1" objects="1" scenarios="1"/>
  <mergeCells count="37">
    <mergeCell ref="H25:H28"/>
    <mergeCell ref="H39:H42"/>
    <mergeCell ref="I56:I57"/>
    <mergeCell ref="H56:H57"/>
    <mergeCell ref="F9:F10"/>
    <mergeCell ref="G9:G10"/>
    <mergeCell ref="G25:G28"/>
    <mergeCell ref="G34:G35"/>
    <mergeCell ref="H34:H35"/>
    <mergeCell ref="B25:B28"/>
    <mergeCell ref="E25:E28"/>
    <mergeCell ref="F25:F28"/>
    <mergeCell ref="B39:B42"/>
    <mergeCell ref="E39:E42"/>
    <mergeCell ref="F34:F35"/>
    <mergeCell ref="B46:B51"/>
    <mergeCell ref="F39:F42"/>
    <mergeCell ref="G39:G42"/>
    <mergeCell ref="B66:B70"/>
    <mergeCell ref="B71:B73"/>
    <mergeCell ref="D55:K55"/>
    <mergeCell ref="E56:G56"/>
    <mergeCell ref="B55:C56"/>
    <mergeCell ref="D56:D57"/>
    <mergeCell ref="J56:J57"/>
    <mergeCell ref="K56:K57"/>
    <mergeCell ref="B57:B65"/>
    <mergeCell ref="J4:K4"/>
    <mergeCell ref="B7:H7"/>
    <mergeCell ref="B8:B10"/>
    <mergeCell ref="C8:C10"/>
    <mergeCell ref="D8:D10"/>
    <mergeCell ref="E8:H8"/>
    <mergeCell ref="E9:E10"/>
    <mergeCell ref="H9:H10"/>
    <mergeCell ref="J6:L6"/>
    <mergeCell ref="J5:L5"/>
  </mergeCells>
  <pageMargins left="0.511811024" right="0.511811024" top="0.78740157499999996" bottom="0.78740157499999996" header="0" footer="0"/>
  <pageSetup orientation="landscape"/>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FFC000"/>
  </sheetPr>
  <dimension ref="A1:AH260"/>
  <sheetViews>
    <sheetView zoomScale="80" zoomScaleNormal="80" workbookViewId="0">
      <selection activeCell="Q6" sqref="Q6:U6"/>
    </sheetView>
  </sheetViews>
  <sheetFormatPr defaultColWidth="14.453125" defaultRowHeight="15" customHeight="1" x14ac:dyDescent="0.35"/>
  <cols>
    <col min="1" max="1" width="1.26953125" customWidth="1"/>
    <col min="2" max="2" width="4.453125" customWidth="1"/>
    <col min="3" max="3" width="8" customWidth="1"/>
    <col min="4" max="6" width="8.453125" customWidth="1"/>
    <col min="7" max="7" width="3.453125" customWidth="1"/>
    <col min="8" max="8" width="13.7265625" customWidth="1"/>
    <col min="9" max="9" width="9.453125" customWidth="1"/>
    <col min="10" max="10" width="5" customWidth="1"/>
    <col min="11" max="11" width="8.453125" customWidth="1"/>
    <col min="12" max="12" width="5.453125" customWidth="1"/>
    <col min="13" max="13" width="9.453125" customWidth="1"/>
    <col min="14" max="17" width="8.453125" customWidth="1"/>
    <col min="18" max="18" width="4.453125" customWidth="1"/>
    <col min="19" max="19" width="8.453125" customWidth="1"/>
    <col min="20" max="20" width="5" customWidth="1"/>
    <col min="21" max="22" width="3.26953125" customWidth="1"/>
    <col min="24" max="24" width="9.453125" customWidth="1"/>
  </cols>
  <sheetData>
    <row r="1" spans="1:34" ht="11.9" customHeight="1" x14ac:dyDescent="0.35">
      <c r="A1" s="243"/>
      <c r="B1" s="403"/>
      <c r="C1" s="243"/>
      <c r="D1" s="243"/>
      <c r="E1" s="243"/>
      <c r="F1" s="243"/>
      <c r="G1" s="243"/>
      <c r="H1" s="243"/>
      <c r="I1" s="243"/>
      <c r="J1" s="243"/>
      <c r="K1" s="404"/>
      <c r="L1" s="396"/>
      <c r="M1" s="396"/>
      <c r="N1" s="396"/>
      <c r="O1" s="396"/>
      <c r="P1" s="396"/>
      <c r="Q1" s="430"/>
      <c r="R1" s="430"/>
      <c r="S1" s="430"/>
      <c r="T1" s="430"/>
      <c r="U1" s="430"/>
      <c r="V1" s="430"/>
      <c r="W1" s="430"/>
      <c r="X1" s="430"/>
      <c r="Y1" s="430"/>
      <c r="Z1" s="430"/>
      <c r="AA1" s="430"/>
      <c r="AB1" s="430"/>
      <c r="AC1" s="430"/>
      <c r="AD1" s="430"/>
      <c r="AE1" s="430"/>
      <c r="AF1" s="430"/>
      <c r="AG1" s="430"/>
      <c r="AH1" s="430"/>
    </row>
    <row r="2" spans="1:34" ht="18" customHeight="1" x14ac:dyDescent="0.35">
      <c r="A2" s="243"/>
      <c r="B2" s="405"/>
      <c r="C2" s="406" t="s">
        <v>684</v>
      </c>
      <c r="D2" s="2074" t="str">
        <f>IF('R-Entrada'!D2&lt;&gt;0,'R-Entrada'!D2,"")</f>
        <v>São Judas Tadeu</v>
      </c>
      <c r="E2" s="1987"/>
      <c r="F2" s="1987"/>
      <c r="G2" s="1987"/>
      <c r="H2" s="402"/>
      <c r="I2" s="430"/>
      <c r="J2" s="430"/>
      <c r="K2" s="430"/>
      <c r="L2" s="402"/>
      <c r="M2" s="396"/>
      <c r="N2" s="396"/>
      <c r="O2" s="396"/>
      <c r="P2" s="396"/>
      <c r="Q2" s="430"/>
      <c r="R2" s="430"/>
      <c r="S2" s="430"/>
      <c r="T2" s="430"/>
      <c r="U2" s="430"/>
      <c r="V2" s="430"/>
      <c r="W2" s="430"/>
      <c r="X2" s="430"/>
      <c r="Y2" s="430"/>
      <c r="Z2" s="430"/>
      <c r="AA2" s="430"/>
      <c r="AB2" s="430"/>
      <c r="AC2" s="430"/>
      <c r="AD2" s="430"/>
      <c r="AE2" s="430"/>
      <c r="AF2" s="430"/>
      <c r="AG2" s="430"/>
      <c r="AH2" s="430"/>
    </row>
    <row r="3" spans="1:34" s="902" customFormat="1" ht="18" customHeight="1" x14ac:dyDescent="0.35">
      <c r="A3" s="243"/>
      <c r="B3" s="405"/>
      <c r="C3" s="406" t="s">
        <v>685</v>
      </c>
      <c r="D3" s="2074" t="str">
        <f>IF('R-Entrada'!D3&lt;&gt;0,'R-Entrada'!D3,"")</f>
        <v>Rota Futura 1</v>
      </c>
      <c r="E3" s="1959"/>
      <c r="F3" s="1959"/>
      <c r="G3" s="1959"/>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row>
    <row r="4" spans="1:34" s="902" customFormat="1" ht="18" customHeight="1" x14ac:dyDescent="0.35">
      <c r="A4" s="243"/>
      <c r="B4" s="405"/>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row>
    <row r="5" spans="1:34" s="902" customFormat="1" ht="24" customHeight="1" x14ac:dyDescent="0.35">
      <c r="A5" s="243"/>
      <c r="B5" s="91" t="s">
        <v>740</v>
      </c>
      <c r="C5" s="98"/>
      <c r="D5" s="98"/>
      <c r="E5" s="98"/>
      <c r="F5" s="98"/>
      <c r="G5" s="98"/>
      <c r="H5" s="98"/>
      <c r="I5" s="98"/>
      <c r="J5" s="98"/>
      <c r="K5" s="246"/>
      <c r="L5" s="98"/>
      <c r="M5" s="98"/>
      <c r="N5" s="98"/>
      <c r="O5" s="98"/>
      <c r="P5" s="430"/>
      <c r="Q5" s="2075" t="s">
        <v>474</v>
      </c>
      <c r="R5" s="1989"/>
      <c r="S5" s="1989"/>
      <c r="T5" s="1989"/>
      <c r="U5" s="1989"/>
      <c r="V5" s="430"/>
      <c r="W5" s="430"/>
      <c r="X5" s="430"/>
      <c r="Y5" s="430"/>
      <c r="Z5" s="430"/>
      <c r="AA5" s="430"/>
      <c r="AB5" s="430"/>
      <c r="AC5" s="430"/>
      <c r="AD5" s="430"/>
      <c r="AE5" s="430"/>
      <c r="AF5" s="430"/>
      <c r="AG5" s="430"/>
      <c r="AH5" s="430"/>
    </row>
    <row r="6" spans="1:34" s="902" customFormat="1" ht="18" customHeight="1" x14ac:dyDescent="0.35">
      <c r="A6" s="243"/>
      <c r="B6" s="405"/>
      <c r="C6" s="430"/>
      <c r="D6" s="430"/>
      <c r="E6" s="430"/>
      <c r="F6" s="430"/>
      <c r="G6" s="430"/>
      <c r="H6" s="430"/>
      <c r="I6" s="430"/>
      <c r="J6" s="430"/>
      <c r="K6" s="430"/>
      <c r="L6" s="430"/>
      <c r="M6" s="430"/>
      <c r="N6" s="430"/>
      <c r="O6" s="430"/>
      <c r="P6" s="430"/>
      <c r="Q6" s="1941" t="str">
        <f>'R-Entrada'!L5</f>
        <v>Versão 1.01   -   Maio de 2022</v>
      </c>
      <c r="R6" s="1941"/>
      <c r="S6" s="1941"/>
      <c r="T6" s="1989"/>
      <c r="U6" s="1989"/>
      <c r="V6" s="430"/>
      <c r="W6" s="430"/>
      <c r="X6" s="430"/>
      <c r="Y6" s="2076"/>
      <c r="Z6" s="2077"/>
      <c r="AA6" s="2077"/>
      <c r="AB6" s="2077"/>
      <c r="AC6" s="430"/>
      <c r="AD6" s="430"/>
      <c r="AE6" s="430"/>
      <c r="AF6" s="430"/>
      <c r="AG6" s="430"/>
      <c r="AH6" s="430"/>
    </row>
    <row r="7" spans="1:34" ht="16.399999999999999" customHeight="1" x14ac:dyDescent="0.35">
      <c r="A7" s="243"/>
      <c r="B7" s="388"/>
      <c r="C7" s="430"/>
      <c r="D7" s="430"/>
      <c r="E7" s="430"/>
      <c r="F7" s="430"/>
      <c r="G7" s="430"/>
      <c r="H7" s="430"/>
      <c r="I7" s="430"/>
      <c r="J7" s="430"/>
      <c r="K7" s="430"/>
      <c r="L7" s="430"/>
      <c r="M7" s="430"/>
      <c r="N7" s="430"/>
      <c r="O7" s="430"/>
      <c r="P7" s="430"/>
      <c r="Q7" s="430"/>
      <c r="R7" s="430"/>
      <c r="S7" s="430"/>
      <c r="T7" s="430"/>
      <c r="U7" s="430"/>
      <c r="V7" s="430"/>
      <c r="W7" s="430"/>
      <c r="X7" s="430"/>
      <c r="Y7" s="2077"/>
      <c r="Z7" s="2077"/>
      <c r="AA7" s="2077"/>
      <c r="AB7" s="2077"/>
      <c r="AC7" s="430"/>
      <c r="AD7" s="430"/>
      <c r="AE7" s="430"/>
      <c r="AF7" s="430"/>
      <c r="AG7" s="430"/>
      <c r="AH7" s="430"/>
    </row>
    <row r="8" spans="1:34" ht="18" customHeight="1" x14ac:dyDescent="0.35">
      <c r="A8" s="249"/>
      <c r="B8" s="2078" t="s">
        <v>789</v>
      </c>
      <c r="C8" s="2079"/>
      <c r="D8" s="2079"/>
      <c r="E8" s="2079"/>
      <c r="F8" s="789"/>
      <c r="G8" s="789"/>
      <c r="H8" s="789"/>
      <c r="I8" s="789"/>
      <c r="J8" s="790"/>
      <c r="K8" s="392"/>
      <c r="L8" s="192" t="s">
        <v>952</v>
      </c>
      <c r="M8" s="408"/>
      <c r="N8" s="408"/>
      <c r="O8" s="408"/>
      <c r="P8" s="408"/>
      <c r="Q8" s="408"/>
      <c r="R8" s="408"/>
      <c r="S8" s="409"/>
      <c r="T8" s="455"/>
      <c r="U8" s="243"/>
      <c r="V8" s="430"/>
      <c r="W8" s="430"/>
      <c r="X8" s="430"/>
      <c r="Y8" s="2077"/>
      <c r="Z8" s="2077"/>
      <c r="AA8" s="2077"/>
      <c r="AB8" s="2077"/>
      <c r="AC8" s="430"/>
      <c r="AD8" s="430"/>
      <c r="AE8" s="430"/>
      <c r="AF8" s="430"/>
      <c r="AG8" s="430"/>
      <c r="AH8" s="430"/>
    </row>
    <row r="9" spans="1:34" ht="18" customHeight="1" x14ac:dyDescent="0.35">
      <c r="A9" s="243"/>
      <c r="B9" s="393"/>
      <c r="C9" s="757" t="s">
        <v>233</v>
      </c>
      <c r="D9" s="758" t="s">
        <v>811</v>
      </c>
      <c r="E9" s="770"/>
      <c r="F9" s="788"/>
      <c r="G9" s="595"/>
      <c r="H9" s="608"/>
      <c r="I9" s="969">
        <f>'R-Entrada'!E14*313</f>
        <v>939000</v>
      </c>
      <c r="J9" s="253" t="s">
        <v>234</v>
      </c>
      <c r="K9" s="394"/>
      <c r="L9" s="769"/>
      <c r="M9" s="410" t="s">
        <v>235</v>
      </c>
      <c r="N9" s="410"/>
      <c r="O9" s="410"/>
      <c r="P9" s="410"/>
      <c r="Q9" s="410"/>
      <c r="R9" s="410"/>
      <c r="S9" s="411"/>
      <c r="T9" s="791"/>
      <c r="U9" s="243"/>
      <c r="V9" s="430"/>
      <c r="W9" s="430"/>
      <c r="X9" s="430"/>
      <c r="Y9" s="2077"/>
      <c r="Z9" s="2077"/>
      <c r="AA9" s="2077"/>
      <c r="AB9" s="2077"/>
      <c r="AC9" s="430"/>
      <c r="AD9" s="430"/>
      <c r="AE9" s="430"/>
      <c r="AF9" s="430"/>
      <c r="AG9" s="430"/>
      <c r="AH9" s="430"/>
    </row>
    <row r="10" spans="1:34" ht="18" customHeight="1" x14ac:dyDescent="0.35">
      <c r="A10" s="243"/>
      <c r="B10" s="387"/>
      <c r="C10" s="389"/>
      <c r="D10" s="390"/>
      <c r="E10" s="390"/>
      <c r="F10" s="387"/>
      <c r="G10" s="387"/>
      <c r="H10" s="387"/>
      <c r="I10" s="387"/>
      <c r="J10" s="387"/>
      <c r="K10" s="391"/>
      <c r="L10" s="718"/>
      <c r="M10" s="475" t="s">
        <v>236</v>
      </c>
      <c r="N10" s="464" t="s">
        <v>759</v>
      </c>
      <c r="O10" s="464"/>
      <c r="P10" s="129"/>
      <c r="Q10" s="458">
        <f>IF('R-Entrada'!G28&lt;&gt;0,S10/'R-Entrada'!G28*100,0)</f>
        <v>47.285266457680244</v>
      </c>
      <c r="R10" s="253" t="s">
        <v>190</v>
      </c>
      <c r="S10" s="252">
        <f>'R-Definição'!L24</f>
        <v>185.83109717868336</v>
      </c>
      <c r="T10" s="805" t="s">
        <v>19</v>
      </c>
      <c r="U10" s="709"/>
      <c r="V10" s="430"/>
      <c r="W10" s="430"/>
      <c r="X10" s="430"/>
      <c r="Y10" s="2077"/>
      <c r="Z10" s="2077"/>
      <c r="AA10" s="2077"/>
      <c r="AB10" s="2077"/>
      <c r="AC10" s="430"/>
      <c r="AD10" s="430"/>
      <c r="AE10" s="430"/>
      <c r="AF10" s="430"/>
      <c r="AG10" s="430"/>
      <c r="AH10" s="430"/>
    </row>
    <row r="11" spans="1:34" ht="18" customHeight="1" x14ac:dyDescent="0.35">
      <c r="A11" s="243"/>
      <c r="B11" s="735"/>
      <c r="C11" s="411"/>
      <c r="D11" s="410" t="s">
        <v>237</v>
      </c>
      <c r="E11" s="410"/>
      <c r="F11" s="787"/>
      <c r="G11" s="787"/>
      <c r="H11" s="787"/>
      <c r="I11" s="787"/>
      <c r="J11" s="750"/>
      <c r="K11" s="391"/>
      <c r="L11" s="765"/>
      <c r="M11" s="725" t="s">
        <v>238</v>
      </c>
      <c r="N11" s="740" t="s">
        <v>48</v>
      </c>
      <c r="O11" s="793"/>
      <c r="P11" s="129"/>
      <c r="Q11" s="458">
        <f>IF(('R-Entrada'!G29+'R-Entrada'!G30)&lt;&gt;0,S11/('R-Entrada'!G29+'R-Entrada'!G30)*100,0)</f>
        <v>47.285266457680244</v>
      </c>
      <c r="R11" s="253" t="s">
        <v>190</v>
      </c>
      <c r="S11" s="252">
        <f>'R-Definição'!L25+'R-Definição'!L26</f>
        <v>191.50532915360498</v>
      </c>
      <c r="T11" s="805" t="s">
        <v>19</v>
      </c>
      <c r="U11" s="709"/>
      <c r="V11" s="430"/>
      <c r="W11" s="430"/>
      <c r="X11" s="430"/>
      <c r="Y11" s="430"/>
      <c r="Z11" s="430"/>
      <c r="AA11" s="430"/>
      <c r="AB11" s="430"/>
      <c r="AC11" s="430"/>
      <c r="AD11" s="430"/>
      <c r="AE11" s="430"/>
      <c r="AF11" s="430"/>
      <c r="AG11" s="430"/>
      <c r="AH11" s="430"/>
    </row>
    <row r="12" spans="1:34" ht="18" customHeight="1" x14ac:dyDescent="0.35">
      <c r="A12" s="243"/>
      <c r="B12" s="393"/>
      <c r="C12" s="785" t="s">
        <v>239</v>
      </c>
      <c r="D12" s="786" t="s">
        <v>240</v>
      </c>
      <c r="E12" s="760"/>
      <c r="F12" s="595"/>
      <c r="G12" s="595"/>
      <c r="H12" s="594"/>
      <c r="I12" s="771">
        <f>'R-Entrada'!E26</f>
        <v>48.4</v>
      </c>
      <c r="J12" s="762" t="s">
        <v>190</v>
      </c>
      <c r="K12" s="391"/>
      <c r="L12" s="765"/>
      <c r="M12" s="792" t="s">
        <v>241</v>
      </c>
      <c r="N12" s="740" t="s">
        <v>49</v>
      </c>
      <c r="O12" s="793"/>
      <c r="P12" s="120"/>
      <c r="Q12" s="458">
        <f>IF('R-Entrada'!G31&lt;&gt;0,S12/'R-Entrada'!G31*100,0)</f>
        <v>47.285266457680244</v>
      </c>
      <c r="R12" s="253" t="s">
        <v>190</v>
      </c>
      <c r="S12" s="252">
        <f>'R-Definição'!L27</f>
        <v>34.045391849529778</v>
      </c>
      <c r="T12" s="805" t="s">
        <v>19</v>
      </c>
      <c r="U12" s="709"/>
      <c r="V12" s="430"/>
      <c r="W12" s="430"/>
      <c r="X12" s="430"/>
      <c r="Y12" s="430"/>
      <c r="Z12" s="430"/>
      <c r="AA12" s="430"/>
      <c r="AB12" s="430"/>
      <c r="AC12" s="430"/>
      <c r="AD12" s="430"/>
      <c r="AE12" s="430"/>
      <c r="AF12" s="430"/>
      <c r="AG12" s="430"/>
      <c r="AH12" s="430"/>
    </row>
    <row r="13" spans="1:34" ht="18" customHeight="1" x14ac:dyDescent="0.35">
      <c r="A13" s="243"/>
      <c r="B13" s="387"/>
      <c r="C13" s="231" t="s">
        <v>242</v>
      </c>
      <c r="D13" s="740" t="s">
        <v>243</v>
      </c>
      <c r="E13" s="522"/>
      <c r="F13" s="521"/>
      <c r="G13" s="521"/>
      <c r="H13" s="590"/>
      <c r="I13" s="736">
        <f>'R-Entrada'!E27</f>
        <v>3</v>
      </c>
      <c r="J13" s="253" t="s">
        <v>190</v>
      </c>
      <c r="K13" s="391"/>
      <c r="L13" s="765"/>
      <c r="M13" s="475" t="s">
        <v>244</v>
      </c>
      <c r="N13" s="731" t="s">
        <v>225</v>
      </c>
      <c r="O13" s="731"/>
      <c r="P13" s="129"/>
      <c r="Q13" s="458">
        <f>IF('R-Entrada'!G32&lt;&gt;0,S13/'R-Entrada'!G32*100,0)</f>
        <v>47.285266457680251</v>
      </c>
      <c r="R13" s="253" t="s">
        <v>190</v>
      </c>
      <c r="S13" s="252">
        <f>'R-Definição'!L28</f>
        <v>32.626833855799369</v>
      </c>
      <c r="T13" s="805" t="s">
        <v>19</v>
      </c>
      <c r="U13" s="709"/>
      <c r="V13" s="430"/>
      <c r="W13" s="430"/>
      <c r="X13" s="430"/>
      <c r="Y13" s="430"/>
      <c r="Z13" s="430"/>
      <c r="AA13" s="430"/>
      <c r="AB13" s="430"/>
      <c r="AC13" s="430"/>
      <c r="AD13" s="430"/>
      <c r="AE13" s="430"/>
      <c r="AF13" s="430"/>
      <c r="AG13" s="430"/>
      <c r="AH13" s="430"/>
    </row>
    <row r="14" spans="1:34" ht="18" customHeight="1" x14ac:dyDescent="0.35">
      <c r="A14" s="243"/>
      <c r="B14" s="387"/>
      <c r="C14" s="231" t="s">
        <v>245</v>
      </c>
      <c r="D14" s="740" t="s">
        <v>759</v>
      </c>
      <c r="E14" s="522"/>
      <c r="F14" s="521"/>
      <c r="G14" s="521"/>
      <c r="H14" s="590"/>
      <c r="I14" s="736">
        <f>'R-Entrada'!E28</f>
        <v>13.1</v>
      </c>
      <c r="J14" s="253" t="s">
        <v>190</v>
      </c>
      <c r="K14" s="391"/>
      <c r="L14" s="765"/>
      <c r="M14" s="792" t="s">
        <v>246</v>
      </c>
      <c r="N14" s="740" t="s">
        <v>251</v>
      </c>
      <c r="O14" s="793"/>
      <c r="P14" s="120"/>
      <c r="Q14" s="458">
        <f>IF('R-Entrada'!G33&lt;&gt;0,S14/'R-Entrada'!G33*100,0)</f>
        <v>47.285266457680244</v>
      </c>
      <c r="R14" s="253" t="s">
        <v>190</v>
      </c>
      <c r="S14" s="252">
        <f>'R-Definição'!L29</f>
        <v>8.5113479623824446</v>
      </c>
      <c r="T14" s="805" t="s">
        <v>19</v>
      </c>
      <c r="U14" s="709"/>
      <c r="V14" s="430"/>
      <c r="W14" s="430"/>
      <c r="X14" s="430"/>
      <c r="Y14" s="430"/>
      <c r="Z14" s="430"/>
      <c r="AA14" s="430"/>
      <c r="AB14" s="430"/>
      <c r="AC14" s="430"/>
      <c r="AD14" s="430"/>
      <c r="AE14" s="430"/>
      <c r="AF14" s="430"/>
      <c r="AG14" s="430"/>
      <c r="AH14" s="430"/>
    </row>
    <row r="15" spans="1:34" ht="18" customHeight="1" x14ac:dyDescent="0.35">
      <c r="A15" s="243"/>
      <c r="B15" s="387"/>
      <c r="C15" s="231" t="s">
        <v>247</v>
      </c>
      <c r="D15" s="740" t="s">
        <v>48</v>
      </c>
      <c r="E15" s="522"/>
      <c r="F15" s="521"/>
      <c r="G15" s="521"/>
      <c r="H15" s="590"/>
      <c r="I15" s="736">
        <f>'R-Entrada'!E29+'R-Entrada'!E30</f>
        <v>13.5</v>
      </c>
      <c r="J15" s="253" t="s">
        <v>190</v>
      </c>
      <c r="K15" s="391"/>
      <c r="L15" s="393"/>
      <c r="M15" s="393"/>
      <c r="N15" s="393"/>
      <c r="O15" s="393"/>
      <c r="P15" s="393"/>
      <c r="Q15" s="394"/>
      <c r="R15" s="393"/>
      <c r="S15" s="716"/>
      <c r="T15" s="717"/>
      <c r="U15" s="430"/>
      <c r="V15" s="430"/>
      <c r="W15" s="430"/>
      <c r="X15" s="430"/>
      <c r="Y15" s="430"/>
      <c r="Z15" s="430"/>
      <c r="AA15" s="430"/>
      <c r="AB15" s="430"/>
      <c r="AC15" s="430"/>
      <c r="AD15" s="430"/>
      <c r="AE15" s="430"/>
      <c r="AF15" s="430"/>
      <c r="AG15" s="430"/>
      <c r="AH15" s="430"/>
    </row>
    <row r="16" spans="1:34" ht="18" customHeight="1" x14ac:dyDescent="0.35">
      <c r="A16" s="243"/>
      <c r="B16" s="387"/>
      <c r="C16" s="231" t="s">
        <v>248</v>
      </c>
      <c r="D16" s="740" t="s">
        <v>49</v>
      </c>
      <c r="E16" s="522"/>
      <c r="F16" s="521"/>
      <c r="G16" s="521"/>
      <c r="H16" s="590"/>
      <c r="I16" s="736">
        <f>'R-Entrada'!E31</f>
        <v>2.4</v>
      </c>
      <c r="J16" s="253" t="s">
        <v>190</v>
      </c>
      <c r="K16" s="391"/>
      <c r="L16" s="766"/>
      <c r="M16" s="795" t="s">
        <v>801</v>
      </c>
      <c r="N16" s="410"/>
      <c r="O16" s="410"/>
      <c r="P16" s="410"/>
      <c r="Q16" s="411"/>
      <c r="R16" s="410"/>
      <c r="S16" s="411"/>
      <c r="T16" s="791"/>
      <c r="U16" s="243"/>
      <c r="V16" s="430"/>
      <c r="W16" s="798" t="s">
        <v>813</v>
      </c>
      <c r="X16" s="795"/>
      <c r="Y16" s="795"/>
      <c r="Z16" s="795"/>
      <c r="AA16" s="799"/>
      <c r="AB16" s="2073" t="s">
        <v>812</v>
      </c>
      <c r="AC16" s="1964"/>
      <c r="AD16" s="430"/>
      <c r="AE16" s="430"/>
      <c r="AF16" s="430"/>
      <c r="AG16" s="430"/>
      <c r="AH16" s="430"/>
    </row>
    <row r="17" spans="1:34" ht="18" customHeight="1" x14ac:dyDescent="0.35">
      <c r="A17" s="243"/>
      <c r="B17" s="387"/>
      <c r="C17" s="231" t="s">
        <v>249</v>
      </c>
      <c r="D17" s="740" t="s">
        <v>225</v>
      </c>
      <c r="E17" s="522"/>
      <c r="F17" s="521"/>
      <c r="G17" s="521"/>
      <c r="H17" s="590"/>
      <c r="I17" s="736">
        <f>'R-Entrada'!E32</f>
        <v>2.2999999999999998</v>
      </c>
      <c r="J17" s="253" t="s">
        <v>190</v>
      </c>
      <c r="K17" s="391"/>
      <c r="L17" s="718"/>
      <c r="M17" s="475" t="s">
        <v>252</v>
      </c>
      <c r="N17" s="726" t="s">
        <v>240</v>
      </c>
      <c r="O17" s="726"/>
      <c r="P17" s="728"/>
      <c r="Q17" s="727">
        <f>IF('R-Entrada'!G26&lt;&gt;0,S17/'R-Entrada'!G26*100,0)</f>
        <v>55.766536964980538</v>
      </c>
      <c r="R17" s="762" t="s">
        <v>190</v>
      </c>
      <c r="S17" s="794">
        <f>Y18-(SUM(Z18:AC18))</f>
        <v>809.73011673151746</v>
      </c>
      <c r="T17" s="806" t="s">
        <v>19</v>
      </c>
      <c r="U17" s="243"/>
      <c r="V17" s="430"/>
      <c r="W17" s="721"/>
      <c r="X17" s="721"/>
      <c r="Y17" s="251" t="s">
        <v>853</v>
      </c>
      <c r="Z17" s="800" t="s">
        <v>814</v>
      </c>
      <c r="AA17" s="800" t="s">
        <v>815</v>
      </c>
      <c r="AB17" s="737" t="s">
        <v>816</v>
      </c>
      <c r="AC17" s="737" t="s">
        <v>852</v>
      </c>
      <c r="AD17" s="430"/>
      <c r="AE17" s="430"/>
      <c r="AF17" s="430"/>
      <c r="AG17" s="430"/>
      <c r="AH17" s="430"/>
    </row>
    <row r="18" spans="1:34" ht="18" customHeight="1" x14ac:dyDescent="0.35">
      <c r="A18" s="243"/>
      <c r="B18" s="387"/>
      <c r="C18" s="231" t="s">
        <v>250</v>
      </c>
      <c r="D18" s="740" t="s">
        <v>251</v>
      </c>
      <c r="E18" s="522"/>
      <c r="F18" s="521"/>
      <c r="G18" s="521"/>
      <c r="H18" s="590"/>
      <c r="I18" s="736">
        <f>'R-Entrada'!E33</f>
        <v>0.6</v>
      </c>
      <c r="J18" s="253" t="s">
        <v>190</v>
      </c>
      <c r="K18" s="391"/>
      <c r="L18" s="594"/>
      <c r="M18" s="719" t="s">
        <v>255</v>
      </c>
      <c r="N18" s="712" t="s">
        <v>810</v>
      </c>
      <c r="O18" s="712"/>
      <c r="P18" s="713"/>
      <c r="Q18" s="714">
        <f>IF('R-Entrada'!G27&lt;&gt;0,S18/'R-Entrada'!G27*100,0)</f>
        <v>55.766536964980538</v>
      </c>
      <c r="R18" s="722" t="s">
        <v>190</v>
      </c>
      <c r="S18" s="715">
        <f>Y19-(SUM(Z19:AC19))</f>
        <v>50.18988326848249</v>
      </c>
      <c r="T18" s="807" t="s">
        <v>19</v>
      </c>
      <c r="U18" s="709"/>
      <c r="V18" s="430"/>
      <c r="W18" s="464" t="s">
        <v>240</v>
      </c>
      <c r="X18" s="741"/>
      <c r="Y18" s="252">
        <f>'R-Definição'!$D$14+'R-Definição'!$O$32</f>
        <v>809.73011673151746</v>
      </c>
      <c r="Z18" s="252">
        <f>IF('R-Definição'!I29="Biosecagem CDR",'R-Definição'!O32,0)</f>
        <v>0</v>
      </c>
      <c r="AA18" s="252">
        <f>IF('R-Definição'!I29="Aterro sanitário",'R-Definição'!O32,0)</f>
        <v>0</v>
      </c>
      <c r="AB18" s="252">
        <f>IF(AND(AND('R-Definição'!$I$29="Tratam. biológico",'R-Definição'!$I$72="Cobertura de aterro sanitário",Y18&gt;0)),Y18*(1-('R-Definição'!$O$63/'R-Definição'!$E$60))*('R-Definição'!$E$59/($Y$18+$Y$19)),0)</f>
        <v>0</v>
      </c>
      <c r="AC18" s="252">
        <f>IF(AND('R-Definição'!$I$72="Cobertura de aterro sanitário",Y18&gt;0),Y18*(1-('R-Definição'!$O$63/'R-Definição'!$E$60))*('R-Definição'!$E$58/($Y$18+$Y$19)),0)</f>
        <v>0</v>
      </c>
      <c r="AD18" s="430"/>
      <c r="AE18" s="430"/>
      <c r="AF18" s="430"/>
      <c r="AG18" s="430"/>
      <c r="AH18" s="430"/>
    </row>
    <row r="19" spans="1:34" ht="18" customHeight="1" x14ac:dyDescent="0.35">
      <c r="A19" s="243"/>
      <c r="B19" s="387"/>
      <c r="C19" s="231" t="s">
        <v>253</v>
      </c>
      <c r="D19" s="740" t="s">
        <v>254</v>
      </c>
      <c r="E19" s="522"/>
      <c r="F19" s="521"/>
      <c r="G19" s="521"/>
      <c r="H19" s="590"/>
      <c r="I19" s="736">
        <f>'R-Entrada'!E34</f>
        <v>2.6</v>
      </c>
      <c r="J19" s="253" t="s">
        <v>190</v>
      </c>
      <c r="K19" s="391"/>
      <c r="L19" s="769"/>
      <c r="M19" s="410" t="s">
        <v>802</v>
      </c>
      <c r="N19" s="410"/>
      <c r="O19" s="410"/>
      <c r="P19" s="410"/>
      <c r="Q19" s="411"/>
      <c r="R19" s="410"/>
      <c r="S19" s="411"/>
      <c r="T19" s="791"/>
      <c r="U19" s="709"/>
      <c r="V19" s="430"/>
      <c r="W19" s="464" t="s">
        <v>810</v>
      </c>
      <c r="X19" s="741"/>
      <c r="Y19" s="252">
        <f>'R-Definição'!$E$14+'R-Definição'!$O$33</f>
        <v>50.18988326848249</v>
      </c>
      <c r="Z19" s="252">
        <f>IF('R-Definição'!I29="Biosecagem CDR",'R-Definição'!O33,0)</f>
        <v>0</v>
      </c>
      <c r="AA19" s="252">
        <f>IF('R-Definição'!I29="Aterro sanitário",'R-Definição'!O33,0)</f>
        <v>0</v>
      </c>
      <c r="AB19" s="252">
        <f>IF(AND(AND('R-Definição'!$I$29="Tratam. biológico",'R-Definição'!$I$72="Cobertura de aterro sanitário",Y19&gt;0)),Y19*(1-('R-Definição'!$O$63/'R-Definição'!$E$60))*('R-Definição'!$E$59/($Y$18+$Y$19)),0)</f>
        <v>0</v>
      </c>
      <c r="AC19" s="252">
        <f>IF(AND('R-Definição'!$I$72="Cobertura de aterro sanitário",Y19&gt;0),Y19*(1-('R-Definição'!$O$63/'R-Definição'!$E$60))*('R-Definição'!$E$58/($Y$18+$Y$19)),0)</f>
        <v>0</v>
      </c>
      <c r="AD19" s="430"/>
      <c r="AE19" s="430"/>
      <c r="AF19" s="430"/>
      <c r="AG19" s="430"/>
      <c r="AH19" s="430"/>
    </row>
    <row r="20" spans="1:34" ht="18" customHeight="1" x14ac:dyDescent="0.35">
      <c r="A20" s="243"/>
      <c r="B20" s="387"/>
      <c r="C20" s="231" t="s">
        <v>256</v>
      </c>
      <c r="D20" s="740" t="s">
        <v>257</v>
      </c>
      <c r="E20" s="522"/>
      <c r="F20" s="521"/>
      <c r="G20" s="521"/>
      <c r="H20" s="590"/>
      <c r="I20" s="736">
        <f>'R-Entrada'!E35</f>
        <v>0.7</v>
      </c>
      <c r="J20" s="253" t="s">
        <v>190</v>
      </c>
      <c r="K20" s="391"/>
      <c r="L20" s="718"/>
      <c r="M20" s="475" t="s">
        <v>262</v>
      </c>
      <c r="N20" s="726" t="s">
        <v>126</v>
      </c>
      <c r="O20" s="758"/>
      <c r="P20" s="768"/>
      <c r="Q20" s="727">
        <f>('R-Definição'!J60+'R-Definição'!J61)</f>
        <v>0</v>
      </c>
      <c r="R20" s="801" t="s">
        <v>190</v>
      </c>
      <c r="S20" s="808"/>
      <c r="T20" s="808"/>
      <c r="U20" s="243"/>
      <c r="V20" s="430"/>
      <c r="W20" s="430"/>
      <c r="X20" s="430"/>
      <c r="Y20" s="711"/>
      <c r="Z20" s="430"/>
      <c r="AA20" s="430"/>
      <c r="AB20" s="711"/>
      <c r="AC20" s="711"/>
      <c r="AD20" s="430"/>
      <c r="AE20" s="430"/>
      <c r="AF20" s="430"/>
      <c r="AG20" s="430"/>
      <c r="AH20" s="430"/>
    </row>
    <row r="21" spans="1:34" ht="18" customHeight="1" x14ac:dyDescent="0.35">
      <c r="A21" s="243"/>
      <c r="B21" s="387"/>
      <c r="C21" s="231" t="s">
        <v>258</v>
      </c>
      <c r="D21" s="740" t="s">
        <v>259</v>
      </c>
      <c r="E21" s="522"/>
      <c r="F21" s="521"/>
      <c r="G21" s="521"/>
      <c r="H21" s="590"/>
      <c r="I21" s="736">
        <f>'R-Entrada'!E36</f>
        <v>4</v>
      </c>
      <c r="J21" s="253" t="s">
        <v>190</v>
      </c>
      <c r="K21" s="391"/>
      <c r="L21" s="765"/>
      <c r="M21" s="725" t="s">
        <v>265</v>
      </c>
      <c r="N21" s="464" t="s">
        <v>809</v>
      </c>
      <c r="O21" s="464"/>
      <c r="P21" s="464"/>
      <c r="Q21" s="458">
        <f>'R-Definição'!J59</f>
        <v>100</v>
      </c>
      <c r="R21" s="459" t="s">
        <v>190</v>
      </c>
      <c r="S21" s="809"/>
      <c r="T21" s="809"/>
      <c r="U21" s="243"/>
      <c r="V21" s="430"/>
      <c r="W21" s="430"/>
      <c r="X21" s="430"/>
      <c r="Y21" s="430"/>
      <c r="Z21" s="430"/>
      <c r="AA21" s="430"/>
      <c r="AB21" s="430"/>
      <c r="AC21" s="430"/>
      <c r="AD21" s="430"/>
      <c r="AE21" s="430"/>
      <c r="AF21" s="430"/>
      <c r="AG21" s="430"/>
      <c r="AH21" s="430"/>
    </row>
    <row r="22" spans="1:34" ht="18" customHeight="1" x14ac:dyDescent="0.35">
      <c r="A22" s="243"/>
      <c r="B22" s="387"/>
      <c r="C22" s="231" t="s">
        <v>260</v>
      </c>
      <c r="D22" s="740" t="s">
        <v>261</v>
      </c>
      <c r="E22" s="522"/>
      <c r="F22" s="521"/>
      <c r="G22" s="521"/>
      <c r="H22" s="590"/>
      <c r="I22" s="736">
        <f>'R-Entrada'!E37</f>
        <v>4.7</v>
      </c>
      <c r="J22" s="253" t="s">
        <v>190</v>
      </c>
      <c r="K22" s="391"/>
      <c r="L22" s="430"/>
      <c r="M22" s="430"/>
      <c r="N22" s="430"/>
      <c r="O22" s="430"/>
      <c r="P22" s="430"/>
      <c r="Q22" s="430"/>
      <c r="R22" s="430"/>
      <c r="S22" s="430"/>
      <c r="T22" s="430"/>
      <c r="U22" s="709"/>
      <c r="V22" s="430"/>
      <c r="W22" s="430"/>
      <c r="X22" s="430"/>
      <c r="Y22" s="430"/>
      <c r="Z22" s="430"/>
      <c r="AA22" s="430"/>
      <c r="AB22" s="430"/>
      <c r="AC22" s="430"/>
      <c r="AD22" s="430"/>
      <c r="AE22" s="430"/>
      <c r="AF22" s="430"/>
      <c r="AG22" s="430"/>
      <c r="AH22" s="430"/>
    </row>
    <row r="23" spans="1:34" ht="18" customHeight="1" x14ac:dyDescent="0.35">
      <c r="A23" s="243"/>
      <c r="B23" s="387"/>
      <c r="C23" s="231" t="s">
        <v>263</v>
      </c>
      <c r="D23" s="740" t="s">
        <v>264</v>
      </c>
      <c r="E23" s="522"/>
      <c r="F23" s="521"/>
      <c r="G23" s="521"/>
      <c r="H23" s="590"/>
      <c r="I23" s="736">
        <f>'R-Entrada'!E38</f>
        <v>0</v>
      </c>
      <c r="J23" s="253" t="s">
        <v>190</v>
      </c>
      <c r="K23" s="391"/>
      <c r="L23" s="766"/>
      <c r="M23" s="410" t="s">
        <v>268</v>
      </c>
      <c r="N23" s="410"/>
      <c r="O23" s="410"/>
      <c r="P23" s="410"/>
      <c r="Q23" s="411"/>
      <c r="R23" s="410"/>
      <c r="S23" s="748"/>
      <c r="T23" s="796"/>
      <c r="U23" s="710"/>
      <c r="V23" s="430"/>
      <c r="W23" s="430"/>
      <c r="X23" s="430"/>
      <c r="Y23" s="430"/>
      <c r="Z23" s="430"/>
      <c r="AA23" s="430"/>
      <c r="AB23" s="430"/>
      <c r="AC23" s="430"/>
      <c r="AD23" s="430"/>
      <c r="AE23" s="430"/>
      <c r="AF23" s="430"/>
      <c r="AG23" s="430"/>
      <c r="AH23" s="430"/>
    </row>
    <row r="24" spans="1:34" ht="18" customHeight="1" x14ac:dyDescent="0.35">
      <c r="A24" s="243"/>
      <c r="B24" s="387"/>
      <c r="C24" s="231" t="s">
        <v>266</v>
      </c>
      <c r="D24" s="740" t="s">
        <v>267</v>
      </c>
      <c r="E24" s="522"/>
      <c r="F24" s="521"/>
      <c r="G24" s="521"/>
      <c r="H24" s="590"/>
      <c r="I24" s="736">
        <f>'R-Entrada'!E39</f>
        <v>4.7</v>
      </c>
      <c r="J24" s="253" t="s">
        <v>190</v>
      </c>
      <c r="K24" s="391"/>
      <c r="L24" s="718"/>
      <c r="M24" s="725" t="s">
        <v>277</v>
      </c>
      <c r="N24" s="797" t="s">
        <v>229</v>
      </c>
      <c r="O24" s="721"/>
      <c r="P24" s="602"/>
      <c r="Q24" s="727">
        <f>IF(S24="Sim",100,0)</f>
        <v>100</v>
      </c>
      <c r="R24" s="762" t="s">
        <v>190</v>
      </c>
      <c r="S24" s="459" t="str">
        <f>'R-Definição'!J64</f>
        <v>Sim</v>
      </c>
      <c r="T24" s="810"/>
      <c r="U24" s="245"/>
      <c r="V24" s="430"/>
      <c r="W24" s="430"/>
      <c r="X24" s="430"/>
      <c r="Y24" s="430"/>
      <c r="Z24" s="430"/>
      <c r="AA24" s="430"/>
      <c r="AB24" s="430"/>
      <c r="AC24" s="430"/>
      <c r="AD24" s="430"/>
      <c r="AE24" s="430"/>
      <c r="AF24" s="430"/>
      <c r="AG24" s="430"/>
      <c r="AH24" s="430"/>
    </row>
    <row r="25" spans="1:34" ht="18" customHeight="1" x14ac:dyDescent="0.35">
      <c r="A25" s="243"/>
      <c r="B25" s="393"/>
      <c r="C25" s="394"/>
      <c r="D25" s="393"/>
      <c r="E25" s="393"/>
      <c r="F25" s="393"/>
      <c r="G25" s="393"/>
      <c r="H25" s="393"/>
      <c r="I25" s="767">
        <f>SUM(I12:I24)</f>
        <v>100</v>
      </c>
      <c r="J25" s="762" t="s">
        <v>190</v>
      </c>
      <c r="K25" s="394"/>
      <c r="L25" s="765"/>
      <c r="M25" s="475" t="s">
        <v>279</v>
      </c>
      <c r="N25" s="742" t="s">
        <v>231</v>
      </c>
      <c r="O25" s="773"/>
      <c r="P25" s="793"/>
      <c r="Q25" s="458">
        <f>IF(S24="Sim",0,100)</f>
        <v>0</v>
      </c>
      <c r="R25" s="253" t="s">
        <v>190</v>
      </c>
      <c r="S25" s="811"/>
      <c r="T25" s="810"/>
      <c r="U25" s="396"/>
      <c r="V25" s="430"/>
      <c r="W25" s="430"/>
      <c r="X25" s="430"/>
      <c r="Y25" s="430"/>
      <c r="Z25" s="430"/>
      <c r="AA25" s="430"/>
      <c r="AB25" s="430"/>
      <c r="AC25" s="430"/>
      <c r="AD25" s="430"/>
      <c r="AE25" s="430"/>
      <c r="AF25" s="430"/>
      <c r="AG25" s="430"/>
      <c r="AH25" s="430"/>
    </row>
    <row r="26" spans="1:34" ht="18" customHeight="1" x14ac:dyDescent="0.35">
      <c r="A26" s="244"/>
      <c r="B26" s="393"/>
      <c r="C26" s="393"/>
      <c r="D26" s="393"/>
      <c r="E26" s="393"/>
      <c r="F26" s="393"/>
      <c r="G26" s="393"/>
      <c r="H26" s="393"/>
      <c r="I26" s="393"/>
      <c r="J26" s="393"/>
      <c r="K26" s="394"/>
      <c r="L26" s="721"/>
      <c r="M26" s="721"/>
      <c r="N26" s="721"/>
      <c r="O26" s="721"/>
      <c r="P26" s="721"/>
      <c r="Q26" s="721"/>
      <c r="R26" s="721"/>
      <c r="S26" s="721"/>
      <c r="T26" s="721"/>
      <c r="U26" s="396"/>
      <c r="V26" s="430"/>
      <c r="W26" s="430"/>
      <c r="X26" s="711"/>
      <c r="Y26" s="430"/>
      <c r="Z26" s="430"/>
      <c r="AA26" s="430"/>
      <c r="AB26" s="430"/>
      <c r="AC26" s="430"/>
      <c r="AD26" s="430"/>
      <c r="AE26" s="430"/>
      <c r="AF26" s="430"/>
      <c r="AG26" s="430"/>
      <c r="AH26" s="430"/>
    </row>
    <row r="27" spans="1:34" ht="18" customHeight="1" x14ac:dyDescent="0.35">
      <c r="A27" s="244"/>
      <c r="B27" s="192" t="s">
        <v>953</v>
      </c>
      <c r="C27" s="803"/>
      <c r="D27" s="803"/>
      <c r="E27" s="803"/>
      <c r="F27" s="803"/>
      <c r="G27" s="803"/>
      <c r="H27" s="803"/>
      <c r="I27" s="803"/>
      <c r="J27" s="803"/>
      <c r="K27" s="804"/>
      <c r="L27" s="395"/>
      <c r="M27" s="395"/>
      <c r="N27" s="395"/>
      <c r="O27" s="395"/>
      <c r="P27" s="395"/>
      <c r="Q27" s="395"/>
      <c r="R27" s="395"/>
      <c r="S27" s="395"/>
      <c r="T27" s="395"/>
      <c r="U27" s="396"/>
      <c r="V27" s="430"/>
      <c r="W27" s="430"/>
      <c r="X27" s="430"/>
      <c r="Y27" s="430"/>
      <c r="Z27" s="430"/>
      <c r="AA27" s="430"/>
      <c r="AB27" s="430"/>
      <c r="AC27" s="430"/>
      <c r="AD27" s="430"/>
      <c r="AE27" s="430"/>
      <c r="AF27" s="430"/>
      <c r="AG27" s="430"/>
      <c r="AH27" s="430"/>
    </row>
    <row r="28" spans="1:34" ht="18" customHeight="1" x14ac:dyDescent="0.35">
      <c r="A28" s="244"/>
      <c r="B28" s="393"/>
      <c r="C28" s="257" t="s">
        <v>819</v>
      </c>
      <c r="D28" s="144"/>
      <c r="E28" s="144"/>
      <c r="F28" s="144"/>
      <c r="G28" s="144"/>
      <c r="H28" s="144"/>
      <c r="I28" s="144"/>
      <c r="J28" s="144"/>
      <c r="K28" s="384"/>
      <c r="L28" s="255"/>
      <c r="M28" s="387"/>
      <c r="N28" s="387"/>
      <c r="O28" s="387"/>
      <c r="P28" s="387"/>
      <c r="Q28" s="387"/>
      <c r="R28" s="387"/>
      <c r="S28" s="387"/>
      <c r="T28" s="396"/>
      <c r="U28" s="396"/>
      <c r="V28" s="430"/>
      <c r="W28" s="430"/>
      <c r="X28" s="430"/>
      <c r="Y28" s="430"/>
      <c r="Z28" s="430"/>
      <c r="AA28" s="430"/>
      <c r="AB28" s="430"/>
      <c r="AC28" s="430"/>
      <c r="AD28" s="430"/>
      <c r="AE28" s="430"/>
      <c r="AF28" s="430"/>
      <c r="AG28" s="430"/>
      <c r="AH28" s="430"/>
    </row>
    <row r="29" spans="1:34" ht="18" customHeight="1" x14ac:dyDescent="0.35">
      <c r="A29" s="244"/>
      <c r="B29" s="387"/>
      <c r="C29" s="757" t="s">
        <v>790</v>
      </c>
      <c r="D29" s="731" t="s">
        <v>808</v>
      </c>
      <c r="E29" s="743"/>
      <c r="F29" s="599"/>
      <c r="G29" s="393"/>
      <c r="H29" s="765"/>
      <c r="I29" s="771">
        <f t="shared" ref="I29:I30" si="0">K29</f>
        <v>0</v>
      </c>
      <c r="J29" s="762" t="s">
        <v>190</v>
      </c>
      <c r="K29" s="794">
        <v>0</v>
      </c>
      <c r="L29" s="762" t="s">
        <v>19</v>
      </c>
      <c r="M29" s="397" t="s">
        <v>760</v>
      </c>
      <c r="N29" s="398"/>
      <c r="O29" s="398"/>
      <c r="P29" s="398"/>
      <c r="Q29" s="398"/>
      <c r="R29" s="398"/>
      <c r="S29" s="387"/>
      <c r="T29" s="396"/>
      <c r="U29" s="396"/>
      <c r="V29" s="430"/>
      <c r="W29" s="430"/>
      <c r="X29" s="430"/>
      <c r="Y29" s="430"/>
      <c r="Z29" s="430"/>
      <c r="AA29" s="430"/>
      <c r="AB29" s="430"/>
      <c r="AC29" s="430"/>
      <c r="AD29" s="430"/>
      <c r="AE29" s="430"/>
      <c r="AF29" s="430"/>
      <c r="AG29" s="430"/>
      <c r="AH29" s="430"/>
    </row>
    <row r="30" spans="1:34" ht="18" customHeight="1" x14ac:dyDescent="0.35">
      <c r="A30" s="245"/>
      <c r="B30" s="387"/>
      <c r="C30" s="231" t="s">
        <v>269</v>
      </c>
      <c r="D30" s="781" t="s">
        <v>807</v>
      </c>
      <c r="E30" s="780"/>
      <c r="F30" s="780"/>
      <c r="G30" s="653"/>
      <c r="H30" s="718"/>
      <c r="I30" s="736">
        <f t="shared" si="0"/>
        <v>0</v>
      </c>
      <c r="J30" s="253" t="s">
        <v>190</v>
      </c>
      <c r="K30" s="252">
        <v>0</v>
      </c>
      <c r="L30" s="253" t="s">
        <v>19</v>
      </c>
      <c r="M30" s="397" t="s">
        <v>761</v>
      </c>
      <c r="N30" s="398"/>
      <c r="O30" s="398"/>
      <c r="P30" s="398"/>
      <c r="Q30" s="398"/>
      <c r="R30" s="398"/>
      <c r="S30" s="387"/>
      <c r="T30" s="399"/>
      <c r="U30" s="399"/>
      <c r="V30" s="430"/>
      <c r="W30" s="430"/>
      <c r="X30" s="430"/>
      <c r="Y30" s="430"/>
      <c r="Z30" s="430"/>
      <c r="AA30" s="430"/>
      <c r="AB30" s="430"/>
      <c r="AC30" s="430"/>
      <c r="AD30" s="430"/>
      <c r="AE30" s="430"/>
      <c r="AF30" s="430"/>
      <c r="AG30" s="430"/>
      <c r="AH30" s="430"/>
    </row>
    <row r="31" spans="1:34" ht="18" customHeight="1" x14ac:dyDescent="0.35">
      <c r="A31" s="244"/>
      <c r="B31" s="387"/>
      <c r="C31" s="231" t="s">
        <v>791</v>
      </c>
      <c r="D31" s="740" t="s">
        <v>806</v>
      </c>
      <c r="E31" s="522"/>
      <c r="F31" s="522"/>
      <c r="G31" s="521"/>
      <c r="H31" s="590"/>
      <c r="I31" s="736">
        <f>IF($K$40&lt;&gt;0,K31/$K$40*100,0)</f>
        <v>0</v>
      </c>
      <c r="J31" s="253" t="s">
        <v>190</v>
      </c>
      <c r="K31" s="252">
        <f>IF(AND('R-Definição'!E122="Rota Atual",'R-Definição'!E123="Disp. Inadequada"),'R-Definição'!N95+'R-Definição'!N96+'R-Definição'!N97+'R-Definição'!N98+'R-Definição'!N99,0)</f>
        <v>0</v>
      </c>
      <c r="L31" s="253" t="s">
        <v>19</v>
      </c>
      <c r="M31" s="397"/>
      <c r="N31" s="398"/>
      <c r="O31" s="398"/>
      <c r="P31" s="398"/>
      <c r="Q31" s="398"/>
      <c r="R31" s="398"/>
      <c r="S31" s="387"/>
      <c r="T31" s="396"/>
      <c r="U31" s="396"/>
      <c r="V31" s="430"/>
      <c r="W31" s="430"/>
      <c r="X31" s="430"/>
      <c r="Y31" s="430"/>
      <c r="Z31" s="430"/>
      <c r="AA31" s="430"/>
      <c r="AB31" s="430"/>
      <c r="AC31" s="430"/>
      <c r="AD31" s="430"/>
      <c r="AE31" s="430"/>
      <c r="AF31" s="430"/>
      <c r="AG31" s="430"/>
      <c r="AH31" s="430"/>
    </row>
    <row r="32" spans="1:34" ht="18" customHeight="1" x14ac:dyDescent="0.35">
      <c r="A32" s="245"/>
      <c r="B32" s="387"/>
      <c r="C32" s="242" t="s">
        <v>270</v>
      </c>
      <c r="D32" s="731" t="s">
        <v>805</v>
      </c>
      <c r="E32" s="731"/>
      <c r="F32" s="731"/>
      <c r="G32" s="732"/>
      <c r="H32" s="732"/>
      <c r="I32" s="458">
        <f>K32</f>
        <v>0</v>
      </c>
      <c r="J32" s="253" t="s">
        <v>190</v>
      </c>
      <c r="K32" s="252">
        <v>0</v>
      </c>
      <c r="L32" s="253" t="s">
        <v>19</v>
      </c>
      <c r="M32" s="397" t="s">
        <v>272</v>
      </c>
      <c r="N32" s="398"/>
      <c r="O32" s="398"/>
      <c r="P32" s="398"/>
      <c r="Q32" s="398"/>
      <c r="R32" s="398"/>
      <c r="S32" s="387"/>
      <c r="T32" s="399"/>
      <c r="U32" s="399"/>
      <c r="V32" s="430"/>
      <c r="W32" s="430"/>
      <c r="X32" s="430"/>
      <c r="Y32" s="430"/>
      <c r="Z32" s="430"/>
      <c r="AA32" s="430"/>
      <c r="AB32" s="430"/>
      <c r="AC32" s="430"/>
      <c r="AD32" s="430"/>
      <c r="AE32" s="430"/>
      <c r="AF32" s="430"/>
      <c r="AG32" s="430"/>
      <c r="AH32" s="430"/>
    </row>
    <row r="33" spans="1:34" ht="18" customHeight="1" x14ac:dyDescent="0.35">
      <c r="A33" s="244"/>
      <c r="B33" s="387"/>
      <c r="C33" s="231" t="s">
        <v>271</v>
      </c>
      <c r="D33" s="740" t="s">
        <v>804</v>
      </c>
      <c r="E33" s="522"/>
      <c r="F33" s="522"/>
      <c r="G33" s="521"/>
      <c r="H33" s="590"/>
      <c r="I33" s="736">
        <f>IF($K$40&lt;&gt;0,K33/$K$40*100,0)</f>
        <v>57.953494986844909</v>
      </c>
      <c r="J33" s="253" t="s">
        <v>190</v>
      </c>
      <c r="K33" s="252">
        <f>IF(OR(AND('R-Definição'!E122="Rota atual",'R-Definição'!E123="Aterro sanitário"),'R-Definição'!E122="Rota Futura"),'R-Definição'!N95+'R-Definição'!N96+'R-Definição'!N97+'R-Definição'!N98+'R-Definição'!N99,0)</f>
        <v>978</v>
      </c>
      <c r="L33" s="253" t="s">
        <v>19</v>
      </c>
      <c r="M33" s="391"/>
      <c r="N33" s="387"/>
      <c r="O33" s="387"/>
      <c r="P33" s="387"/>
      <c r="Q33" s="387"/>
      <c r="R33" s="387"/>
      <c r="S33" s="387"/>
      <c r="T33" s="396"/>
      <c r="U33" s="396"/>
      <c r="V33" s="430"/>
      <c r="W33" s="430"/>
      <c r="X33" s="430"/>
      <c r="Y33" s="430"/>
      <c r="Z33" s="430"/>
      <c r="AA33" s="430"/>
      <c r="AB33" s="430"/>
      <c r="AC33" s="430"/>
      <c r="AD33" s="430"/>
      <c r="AE33" s="430"/>
      <c r="AF33" s="430"/>
      <c r="AG33" s="430"/>
      <c r="AH33" s="430"/>
    </row>
    <row r="34" spans="1:34" ht="18" customHeight="1" x14ac:dyDescent="0.35">
      <c r="A34" s="244"/>
      <c r="B34" s="387"/>
      <c r="C34" s="256" t="s">
        <v>820</v>
      </c>
      <c r="D34" s="782"/>
      <c r="E34" s="782"/>
      <c r="F34" s="782"/>
      <c r="G34" s="782"/>
      <c r="H34" s="782"/>
      <c r="I34" s="447"/>
      <c r="J34" s="207"/>
      <c r="K34" s="474"/>
      <c r="L34" s="207"/>
      <c r="M34" s="391"/>
      <c r="N34" s="387"/>
      <c r="O34" s="387"/>
      <c r="P34" s="387"/>
      <c r="Q34" s="387"/>
      <c r="R34" s="387"/>
      <c r="S34" s="387"/>
      <c r="T34" s="396"/>
      <c r="U34" s="396"/>
      <c r="V34" s="711"/>
      <c r="W34" s="430"/>
      <c r="X34" s="430"/>
      <c r="Y34" s="430"/>
      <c r="Z34" s="430"/>
      <c r="AA34" s="430"/>
      <c r="AB34" s="430"/>
      <c r="AC34" s="430"/>
      <c r="AD34" s="430"/>
      <c r="AE34" s="430"/>
      <c r="AF34" s="430"/>
      <c r="AG34" s="430"/>
      <c r="AH34" s="430"/>
    </row>
    <row r="35" spans="1:34" ht="18" customHeight="1" x14ac:dyDescent="0.35">
      <c r="A35" s="244"/>
      <c r="B35" s="387"/>
      <c r="C35" s="242" t="s">
        <v>238</v>
      </c>
      <c r="D35" s="464" t="s">
        <v>794</v>
      </c>
      <c r="E35" s="464"/>
      <c r="F35" s="464"/>
      <c r="G35" s="129"/>
      <c r="H35" s="129"/>
      <c r="I35" s="458">
        <f>IF($K$40&lt;&gt;0,K35/$K$40*100,0)</f>
        <v>0</v>
      </c>
      <c r="J35" s="253" t="s">
        <v>190</v>
      </c>
      <c r="K35" s="252">
        <f>IF(AND('R-Definição'!E30&lt;&gt;"CDR",'R-Definição'!E34&lt;&gt;"CDR",'R-Definição'!I28&lt;&gt;"CDR"),SUM(AB18:AC19),0)</f>
        <v>0</v>
      </c>
      <c r="L35" s="253" t="s">
        <v>19</v>
      </c>
      <c r="M35" s="391"/>
      <c r="N35" s="387"/>
      <c r="O35" s="387"/>
      <c r="P35" s="387"/>
      <c r="Q35" s="387"/>
      <c r="R35" s="387"/>
      <c r="S35" s="387"/>
      <c r="T35" s="396"/>
      <c r="U35" s="396"/>
      <c r="V35" s="711"/>
      <c r="W35" s="430"/>
      <c r="X35" s="430"/>
      <c r="Y35" s="430"/>
      <c r="Z35" s="430"/>
      <c r="AA35" s="430"/>
      <c r="AB35" s="430"/>
      <c r="AC35" s="430"/>
      <c r="AD35" s="430"/>
      <c r="AE35" s="430"/>
      <c r="AF35" s="430"/>
      <c r="AG35" s="430"/>
      <c r="AH35" s="430"/>
    </row>
    <row r="36" spans="1:34" ht="18" customHeight="1" x14ac:dyDescent="0.35">
      <c r="A36" s="244"/>
      <c r="B36" s="387"/>
      <c r="C36" s="242" t="s">
        <v>241</v>
      </c>
      <c r="D36" s="464" t="s">
        <v>798</v>
      </c>
      <c r="E36" s="464"/>
      <c r="F36" s="464"/>
      <c r="G36" s="129"/>
      <c r="H36" s="129"/>
      <c r="I36" s="458">
        <f>IF($K$40&lt;&gt;0,K36/$K$40*100,0)</f>
        <v>9.5996586788025304</v>
      </c>
      <c r="J36" s="253" t="s">
        <v>190</v>
      </c>
      <c r="K36" s="252">
        <f>IF(K37&lt;&gt;0,0,'R-Definição'!I51)</f>
        <v>162</v>
      </c>
      <c r="L36" s="253" t="s">
        <v>19</v>
      </c>
      <c r="M36" s="391"/>
      <c r="N36" s="387"/>
      <c r="O36" s="387"/>
      <c r="P36" s="387"/>
      <c r="Q36" s="387"/>
      <c r="R36" s="387"/>
      <c r="S36" s="387"/>
      <c r="T36" s="396"/>
      <c r="U36" s="396"/>
      <c r="V36" s="430"/>
      <c r="W36" s="430"/>
      <c r="X36" s="430"/>
      <c r="Y36" s="430"/>
      <c r="Z36" s="430"/>
      <c r="AA36" s="430"/>
      <c r="AB36" s="430"/>
      <c r="AC36" s="430"/>
      <c r="AD36" s="430"/>
      <c r="AE36" s="430"/>
      <c r="AF36" s="430"/>
      <c r="AG36" s="430"/>
      <c r="AH36" s="430"/>
    </row>
    <row r="37" spans="1:34" s="448" customFormat="1" ht="18" customHeight="1" x14ac:dyDescent="0.35">
      <c r="A37" s="244"/>
      <c r="B37" s="387"/>
      <c r="C37" s="242" t="s">
        <v>244</v>
      </c>
      <c r="D37" s="464" t="s">
        <v>800</v>
      </c>
      <c r="E37" s="464"/>
      <c r="F37" s="464"/>
      <c r="G37" s="129"/>
      <c r="H37" s="129"/>
      <c r="I37" s="458">
        <f>IF($K$40&lt;&gt;0,K37/$K$40*100,0)</f>
        <v>0</v>
      </c>
      <c r="J37" s="253" t="s">
        <v>190</v>
      </c>
      <c r="K37" s="252">
        <f>IF(AND(AND('R-Definição'!I51&gt;0,'R-Definição'!I72="Cobertura de aterro sanitário",'R-Definição'!O64&lt;&gt;0)),'R-Definição'!I51+SUM(AB18:AC19)-K35,0)</f>
        <v>0</v>
      </c>
      <c r="L37" s="253" t="s">
        <v>19</v>
      </c>
      <c r="M37" s="391"/>
      <c r="N37" s="387"/>
      <c r="O37" s="400"/>
      <c r="P37" s="400"/>
      <c r="Q37" s="400"/>
      <c r="R37" s="387"/>
      <c r="S37" s="387"/>
      <c r="T37" s="396"/>
      <c r="U37" s="396"/>
      <c r="V37" s="430"/>
      <c r="W37" s="430"/>
      <c r="X37" s="430"/>
      <c r="Y37" s="430"/>
      <c r="Z37" s="430"/>
      <c r="AA37" s="430"/>
      <c r="AB37" s="430"/>
      <c r="AC37" s="430"/>
      <c r="AD37" s="430"/>
      <c r="AE37" s="430"/>
      <c r="AF37" s="430"/>
      <c r="AG37" s="430"/>
      <c r="AH37" s="430"/>
    </row>
    <row r="38" spans="1:34" ht="18" customHeight="1" x14ac:dyDescent="0.35">
      <c r="A38" s="244"/>
      <c r="B38" s="387"/>
      <c r="C38" s="242" t="s">
        <v>246</v>
      </c>
      <c r="D38" s="712" t="s">
        <v>799</v>
      </c>
      <c r="E38" s="712"/>
      <c r="F38" s="712"/>
      <c r="G38" s="713"/>
      <c r="H38" s="713"/>
      <c r="I38" s="458">
        <f>IF($K$40&lt;&gt;0,K38/$K$40*100,0)</f>
        <v>0</v>
      </c>
      <c r="J38" s="253" t="s">
        <v>190</v>
      </c>
      <c r="K38" s="252">
        <f>IF('R-Definição'!I29="Biosecagem CDR",'R-Definição'!I52+SUM(AC18:AC19),'R-Definição'!I52)</f>
        <v>0</v>
      </c>
      <c r="L38" s="253" t="s">
        <v>19</v>
      </c>
      <c r="M38" s="391"/>
      <c r="N38" s="387"/>
      <c r="O38" s="387"/>
      <c r="P38" s="452"/>
      <c r="Q38" s="387"/>
      <c r="R38" s="387"/>
      <c r="S38" s="387"/>
      <c r="T38" s="396"/>
      <c r="U38" s="396"/>
      <c r="V38" s="430"/>
      <c r="W38" s="430"/>
      <c r="X38" s="430"/>
      <c r="Y38" s="430"/>
      <c r="Z38" s="430"/>
      <c r="AA38" s="430"/>
      <c r="AB38" s="430"/>
      <c r="AC38" s="430"/>
      <c r="AD38" s="430"/>
      <c r="AE38" s="430"/>
      <c r="AF38" s="430"/>
      <c r="AG38" s="430"/>
      <c r="AH38" s="430"/>
    </row>
    <row r="39" spans="1:34" ht="18" customHeight="1" x14ac:dyDescent="0.35">
      <c r="A39" s="244"/>
      <c r="B39" s="387"/>
      <c r="C39" s="784" t="s">
        <v>273</v>
      </c>
      <c r="D39" s="781" t="s">
        <v>62</v>
      </c>
      <c r="E39" s="780"/>
      <c r="F39" s="780"/>
      <c r="G39" s="653"/>
      <c r="H39" s="718"/>
      <c r="I39" s="736">
        <f>IF($K$40&lt;&gt;0,K39/$K$40*100,0)</f>
        <v>32.446846334352564</v>
      </c>
      <c r="J39" s="253" t="s">
        <v>190</v>
      </c>
      <c r="K39" s="252">
        <f>'R-Definição'!E112</f>
        <v>547.56000000000017</v>
      </c>
      <c r="L39" s="253" t="s">
        <v>19</v>
      </c>
      <c r="M39" s="391"/>
      <c r="N39" s="387"/>
      <c r="O39" s="387"/>
      <c r="P39" s="450"/>
      <c r="Q39" s="387"/>
      <c r="R39" s="387"/>
      <c r="S39" s="387"/>
      <c r="T39" s="396"/>
      <c r="U39" s="396"/>
      <c r="V39" s="430"/>
      <c r="W39" s="430"/>
      <c r="X39" s="430"/>
      <c r="Y39" s="430"/>
      <c r="Z39" s="430"/>
      <c r="AA39" s="430"/>
      <c r="AB39" s="430"/>
      <c r="AC39" s="430"/>
      <c r="AD39" s="430"/>
      <c r="AE39" s="430"/>
      <c r="AF39" s="430"/>
      <c r="AG39" s="430"/>
      <c r="AH39" s="430"/>
    </row>
    <row r="40" spans="1:34" ht="18" customHeight="1" x14ac:dyDescent="0.35">
      <c r="A40" s="244"/>
      <c r="B40" s="387"/>
      <c r="C40" s="257"/>
      <c r="D40" s="144" t="s">
        <v>51</v>
      </c>
      <c r="E40" s="144"/>
      <c r="F40" s="144"/>
      <c r="G40" s="144"/>
      <c r="H40" s="255"/>
      <c r="I40" s="783">
        <f>SUM(I29:I39)</f>
        <v>100</v>
      </c>
      <c r="J40" s="472" t="s">
        <v>190</v>
      </c>
      <c r="K40" s="239">
        <f>SUM(K29:K39)</f>
        <v>1687.5600000000002</v>
      </c>
      <c r="L40" s="239" t="s">
        <v>19</v>
      </c>
      <c r="M40" s="449"/>
      <c r="N40" s="387"/>
      <c r="O40" s="387"/>
      <c r="P40" s="400"/>
      <c r="Q40" s="387"/>
      <c r="R40" s="387"/>
      <c r="S40" s="387"/>
      <c r="T40" s="396"/>
      <c r="U40" s="396"/>
      <c r="V40" s="430"/>
      <c r="W40" s="430"/>
      <c r="X40" s="430"/>
      <c r="Y40" s="430"/>
      <c r="Z40" s="430"/>
      <c r="AA40" s="430"/>
      <c r="AB40" s="430"/>
      <c r="AC40" s="430"/>
      <c r="AD40" s="430"/>
      <c r="AE40" s="430"/>
      <c r="AF40" s="430"/>
      <c r="AG40" s="430"/>
      <c r="AH40" s="430"/>
    </row>
    <row r="41" spans="1:34" ht="18" customHeight="1" x14ac:dyDescent="0.35">
      <c r="A41" s="244"/>
      <c r="B41" s="387"/>
      <c r="C41" s="393"/>
      <c r="D41" s="393"/>
      <c r="E41" s="393"/>
      <c r="F41" s="393"/>
      <c r="G41" s="393"/>
      <c r="H41" s="393"/>
      <c r="I41" s="729"/>
      <c r="J41" s="393"/>
      <c r="K41" s="730"/>
      <c r="L41" s="730"/>
      <c r="M41" s="391"/>
      <c r="N41" s="387"/>
      <c r="O41" s="387"/>
      <c r="P41" s="400"/>
      <c r="Q41" s="387"/>
      <c r="R41" s="387"/>
      <c r="S41" s="400"/>
      <c r="T41" s="396"/>
      <c r="U41" s="396"/>
      <c r="V41" s="430"/>
      <c r="W41" s="430"/>
      <c r="X41" s="430"/>
      <c r="Y41" s="430"/>
      <c r="Z41" s="430"/>
      <c r="AA41" s="430"/>
      <c r="AB41" s="430"/>
      <c r="AC41" s="430"/>
      <c r="AD41" s="430"/>
      <c r="AE41" s="430"/>
      <c r="AF41" s="430"/>
      <c r="AG41" s="430"/>
      <c r="AH41" s="430"/>
    </row>
    <row r="42" spans="1:34" ht="18" customHeight="1" x14ac:dyDescent="0.35">
      <c r="A42" s="244"/>
      <c r="B42" s="387"/>
      <c r="C42" s="242" t="s">
        <v>274</v>
      </c>
      <c r="D42" s="464" t="s">
        <v>803</v>
      </c>
      <c r="E42" s="464"/>
      <c r="F42" s="464"/>
      <c r="G42" s="464"/>
      <c r="H42" s="464"/>
      <c r="I42" s="458">
        <f>K42</f>
        <v>30</v>
      </c>
      <c r="J42" s="253" t="s">
        <v>190</v>
      </c>
      <c r="K42" s="254">
        <f>'R-Definição'!F128*100</f>
        <v>30</v>
      </c>
      <c r="L42" s="253" t="s">
        <v>190</v>
      </c>
      <c r="M42" s="401"/>
      <c r="N42" s="387"/>
      <c r="O42" s="387"/>
      <c r="P42" s="387"/>
      <c r="Q42" s="387"/>
      <c r="R42" s="387"/>
      <c r="S42" s="387"/>
      <c r="T42" s="396"/>
      <c r="U42" s="396"/>
      <c r="V42" s="430"/>
      <c r="W42" s="430"/>
      <c r="X42" s="430"/>
      <c r="Y42" s="430"/>
      <c r="Z42" s="430"/>
      <c r="AA42" s="430"/>
      <c r="AB42" s="430"/>
      <c r="AC42" s="430"/>
      <c r="AD42" s="430"/>
      <c r="AE42" s="430"/>
      <c r="AF42" s="430"/>
      <c r="AG42" s="430"/>
      <c r="AH42" s="430"/>
    </row>
    <row r="43" spans="1:34" ht="18" customHeight="1" x14ac:dyDescent="0.35">
      <c r="A43" s="244"/>
      <c r="B43" s="387"/>
      <c r="C43" s="393"/>
      <c r="D43" s="393"/>
      <c r="E43" s="393"/>
      <c r="F43" s="393"/>
      <c r="G43" s="393"/>
      <c r="H43" s="393"/>
      <c r="I43" s="394"/>
      <c r="J43" s="393"/>
      <c r="K43" s="393"/>
      <c r="L43" s="393"/>
      <c r="M43" s="387"/>
      <c r="N43" s="387"/>
      <c r="O43" s="387"/>
      <c r="P43" s="387"/>
      <c r="Q43" s="387"/>
      <c r="R43" s="387"/>
      <c r="S43" s="387"/>
      <c r="T43" s="396"/>
      <c r="U43" s="396"/>
      <c r="V43" s="430"/>
      <c r="W43" s="430"/>
      <c r="X43" s="430"/>
      <c r="Y43" s="430"/>
      <c r="Z43" s="430"/>
      <c r="AA43" s="430"/>
      <c r="AB43" s="430"/>
      <c r="AC43" s="430"/>
      <c r="AD43" s="430"/>
      <c r="AE43" s="430"/>
      <c r="AF43" s="430"/>
      <c r="AG43" s="430"/>
      <c r="AH43" s="430"/>
    </row>
    <row r="44" spans="1:34" ht="18" customHeight="1" x14ac:dyDescent="0.35">
      <c r="A44" s="244"/>
      <c r="B44" s="387"/>
      <c r="C44" s="193" t="s">
        <v>818</v>
      </c>
      <c r="D44" s="256"/>
      <c r="E44" s="724"/>
      <c r="F44" s="724"/>
      <c r="G44" s="724"/>
      <c r="H44" s="724"/>
      <c r="I44" s="472"/>
      <c r="J44" s="256"/>
      <c r="K44" s="256"/>
      <c r="L44" s="256"/>
      <c r="M44" s="387"/>
      <c r="N44" s="387"/>
      <c r="O44" s="387"/>
      <c r="P44" s="387"/>
      <c r="Q44" s="387"/>
      <c r="R44" s="387"/>
      <c r="S44" s="387"/>
      <c r="T44" s="396"/>
      <c r="U44" s="396"/>
      <c r="V44" s="430"/>
      <c r="W44" s="430"/>
      <c r="X44" s="430"/>
      <c r="Y44" s="430"/>
      <c r="Z44" s="430"/>
      <c r="AA44" s="430"/>
      <c r="AB44" s="430"/>
      <c r="AC44" s="430"/>
      <c r="AD44" s="430"/>
      <c r="AE44" s="430"/>
      <c r="AF44" s="430"/>
      <c r="AG44" s="430"/>
      <c r="AH44" s="430"/>
    </row>
    <row r="45" spans="1:34" ht="18" customHeight="1" x14ac:dyDescent="0.35">
      <c r="A45" s="244"/>
      <c r="B45" s="387"/>
      <c r="C45" s="242" t="s">
        <v>795</v>
      </c>
      <c r="D45" s="775" t="s">
        <v>276</v>
      </c>
      <c r="E45" s="763"/>
      <c r="F45" s="653"/>
      <c r="G45" s="653"/>
      <c r="H45" s="718"/>
      <c r="I45" s="736">
        <f t="shared" ref="I45:I48" si="1">K45</f>
        <v>0</v>
      </c>
      <c r="J45" s="253" t="s">
        <v>190</v>
      </c>
      <c r="K45" s="254">
        <f>IF('R-Definição'!J119=100,'R-Definição'!J119,0)</f>
        <v>0</v>
      </c>
      <c r="L45" s="253" t="s">
        <v>190</v>
      </c>
      <c r="M45" s="401"/>
      <c r="N45" s="387"/>
      <c r="O45" s="387"/>
      <c r="P45" s="387"/>
      <c r="Q45" s="387"/>
      <c r="R45" s="387"/>
      <c r="S45" s="387"/>
      <c r="T45" s="396"/>
      <c r="U45" s="396"/>
      <c r="V45" s="430"/>
      <c r="W45" s="430"/>
      <c r="X45" s="430"/>
      <c r="Y45" s="430"/>
      <c r="Z45" s="430"/>
      <c r="AA45" s="430"/>
      <c r="AB45" s="430"/>
      <c r="AC45" s="430"/>
      <c r="AD45" s="430"/>
      <c r="AE45" s="430"/>
      <c r="AF45" s="430"/>
      <c r="AG45" s="430"/>
      <c r="AH45" s="430"/>
    </row>
    <row r="46" spans="1:34" ht="18" customHeight="1" x14ac:dyDescent="0.35">
      <c r="A46" s="244"/>
      <c r="B46" s="387"/>
      <c r="C46" s="231" t="s">
        <v>275</v>
      </c>
      <c r="D46" s="740" t="s">
        <v>278</v>
      </c>
      <c r="E46" s="521"/>
      <c r="F46" s="521"/>
      <c r="G46" s="521"/>
      <c r="H46" s="590"/>
      <c r="I46" s="736">
        <f t="shared" si="1"/>
        <v>0</v>
      </c>
      <c r="J46" s="253" t="s">
        <v>190</v>
      </c>
      <c r="K46" s="254">
        <f>IF(K45&lt;&gt;100,'R-Definição'!J120,0)</f>
        <v>0</v>
      </c>
      <c r="L46" s="253" t="s">
        <v>190</v>
      </c>
      <c r="M46" s="391"/>
      <c r="N46" s="387"/>
      <c r="O46" s="387"/>
      <c r="P46" s="387"/>
      <c r="Q46" s="387"/>
      <c r="R46" s="387"/>
      <c r="S46" s="387"/>
      <c r="T46" s="396"/>
      <c r="U46" s="396"/>
      <c r="V46" s="430"/>
      <c r="W46" s="430"/>
      <c r="X46" s="430"/>
      <c r="Y46" s="430"/>
      <c r="Z46" s="430"/>
      <c r="AA46" s="430"/>
      <c r="AB46" s="430"/>
      <c r="AC46" s="430"/>
      <c r="AD46" s="430"/>
      <c r="AE46" s="430"/>
      <c r="AF46" s="430"/>
      <c r="AG46" s="430"/>
      <c r="AH46" s="430"/>
    </row>
    <row r="47" spans="1:34" ht="18" customHeight="1" x14ac:dyDescent="0.35">
      <c r="A47" s="244"/>
      <c r="B47" s="387"/>
      <c r="C47" s="231" t="s">
        <v>277</v>
      </c>
      <c r="D47" s="775" t="s">
        <v>229</v>
      </c>
      <c r="E47" s="653"/>
      <c r="F47" s="653"/>
      <c r="G47" s="653"/>
      <c r="H47" s="718"/>
      <c r="I47" s="736">
        <f t="shared" si="1"/>
        <v>0</v>
      </c>
      <c r="J47" s="253" t="s">
        <v>190</v>
      </c>
      <c r="K47" s="254">
        <f>IF(AND(K45&lt;&gt;100,'R-Definição'!J123="Sim"),'R-Definição'!J121,0)</f>
        <v>0</v>
      </c>
      <c r="L47" s="253" t="s">
        <v>190</v>
      </c>
      <c r="M47" s="391"/>
      <c r="N47" s="387"/>
      <c r="O47" s="387"/>
      <c r="P47" s="387"/>
      <c r="Q47" s="387"/>
      <c r="R47" s="387"/>
      <c r="S47" s="387"/>
      <c r="T47" s="396"/>
      <c r="U47" s="396"/>
      <c r="V47" s="430"/>
      <c r="W47" s="430"/>
      <c r="X47" s="430"/>
      <c r="Y47" s="430"/>
      <c r="Z47" s="430"/>
      <c r="AA47" s="430"/>
      <c r="AB47" s="430"/>
      <c r="AC47" s="430"/>
      <c r="AD47" s="430"/>
      <c r="AE47" s="430"/>
      <c r="AF47" s="430"/>
      <c r="AG47" s="430"/>
      <c r="AH47" s="430"/>
    </row>
    <row r="48" spans="1:34" ht="18" customHeight="1" x14ac:dyDescent="0.35">
      <c r="A48" s="244"/>
      <c r="B48" s="387"/>
      <c r="C48" s="231" t="s">
        <v>279</v>
      </c>
      <c r="D48" s="740" t="s">
        <v>231</v>
      </c>
      <c r="E48" s="521"/>
      <c r="F48" s="521"/>
      <c r="G48" s="521"/>
      <c r="H48" s="590"/>
      <c r="I48" s="736">
        <f t="shared" si="1"/>
        <v>100</v>
      </c>
      <c r="J48" s="253" t="s">
        <v>190</v>
      </c>
      <c r="K48" s="254">
        <f>IF(AND(K45&lt;&gt;100,'R-Definição'!J124="Sim"),'R-Definição'!J121,0)</f>
        <v>100</v>
      </c>
      <c r="L48" s="253" t="s">
        <v>190</v>
      </c>
      <c r="M48" s="401"/>
      <c r="N48" s="387"/>
      <c r="O48" s="387"/>
      <c r="P48" s="387"/>
      <c r="Q48" s="387"/>
      <c r="R48" s="387"/>
      <c r="S48" s="387"/>
      <c r="T48" s="396"/>
      <c r="U48" s="396"/>
      <c r="V48" s="430"/>
      <c r="W48" s="430"/>
      <c r="X48" s="430"/>
      <c r="Y48" s="430"/>
      <c r="Z48" s="430"/>
      <c r="AA48" s="430"/>
      <c r="AB48" s="430"/>
      <c r="AC48" s="430"/>
      <c r="AD48" s="430"/>
      <c r="AE48" s="430"/>
      <c r="AF48" s="430"/>
      <c r="AG48" s="430"/>
      <c r="AH48" s="430"/>
    </row>
    <row r="49" spans="1:34" s="446" customFormat="1" ht="18" customHeight="1" x14ac:dyDescent="0.35">
      <c r="A49" s="244"/>
      <c r="B49" s="387"/>
      <c r="C49" s="609"/>
      <c r="D49" s="599"/>
      <c r="E49" s="393"/>
      <c r="F49" s="393"/>
      <c r="G49" s="393"/>
      <c r="H49" s="393"/>
      <c r="I49" s="734"/>
      <c r="J49" s="393"/>
      <c r="K49" s="729"/>
      <c r="L49" s="393"/>
      <c r="M49" s="401"/>
      <c r="N49" s="387"/>
      <c r="O49" s="387"/>
      <c r="P49" s="387"/>
      <c r="Q49" s="387"/>
      <c r="R49" s="387"/>
      <c r="S49" s="387"/>
      <c r="T49" s="396"/>
      <c r="U49" s="396"/>
      <c r="V49" s="430"/>
      <c r="W49" s="430"/>
      <c r="X49" s="430"/>
      <c r="Y49" s="430"/>
      <c r="Z49" s="430"/>
      <c r="AA49" s="430"/>
      <c r="AB49" s="430"/>
      <c r="AC49" s="430"/>
      <c r="AD49" s="430"/>
      <c r="AE49" s="430"/>
      <c r="AF49" s="430"/>
      <c r="AG49" s="430"/>
      <c r="AH49" s="430"/>
    </row>
    <row r="50" spans="1:34" s="446" customFormat="1" ht="18" customHeight="1" x14ac:dyDescent="0.35">
      <c r="A50" s="244"/>
      <c r="B50" s="387"/>
      <c r="C50" s="751" t="s">
        <v>821</v>
      </c>
      <c r="D50" s="752"/>
      <c r="E50" s="752"/>
      <c r="F50" s="752"/>
      <c r="G50" s="752"/>
      <c r="H50" s="753"/>
      <c r="I50" s="720"/>
      <c r="J50" s="754"/>
      <c r="K50" s="755"/>
      <c r="L50" s="756"/>
      <c r="M50" s="401"/>
      <c r="N50" s="387"/>
      <c r="O50" s="387"/>
      <c r="P50" s="387"/>
      <c r="Q50" s="387"/>
      <c r="R50" s="387"/>
      <c r="S50" s="387"/>
      <c r="T50" s="396"/>
      <c r="U50" s="396"/>
      <c r="V50" s="430"/>
      <c r="W50" s="430"/>
      <c r="X50" s="430"/>
      <c r="Y50" s="430"/>
      <c r="Z50" s="430"/>
      <c r="AA50" s="430"/>
      <c r="AB50" s="430"/>
      <c r="AC50" s="430"/>
      <c r="AD50" s="430"/>
      <c r="AE50" s="430"/>
      <c r="AF50" s="430"/>
      <c r="AG50" s="430"/>
      <c r="AH50" s="430"/>
    </row>
    <row r="51" spans="1:34" s="448" customFormat="1" ht="18" customHeight="1" x14ac:dyDescent="0.35">
      <c r="A51" s="244"/>
      <c r="B51" s="387"/>
      <c r="C51" s="751"/>
      <c r="D51" s="752" t="s">
        <v>822</v>
      </c>
      <c r="E51" s="746"/>
      <c r="F51" s="746"/>
      <c r="G51" s="746"/>
      <c r="H51" s="747"/>
      <c r="I51" s="410"/>
      <c r="J51" s="748"/>
      <c r="K51" s="755"/>
      <c r="L51" s="756"/>
      <c r="M51" s="401"/>
      <c r="N51" s="387"/>
      <c r="O51" s="387"/>
      <c r="P51" s="387"/>
      <c r="Q51" s="387"/>
      <c r="R51" s="387"/>
      <c r="S51" s="387"/>
      <c r="T51" s="396"/>
      <c r="U51" s="396"/>
      <c r="V51" s="430"/>
      <c r="W51" s="430"/>
      <c r="X51" s="430"/>
      <c r="Y51" s="430"/>
      <c r="Z51" s="430"/>
      <c r="AA51" s="430"/>
      <c r="AB51" s="430"/>
      <c r="AC51" s="430"/>
      <c r="AD51" s="430"/>
      <c r="AE51" s="430"/>
      <c r="AF51" s="430"/>
      <c r="AG51" s="430"/>
      <c r="AH51" s="430"/>
    </row>
    <row r="52" spans="1:34" s="446" customFormat="1" ht="18" customHeight="1" x14ac:dyDescent="0.35">
      <c r="A52" s="244"/>
      <c r="B52" s="387"/>
      <c r="C52" s="763"/>
      <c r="D52" s="778" t="s">
        <v>258</v>
      </c>
      <c r="E52" s="770" t="s">
        <v>229</v>
      </c>
      <c r="F52" s="759"/>
      <c r="G52" s="760"/>
      <c r="H52" s="761"/>
      <c r="I52" s="727">
        <f>IF(K52="Sim",100,0)</f>
        <v>100</v>
      </c>
      <c r="J52" s="801" t="s">
        <v>190</v>
      </c>
      <c r="K52" s="723" t="str">
        <f>'R-Definição'!J64</f>
        <v>Sim</v>
      </c>
      <c r="L52" s="718"/>
      <c r="M52" s="401"/>
      <c r="N52" s="387"/>
      <c r="O52" s="387"/>
      <c r="P52" s="387"/>
      <c r="Q52" s="387"/>
      <c r="R52" s="387"/>
      <c r="S52" s="387"/>
      <c r="T52" s="396"/>
      <c r="U52" s="396"/>
      <c r="V52" s="430"/>
      <c r="W52" s="430"/>
      <c r="X52" s="430"/>
      <c r="Y52" s="430"/>
      <c r="Z52" s="430"/>
      <c r="AA52" s="430"/>
      <c r="AB52" s="430"/>
      <c r="AC52" s="430"/>
      <c r="AD52" s="430"/>
      <c r="AE52" s="430"/>
      <c r="AF52" s="430"/>
      <c r="AG52" s="430"/>
      <c r="AH52" s="430"/>
    </row>
    <row r="53" spans="1:34" s="446" customFormat="1" ht="18" customHeight="1" x14ac:dyDescent="0.35">
      <c r="A53" s="244"/>
      <c r="B53" s="387"/>
      <c r="C53" s="620"/>
      <c r="D53" s="777" t="s">
        <v>260</v>
      </c>
      <c r="E53" s="733" t="s">
        <v>231</v>
      </c>
      <c r="F53" s="721"/>
      <c r="G53" s="599"/>
      <c r="H53" s="745"/>
      <c r="I53" s="714">
        <f>IF(K52="Sim",0,100)</f>
        <v>0</v>
      </c>
      <c r="J53" s="723" t="s">
        <v>190</v>
      </c>
      <c r="K53" s="802"/>
      <c r="L53" s="718"/>
      <c r="M53" s="401"/>
      <c r="N53" s="387"/>
      <c r="O53" s="387"/>
      <c r="P53" s="387"/>
      <c r="Q53" s="387"/>
      <c r="R53" s="387"/>
      <c r="S53" s="387"/>
      <c r="T53" s="396"/>
      <c r="U53" s="396"/>
      <c r="V53" s="430"/>
      <c r="W53" s="430"/>
      <c r="X53" s="430"/>
      <c r="Y53" s="430"/>
      <c r="Z53" s="430"/>
      <c r="AA53" s="430"/>
      <c r="AB53" s="430"/>
      <c r="AC53" s="430"/>
      <c r="AD53" s="430"/>
      <c r="AE53" s="430"/>
      <c r="AF53" s="430"/>
      <c r="AG53" s="430"/>
      <c r="AH53" s="430"/>
    </row>
    <row r="54" spans="1:34" s="448" customFormat="1" ht="18" customHeight="1" x14ac:dyDescent="0.35">
      <c r="A54" s="244"/>
      <c r="B54" s="387"/>
      <c r="C54" s="779"/>
      <c r="D54" s="453" t="s">
        <v>823</v>
      </c>
      <c r="E54" s="410"/>
      <c r="F54" s="720"/>
      <c r="G54" s="720"/>
      <c r="H54" s="772"/>
      <c r="I54" s="410"/>
      <c r="J54" s="748"/>
      <c r="K54" s="749"/>
      <c r="L54" s="750"/>
      <c r="M54" s="401"/>
      <c r="N54" s="387"/>
      <c r="O54" s="387"/>
      <c r="P54" s="387"/>
      <c r="Q54" s="387"/>
      <c r="R54" s="387"/>
      <c r="S54" s="387"/>
      <c r="T54" s="396"/>
      <c r="U54" s="396"/>
      <c r="V54" s="430"/>
      <c r="W54" s="430"/>
      <c r="X54" s="430"/>
      <c r="Y54" s="430"/>
      <c r="Z54" s="430"/>
      <c r="AA54" s="430"/>
      <c r="AB54" s="430"/>
      <c r="AC54" s="430"/>
      <c r="AD54" s="430"/>
      <c r="AE54" s="430"/>
      <c r="AF54" s="430"/>
      <c r="AG54" s="430"/>
      <c r="AH54" s="430"/>
    </row>
    <row r="55" spans="1:34" s="448" customFormat="1" ht="18" customHeight="1" x14ac:dyDescent="0.35">
      <c r="A55" s="244"/>
      <c r="B55" s="387"/>
      <c r="C55" s="763"/>
      <c r="D55" s="719" t="s">
        <v>824</v>
      </c>
      <c r="E55" s="770" t="s">
        <v>229</v>
      </c>
      <c r="F55" s="773"/>
      <c r="G55" s="522"/>
      <c r="H55" s="744"/>
      <c r="I55" s="771">
        <f>IF(K55="Sim",100,0)</f>
        <v>100</v>
      </c>
      <c r="J55" s="801" t="s">
        <v>190</v>
      </c>
      <c r="K55" s="764" t="str">
        <f>'R-Definição'!J64</f>
        <v>Sim</v>
      </c>
      <c r="L55" s="765"/>
      <c r="M55" s="401"/>
      <c r="N55" s="387"/>
      <c r="O55" s="387"/>
      <c r="P55" s="387"/>
      <c r="Q55" s="387"/>
      <c r="R55" s="387"/>
      <c r="S55" s="387"/>
      <c r="T55" s="396"/>
      <c r="U55" s="396"/>
      <c r="V55" s="430"/>
      <c r="W55" s="430"/>
      <c r="X55" s="430"/>
      <c r="Y55" s="430"/>
      <c r="Z55" s="430"/>
      <c r="AA55" s="430"/>
      <c r="AB55" s="430"/>
      <c r="AC55" s="430"/>
      <c r="AD55" s="430"/>
      <c r="AE55" s="430"/>
      <c r="AF55" s="430"/>
      <c r="AG55" s="430"/>
      <c r="AH55" s="430"/>
    </row>
    <row r="56" spans="1:34" s="448" customFormat="1" ht="18" customHeight="1" x14ac:dyDescent="0.35">
      <c r="A56" s="244"/>
      <c r="B56" s="387"/>
      <c r="C56" s="620"/>
      <c r="D56" s="475" t="s">
        <v>825</v>
      </c>
      <c r="E56" s="136" t="s">
        <v>231</v>
      </c>
      <c r="F56" s="774"/>
      <c r="G56" s="760"/>
      <c r="H56" s="761"/>
      <c r="I56" s="736">
        <f>IF(K55="Sim",0,100)</f>
        <v>0</v>
      </c>
      <c r="J56" s="459" t="s">
        <v>190</v>
      </c>
      <c r="K56" s="459"/>
      <c r="L56" s="590"/>
      <c r="M56" s="401"/>
      <c r="N56" s="387"/>
      <c r="O56" s="387"/>
      <c r="P56" s="387"/>
      <c r="Q56" s="387"/>
      <c r="R56" s="387"/>
      <c r="S56" s="387"/>
      <c r="T56" s="396"/>
      <c r="U56" s="396"/>
      <c r="V56" s="430"/>
      <c r="W56" s="430"/>
      <c r="X56" s="430"/>
      <c r="Y56" s="430"/>
      <c r="Z56" s="430"/>
      <c r="AA56" s="430"/>
      <c r="AB56" s="430"/>
      <c r="AC56" s="430"/>
      <c r="AD56" s="430"/>
      <c r="AE56" s="430"/>
      <c r="AF56" s="430"/>
      <c r="AG56" s="430"/>
      <c r="AH56" s="430"/>
    </row>
    <row r="57" spans="1:34" ht="18" customHeight="1" x14ac:dyDescent="0.35">
      <c r="A57" s="244"/>
      <c r="B57" s="387"/>
      <c r="C57" s="393"/>
      <c r="D57" s="393"/>
      <c r="E57" s="393"/>
      <c r="F57" s="393"/>
      <c r="G57" s="393"/>
      <c r="H57" s="393"/>
      <c r="I57" s="394"/>
      <c r="J57" s="393"/>
      <c r="K57" s="729"/>
      <c r="L57" s="393"/>
      <c r="M57" s="387"/>
      <c r="N57" s="387"/>
      <c r="O57" s="387"/>
      <c r="P57" s="387"/>
      <c r="Q57" s="387"/>
      <c r="R57" s="387"/>
      <c r="S57" s="387"/>
      <c r="T57" s="396"/>
      <c r="U57" s="396"/>
      <c r="V57" s="430"/>
      <c r="W57" s="430"/>
      <c r="X57" s="430"/>
      <c r="Y57" s="430"/>
      <c r="Z57" s="430"/>
      <c r="AA57" s="430"/>
      <c r="AB57" s="430"/>
      <c r="AC57" s="430"/>
      <c r="AD57" s="430"/>
      <c r="AE57" s="430"/>
      <c r="AF57" s="430"/>
      <c r="AG57" s="430"/>
      <c r="AH57" s="430"/>
    </row>
    <row r="58" spans="1:34" ht="18" customHeight="1" x14ac:dyDescent="0.35">
      <c r="A58" s="244"/>
      <c r="B58" s="387"/>
      <c r="C58" s="192" t="s">
        <v>817</v>
      </c>
      <c r="D58" s="144"/>
      <c r="E58" s="144"/>
      <c r="F58" s="144"/>
      <c r="G58" s="144"/>
      <c r="H58" s="144"/>
      <c r="I58" s="384"/>
      <c r="J58" s="144"/>
      <c r="K58" s="384"/>
      <c r="L58" s="255"/>
      <c r="M58" s="387"/>
      <c r="N58" s="387"/>
      <c r="O58" s="387"/>
      <c r="P58" s="387"/>
      <c r="Q58" s="387"/>
      <c r="R58" s="387"/>
      <c r="S58" s="387"/>
      <c r="T58" s="396"/>
      <c r="U58" s="396"/>
      <c r="V58" s="430"/>
      <c r="W58" s="430"/>
      <c r="X58" s="430"/>
      <c r="Y58" s="430"/>
      <c r="Z58" s="430"/>
      <c r="AA58" s="430"/>
      <c r="AB58" s="430"/>
      <c r="AC58" s="430"/>
      <c r="AD58" s="430"/>
      <c r="AE58" s="430"/>
      <c r="AF58" s="430"/>
      <c r="AG58" s="430"/>
      <c r="AH58" s="430"/>
    </row>
    <row r="59" spans="1:34" ht="18" customHeight="1" x14ac:dyDescent="0.35">
      <c r="A59" s="244"/>
      <c r="B59" s="387"/>
      <c r="C59" s="757" t="s">
        <v>796</v>
      </c>
      <c r="D59" s="758" t="s">
        <v>229</v>
      </c>
      <c r="E59" s="595"/>
      <c r="F59" s="595"/>
      <c r="G59" s="595"/>
      <c r="H59" s="594"/>
      <c r="I59" s="727">
        <f>K59</f>
        <v>21.6</v>
      </c>
      <c r="J59" s="762" t="s">
        <v>190</v>
      </c>
      <c r="K59" s="767">
        <f>'R-Avançado'!F28</f>
        <v>21.6</v>
      </c>
      <c r="L59" s="762" t="s">
        <v>190</v>
      </c>
      <c r="M59" s="391"/>
      <c r="N59" s="387"/>
      <c r="O59" s="387"/>
      <c r="P59" s="387"/>
      <c r="Q59" s="387"/>
      <c r="R59" s="387"/>
      <c r="S59" s="387"/>
      <c r="T59" s="396"/>
      <c r="U59" s="396"/>
      <c r="V59" s="430"/>
      <c r="W59" s="430"/>
      <c r="X59" s="430"/>
      <c r="Y59" s="430"/>
      <c r="Z59" s="430"/>
      <c r="AA59" s="430"/>
      <c r="AB59" s="430"/>
      <c r="AC59" s="430"/>
      <c r="AD59" s="430"/>
      <c r="AE59" s="430"/>
      <c r="AF59" s="430"/>
      <c r="AG59" s="430"/>
      <c r="AH59" s="430"/>
    </row>
    <row r="60" spans="1:34" ht="18" customHeight="1" x14ac:dyDescent="0.35">
      <c r="A60" s="244"/>
      <c r="B60" s="387"/>
      <c r="C60" s="242" t="s">
        <v>797</v>
      </c>
      <c r="D60" s="740" t="s">
        <v>280</v>
      </c>
      <c r="E60" s="521"/>
      <c r="F60" s="521"/>
      <c r="G60" s="521"/>
      <c r="H60" s="590"/>
      <c r="I60" s="458">
        <v>0</v>
      </c>
      <c r="J60" s="253" t="s">
        <v>190</v>
      </c>
      <c r="K60" s="254">
        <v>0</v>
      </c>
      <c r="L60" s="253" t="s">
        <v>190</v>
      </c>
      <c r="M60" s="401"/>
      <c r="N60" s="387"/>
      <c r="O60" s="387"/>
      <c r="P60" s="387"/>
      <c r="Q60" s="387"/>
      <c r="R60" s="387"/>
      <c r="S60" s="387"/>
      <c r="T60" s="396"/>
      <c r="U60" s="396"/>
      <c r="V60" s="430"/>
      <c r="W60" s="430"/>
      <c r="X60" s="430"/>
      <c r="Y60" s="430"/>
      <c r="Z60" s="430"/>
      <c r="AA60" s="430"/>
      <c r="AB60" s="430"/>
      <c r="AC60" s="430"/>
      <c r="AD60" s="430"/>
      <c r="AE60" s="430"/>
      <c r="AF60" s="430"/>
      <c r="AG60" s="430"/>
      <c r="AH60" s="430"/>
    </row>
    <row r="61" spans="1:34" ht="18" customHeight="1" x14ac:dyDescent="0.35">
      <c r="A61" s="393"/>
      <c r="B61" s="387"/>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430"/>
      <c r="AE61" s="430"/>
      <c r="AF61" s="430"/>
      <c r="AG61" s="430"/>
      <c r="AH61" s="430"/>
    </row>
    <row r="62" spans="1:34" ht="14.25" customHeight="1" x14ac:dyDescent="0.35">
      <c r="A62" s="738"/>
      <c r="B62" s="387"/>
      <c r="C62" s="387"/>
      <c r="D62" s="387"/>
      <c r="E62" s="387"/>
      <c r="F62" s="387"/>
      <c r="G62" s="387"/>
      <c r="H62" s="387"/>
      <c r="I62" s="387"/>
      <c r="J62" s="387"/>
      <c r="K62" s="387"/>
      <c r="L62" s="387"/>
      <c r="M62" s="387"/>
      <c r="N62" s="387"/>
      <c r="O62" s="387"/>
      <c r="P62" s="387"/>
      <c r="Q62" s="387"/>
      <c r="R62" s="387"/>
      <c r="S62" s="387"/>
      <c r="T62" s="387"/>
      <c r="U62" s="387"/>
      <c r="V62" s="387"/>
      <c r="W62" s="387"/>
      <c r="X62" s="387"/>
      <c r="Y62" s="387"/>
      <c r="Z62" s="387"/>
      <c r="AA62" s="387"/>
      <c r="AB62" s="387"/>
      <c r="AC62" s="387"/>
      <c r="AD62" s="430"/>
      <c r="AE62" s="430"/>
      <c r="AF62" s="430"/>
      <c r="AG62" s="430"/>
      <c r="AH62" s="430"/>
    </row>
    <row r="63" spans="1:34" ht="14.25" customHeight="1" x14ac:dyDescent="0.35">
      <c r="A63" s="738"/>
      <c r="B63" s="387"/>
      <c r="C63" s="387"/>
      <c r="D63" s="387"/>
      <c r="E63" s="387"/>
      <c r="F63" s="387"/>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430"/>
      <c r="AE63" s="430"/>
      <c r="AF63" s="430"/>
      <c r="AG63" s="430"/>
      <c r="AH63" s="430"/>
    </row>
    <row r="64" spans="1:34" ht="14.25" customHeight="1" x14ac:dyDescent="0.35">
      <c r="A64" s="2"/>
      <c r="B64" s="387"/>
      <c r="C64" s="387"/>
      <c r="D64" s="387"/>
      <c r="E64" s="387"/>
      <c r="F64" s="387"/>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430"/>
      <c r="AE64" s="430"/>
      <c r="AF64" s="430"/>
      <c r="AG64" s="430"/>
      <c r="AH64" s="430"/>
    </row>
    <row r="65" spans="1:34" ht="14.25" customHeight="1" x14ac:dyDescent="0.35">
      <c r="A65" s="2"/>
      <c r="B65" s="387"/>
      <c r="C65" s="387"/>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430"/>
      <c r="AE65" s="430"/>
      <c r="AF65" s="430"/>
      <c r="AG65" s="430"/>
      <c r="AH65" s="430"/>
    </row>
    <row r="66" spans="1:34" ht="14.25" customHeight="1" x14ac:dyDescent="0.35">
      <c r="A66" s="2"/>
      <c r="B66" s="387"/>
      <c r="C66" s="387"/>
      <c r="D66" s="387"/>
      <c r="E66" s="387"/>
      <c r="F66" s="387"/>
      <c r="G66" s="387"/>
      <c r="H66" s="387"/>
      <c r="I66" s="387"/>
      <c r="J66" s="387"/>
      <c r="K66" s="387"/>
      <c r="L66" s="387"/>
      <c r="M66" s="387"/>
      <c r="N66" s="387"/>
      <c r="O66" s="387"/>
      <c r="P66" s="387"/>
      <c r="Q66" s="387"/>
      <c r="R66" s="387"/>
      <c r="S66" s="387"/>
      <c r="T66" s="387"/>
      <c r="U66" s="387"/>
      <c r="V66" s="387"/>
      <c r="W66" s="387"/>
      <c r="X66" s="387"/>
      <c r="Y66" s="387"/>
      <c r="Z66" s="387"/>
      <c r="AA66" s="387"/>
      <c r="AB66" s="387"/>
      <c r="AC66" s="387"/>
      <c r="AD66" s="430"/>
      <c r="AE66" s="430"/>
      <c r="AF66" s="430"/>
      <c r="AG66" s="430"/>
      <c r="AH66" s="430"/>
    </row>
    <row r="67" spans="1:34" ht="14.25" customHeight="1" x14ac:dyDescent="0.35">
      <c r="A67" s="2"/>
      <c r="B67" s="387"/>
      <c r="C67" s="387"/>
      <c r="D67" s="387"/>
      <c r="E67" s="387"/>
      <c r="F67" s="387"/>
      <c r="G67" s="387"/>
      <c r="H67" s="387"/>
      <c r="I67" s="387"/>
      <c r="J67" s="387"/>
      <c r="K67" s="387"/>
      <c r="L67" s="387"/>
      <c r="M67" s="387"/>
      <c r="N67" s="387"/>
      <c r="O67" s="387"/>
      <c r="P67" s="387"/>
      <c r="Q67" s="387"/>
      <c r="R67" s="387"/>
      <c r="S67" s="387"/>
      <c r="T67" s="387"/>
      <c r="U67" s="387"/>
      <c r="V67" s="387"/>
      <c r="W67" s="387"/>
      <c r="X67" s="387"/>
      <c r="Y67" s="387"/>
      <c r="Z67" s="387"/>
      <c r="AA67" s="387"/>
      <c r="AB67" s="387"/>
      <c r="AC67" s="387"/>
      <c r="AD67" s="430"/>
      <c r="AE67" s="430"/>
      <c r="AF67" s="430"/>
      <c r="AG67" s="430"/>
      <c r="AH67" s="430"/>
    </row>
    <row r="68" spans="1:34" ht="14.25" customHeight="1" x14ac:dyDescent="0.35">
      <c r="A68" s="2"/>
      <c r="B68" s="387"/>
      <c r="C68" s="387"/>
      <c r="D68" s="387"/>
      <c r="E68" s="387"/>
      <c r="F68" s="387"/>
      <c r="G68" s="387"/>
      <c r="H68" s="387"/>
      <c r="I68" s="387"/>
      <c r="J68" s="387"/>
      <c r="K68" s="387"/>
      <c r="L68" s="387"/>
      <c r="M68" s="387"/>
      <c r="N68" s="387"/>
      <c r="O68" s="387"/>
      <c r="P68" s="387"/>
      <c r="Q68" s="387"/>
      <c r="R68" s="387"/>
      <c r="S68" s="387"/>
      <c r="T68" s="387"/>
      <c r="U68" s="387"/>
      <c r="V68" s="387"/>
      <c r="W68" s="387"/>
      <c r="X68" s="387"/>
      <c r="Y68" s="387"/>
      <c r="Z68" s="387"/>
      <c r="AA68" s="387"/>
      <c r="AB68" s="387"/>
      <c r="AC68" s="387"/>
      <c r="AD68" s="430"/>
      <c r="AE68" s="430"/>
      <c r="AF68" s="430"/>
      <c r="AG68" s="430"/>
      <c r="AH68" s="430"/>
    </row>
    <row r="69" spans="1:34" ht="14.25" customHeight="1" x14ac:dyDescent="0.35">
      <c r="A69" s="2"/>
      <c r="B69" s="387"/>
      <c r="C69" s="387"/>
      <c r="D69" s="387"/>
      <c r="E69" s="387"/>
      <c r="F69" s="387"/>
      <c r="G69" s="387"/>
      <c r="H69" s="387"/>
      <c r="I69" s="387"/>
      <c r="J69" s="387"/>
      <c r="K69" s="387"/>
      <c r="L69" s="387"/>
      <c r="M69" s="387"/>
      <c r="N69" s="387"/>
      <c r="O69" s="387"/>
      <c r="P69" s="387"/>
      <c r="Q69" s="387"/>
      <c r="R69" s="387"/>
      <c r="S69" s="387"/>
      <c r="T69" s="387"/>
      <c r="U69" s="387"/>
      <c r="V69" s="387"/>
      <c r="W69" s="387"/>
      <c r="X69" s="387"/>
      <c r="Y69" s="387"/>
      <c r="Z69" s="387"/>
      <c r="AA69" s="387"/>
      <c r="AB69" s="387"/>
      <c r="AC69" s="387"/>
      <c r="AD69" s="430"/>
      <c r="AE69" s="430"/>
      <c r="AF69" s="430"/>
      <c r="AG69" s="430"/>
      <c r="AH69" s="430"/>
    </row>
    <row r="70" spans="1:34" ht="14.25" customHeight="1" x14ac:dyDescent="0.35">
      <c r="A70" s="2"/>
      <c r="B70" s="387"/>
      <c r="C70" s="387"/>
      <c r="D70" s="387"/>
      <c r="E70" s="387"/>
      <c r="F70" s="387"/>
      <c r="G70" s="387"/>
      <c r="H70" s="387"/>
      <c r="I70" s="387"/>
      <c r="J70" s="387"/>
      <c r="K70" s="387"/>
      <c r="L70" s="387"/>
      <c r="M70" s="387"/>
      <c r="N70" s="387"/>
      <c r="O70" s="387"/>
      <c r="P70" s="387"/>
      <c r="Q70" s="387"/>
      <c r="R70" s="387"/>
      <c r="S70" s="387"/>
      <c r="T70" s="387"/>
      <c r="U70" s="387"/>
      <c r="V70" s="387"/>
      <c r="W70" s="387"/>
      <c r="X70" s="387"/>
      <c r="Y70" s="387"/>
      <c r="Z70" s="387"/>
      <c r="AA70" s="387"/>
      <c r="AB70" s="387"/>
      <c r="AC70" s="387"/>
      <c r="AD70" s="430"/>
      <c r="AE70" s="430"/>
      <c r="AF70" s="430"/>
      <c r="AG70" s="430"/>
      <c r="AH70" s="430"/>
    </row>
    <row r="71" spans="1:34" ht="14.25" customHeight="1" x14ac:dyDescent="0.35">
      <c r="A71" s="2"/>
      <c r="B71" s="24"/>
      <c r="C71" s="24"/>
      <c r="D71" s="24"/>
      <c r="E71" s="24"/>
      <c r="F71" s="24"/>
      <c r="G71" s="24"/>
      <c r="H71" s="24"/>
      <c r="I71" s="24"/>
      <c r="J71" s="24"/>
      <c r="K71" s="24"/>
      <c r="L71" s="24"/>
      <c r="M71" s="24"/>
      <c r="N71" s="24"/>
      <c r="O71" s="24"/>
      <c r="P71" s="24"/>
      <c r="Q71" s="24"/>
      <c r="R71" s="2"/>
      <c r="S71" s="2"/>
      <c r="T71" s="25"/>
      <c r="U71" s="25"/>
    </row>
    <row r="72" spans="1:34" ht="14.25" customHeight="1" x14ac:dyDescent="0.35">
      <c r="A72" s="2"/>
      <c r="B72" s="24"/>
      <c r="C72" s="24"/>
      <c r="D72" s="24"/>
      <c r="E72" s="24"/>
      <c r="F72" s="24"/>
      <c r="G72" s="24"/>
      <c r="H72" s="24"/>
      <c r="I72" s="24"/>
      <c r="J72" s="24"/>
      <c r="K72" s="24"/>
      <c r="L72" s="24"/>
      <c r="M72" s="24"/>
      <c r="N72" s="24"/>
      <c r="O72" s="24"/>
      <c r="P72" s="24"/>
      <c r="Q72" s="24"/>
      <c r="R72" s="2"/>
      <c r="S72" s="2"/>
      <c r="T72" s="25"/>
      <c r="U72" s="25"/>
    </row>
    <row r="73" spans="1:34" ht="14.25" customHeight="1" x14ac:dyDescent="0.35">
      <c r="A73" s="2"/>
      <c r="B73" s="24"/>
      <c r="C73" s="24"/>
      <c r="D73" s="24"/>
      <c r="E73" s="24"/>
      <c r="F73" s="24"/>
      <c r="G73" s="24"/>
      <c r="H73" s="24"/>
      <c r="I73" s="24"/>
      <c r="J73" s="24"/>
      <c r="K73" s="24"/>
      <c r="L73" s="24"/>
      <c r="M73" s="24"/>
      <c r="N73" s="24"/>
      <c r="O73" s="24"/>
      <c r="P73" s="24"/>
      <c r="Q73" s="24"/>
      <c r="R73" s="2"/>
      <c r="S73" s="2"/>
      <c r="T73" s="25"/>
      <c r="U73" s="25"/>
    </row>
    <row r="74" spans="1:34" ht="14.25" customHeight="1" x14ac:dyDescent="0.35">
      <c r="A74" s="2"/>
      <c r="B74" s="24"/>
      <c r="C74" s="24"/>
      <c r="D74" s="24"/>
      <c r="E74" s="24"/>
      <c r="F74" s="24"/>
      <c r="G74" s="24"/>
      <c r="H74" s="24"/>
      <c r="I74" s="24"/>
      <c r="J74" s="24"/>
      <c r="K74" s="24"/>
      <c r="L74" s="24"/>
      <c r="M74" s="24"/>
      <c r="N74" s="24"/>
      <c r="O74" s="24"/>
      <c r="P74" s="24"/>
      <c r="Q74" s="24"/>
      <c r="R74" s="2"/>
      <c r="S74" s="2"/>
      <c r="T74" s="25"/>
      <c r="U74" s="25"/>
    </row>
    <row r="75" spans="1:34" ht="14.15" customHeight="1" x14ac:dyDescent="0.35">
      <c r="A75" s="2"/>
      <c r="B75" s="24"/>
      <c r="C75" s="24"/>
      <c r="D75" s="24"/>
      <c r="E75" s="24"/>
      <c r="F75" s="24"/>
      <c r="G75" s="24"/>
      <c r="H75" s="24"/>
      <c r="I75" s="24"/>
      <c r="J75" s="24"/>
      <c r="K75" s="24"/>
      <c r="L75" s="24"/>
      <c r="M75" s="24"/>
      <c r="N75" s="24"/>
      <c r="O75" s="24"/>
      <c r="P75" s="24"/>
      <c r="Q75" s="24"/>
      <c r="R75" s="2"/>
      <c r="S75" s="2"/>
      <c r="T75" s="25"/>
      <c r="U75" s="25"/>
    </row>
    <row r="76" spans="1:34" ht="14.25" customHeight="1" x14ac:dyDescent="0.35">
      <c r="A76" s="2"/>
      <c r="B76" s="24"/>
      <c r="C76" s="24"/>
      <c r="D76" s="24"/>
      <c r="E76" s="24"/>
      <c r="F76" s="24"/>
      <c r="G76" s="24"/>
      <c r="H76" s="24"/>
      <c r="I76" s="24"/>
      <c r="J76" s="24"/>
      <c r="K76" s="24"/>
      <c r="L76" s="24"/>
      <c r="M76" s="24"/>
      <c r="N76" s="24"/>
      <c r="O76" s="24"/>
      <c r="P76" s="24"/>
      <c r="Q76" s="24"/>
      <c r="R76" s="2"/>
      <c r="S76" s="2"/>
      <c r="T76" s="25"/>
      <c r="U76" s="25"/>
    </row>
    <row r="77" spans="1:34" ht="14.25" customHeight="1" x14ac:dyDescent="0.35">
      <c r="A77" s="2"/>
      <c r="B77" s="24"/>
      <c r="C77" s="24"/>
      <c r="D77" s="24"/>
      <c r="E77" s="24"/>
      <c r="F77" s="24"/>
      <c r="G77" s="24"/>
      <c r="H77" s="24"/>
      <c r="I77" s="24"/>
      <c r="J77" s="24"/>
      <c r="K77" s="24"/>
      <c r="L77" s="24"/>
      <c r="M77" s="24"/>
      <c r="N77" s="24"/>
      <c r="O77" s="24"/>
      <c r="P77" s="24"/>
      <c r="Q77" s="24"/>
      <c r="R77" s="2"/>
      <c r="S77" s="2"/>
      <c r="T77" s="25"/>
      <c r="U77" s="25"/>
    </row>
    <row r="78" spans="1:34" ht="14.25" customHeight="1" x14ac:dyDescent="0.35">
      <c r="A78" s="2"/>
      <c r="B78" s="24"/>
      <c r="C78" s="24"/>
      <c r="D78" s="24"/>
      <c r="E78" s="24"/>
      <c r="F78" s="24"/>
      <c r="G78" s="24"/>
      <c r="H78" s="24"/>
      <c r="I78" s="24"/>
      <c r="J78" s="24"/>
      <c r="K78" s="24"/>
      <c r="L78" s="24"/>
      <c r="M78" s="24"/>
      <c r="N78" s="24"/>
      <c r="O78" s="24"/>
      <c r="P78" s="24"/>
      <c r="Q78" s="24"/>
      <c r="R78" s="2"/>
      <c r="S78" s="2"/>
      <c r="T78" s="25"/>
      <c r="U78" s="25"/>
    </row>
    <row r="79" spans="1:34" ht="14.25" customHeight="1" x14ac:dyDescent="0.35">
      <c r="A79" s="2"/>
      <c r="B79" s="24"/>
      <c r="C79" s="24"/>
      <c r="D79" s="24"/>
      <c r="E79" s="24"/>
      <c r="F79" s="24"/>
      <c r="G79" s="24"/>
      <c r="H79" s="24"/>
      <c r="I79" s="24"/>
      <c r="J79" s="24"/>
      <c r="K79" s="24"/>
      <c r="L79" s="24"/>
      <c r="M79" s="24"/>
      <c r="N79" s="24"/>
      <c r="O79" s="24"/>
      <c r="P79" s="24"/>
      <c r="Q79" s="24"/>
      <c r="R79" s="2"/>
      <c r="S79" s="2"/>
      <c r="T79" s="25"/>
      <c r="U79" s="25"/>
    </row>
    <row r="80" spans="1:34" ht="14.25" customHeight="1" x14ac:dyDescent="0.35">
      <c r="A80" s="2"/>
      <c r="B80" s="24"/>
      <c r="C80" s="24"/>
      <c r="D80" s="24"/>
      <c r="E80" s="24"/>
      <c r="F80" s="24"/>
      <c r="G80" s="24"/>
      <c r="H80" s="24"/>
      <c r="I80" s="24"/>
      <c r="J80" s="24"/>
      <c r="K80" s="24"/>
      <c r="L80" s="24"/>
      <c r="M80" s="24"/>
      <c r="N80" s="24"/>
      <c r="O80" s="24"/>
      <c r="P80" s="24"/>
      <c r="Q80" s="24"/>
      <c r="R80" s="2"/>
      <c r="S80" s="2"/>
      <c r="T80" s="25"/>
      <c r="U80" s="25"/>
    </row>
    <row r="81" spans="1:21" ht="14.25" customHeight="1" x14ac:dyDescent="0.35">
      <c r="A81" s="2"/>
      <c r="B81" s="24"/>
      <c r="C81" s="24"/>
      <c r="D81" s="24"/>
      <c r="E81" s="24"/>
      <c r="F81" s="24"/>
      <c r="G81" s="24"/>
      <c r="H81" s="24"/>
      <c r="I81" s="24"/>
      <c r="J81" s="24"/>
      <c r="K81" s="24"/>
      <c r="L81" s="24"/>
      <c r="M81" s="24"/>
      <c r="N81" s="24"/>
      <c r="O81" s="24"/>
      <c r="P81" s="24"/>
      <c r="Q81" s="24"/>
      <c r="R81" s="2"/>
      <c r="S81" s="2"/>
      <c r="T81" s="25"/>
      <c r="U81" s="25"/>
    </row>
    <row r="82" spans="1:21" ht="14.25" customHeight="1" x14ac:dyDescent="0.35">
      <c r="A82" s="2"/>
      <c r="B82" s="24"/>
      <c r="C82" s="24"/>
      <c r="D82" s="24"/>
      <c r="E82" s="24"/>
      <c r="F82" s="24"/>
      <c r="G82" s="24"/>
      <c r="H82" s="24"/>
      <c r="I82" s="24"/>
      <c r="J82" s="24"/>
      <c r="K82" s="24"/>
      <c r="L82" s="24"/>
      <c r="M82" s="24"/>
      <c r="N82" s="24"/>
      <c r="O82" s="24"/>
      <c r="P82" s="24"/>
      <c r="Q82" s="24"/>
      <c r="R82" s="2"/>
      <c r="S82" s="2"/>
      <c r="T82" s="25"/>
      <c r="U82" s="25"/>
    </row>
    <row r="83" spans="1:21" ht="14.25" customHeight="1" x14ac:dyDescent="0.35">
      <c r="A83" s="2"/>
      <c r="B83" s="24"/>
      <c r="C83" s="24"/>
      <c r="D83" s="24"/>
      <c r="E83" s="24"/>
      <c r="F83" s="24"/>
      <c r="G83" s="24"/>
      <c r="H83" s="24"/>
      <c r="I83" s="24"/>
      <c r="J83" s="24"/>
      <c r="K83" s="24"/>
      <c r="L83" s="24"/>
      <c r="M83" s="24"/>
      <c r="N83" s="24"/>
      <c r="O83" s="24"/>
      <c r="P83" s="24"/>
      <c r="Q83" s="24"/>
      <c r="R83" s="2"/>
      <c r="S83" s="2"/>
      <c r="T83" s="25"/>
      <c r="U83" s="25"/>
    </row>
    <row r="84" spans="1:21" ht="14.25" customHeight="1" x14ac:dyDescent="0.35">
      <c r="A84" s="2"/>
      <c r="B84" s="24"/>
      <c r="C84" s="24"/>
      <c r="D84" s="24"/>
      <c r="E84" s="24"/>
      <c r="F84" s="24"/>
      <c r="G84" s="24"/>
      <c r="H84" s="24"/>
      <c r="I84" s="24"/>
      <c r="J84" s="24"/>
      <c r="K84" s="24"/>
      <c r="L84" s="24"/>
      <c r="M84" s="24"/>
      <c r="N84" s="24"/>
      <c r="O84" s="24"/>
      <c r="P84" s="24"/>
      <c r="Q84" s="24"/>
      <c r="R84" s="2"/>
      <c r="S84" s="2"/>
      <c r="T84" s="25"/>
      <c r="U84" s="25"/>
    </row>
    <row r="85" spans="1:21" ht="14.25" customHeight="1" x14ac:dyDescent="0.35">
      <c r="A85" s="2"/>
      <c r="B85" s="24"/>
      <c r="C85" s="24"/>
      <c r="D85" s="24"/>
      <c r="E85" s="24"/>
      <c r="F85" s="24"/>
      <c r="G85" s="24"/>
      <c r="H85" s="24"/>
      <c r="I85" s="24"/>
      <c r="J85" s="24"/>
      <c r="K85" s="24"/>
      <c r="L85" s="24"/>
      <c r="M85" s="24"/>
      <c r="N85" s="24"/>
      <c r="O85" s="24"/>
      <c r="P85" s="24"/>
      <c r="Q85" s="24"/>
      <c r="R85" s="2"/>
      <c r="S85" s="2"/>
      <c r="T85" s="25"/>
      <c r="U85" s="25"/>
    </row>
    <row r="86" spans="1:21" ht="14.25" customHeight="1" x14ac:dyDescent="0.35">
      <c r="A86" s="2"/>
      <c r="B86" s="24"/>
      <c r="C86" s="24"/>
      <c r="D86" s="24"/>
      <c r="E86" s="24"/>
      <c r="F86" s="24"/>
      <c r="G86" s="24"/>
      <c r="H86" s="24"/>
      <c r="I86" s="24"/>
      <c r="J86" s="24"/>
      <c r="K86" s="24"/>
      <c r="L86" s="24"/>
      <c r="M86" s="24"/>
      <c r="N86" s="24"/>
      <c r="O86" s="24"/>
      <c r="P86" s="24"/>
      <c r="Q86" s="24"/>
      <c r="R86" s="2"/>
      <c r="S86" s="2"/>
      <c r="T86" s="25"/>
      <c r="U86" s="25"/>
    </row>
    <row r="87" spans="1:21" ht="14.25" customHeight="1" x14ac:dyDescent="0.35">
      <c r="A87" s="2"/>
      <c r="B87" s="24"/>
      <c r="C87" s="24"/>
      <c r="D87" s="24"/>
      <c r="E87" s="24"/>
      <c r="F87" s="24"/>
      <c r="G87" s="24"/>
      <c r="H87" s="24"/>
      <c r="I87" s="24"/>
      <c r="J87" s="24"/>
      <c r="K87" s="24"/>
      <c r="L87" s="24"/>
      <c r="M87" s="24"/>
      <c r="N87" s="24"/>
      <c r="O87" s="24"/>
      <c r="P87" s="24"/>
      <c r="Q87" s="24"/>
      <c r="R87" s="2"/>
      <c r="S87" s="2"/>
      <c r="T87" s="25"/>
      <c r="U87" s="25"/>
    </row>
    <row r="88" spans="1:21" ht="14.25" customHeight="1" x14ac:dyDescent="0.35">
      <c r="A88" s="2"/>
      <c r="B88" s="24"/>
      <c r="C88" s="24"/>
      <c r="D88" s="24"/>
      <c r="E88" s="24"/>
      <c r="F88" s="24"/>
      <c r="G88" s="24"/>
      <c r="H88" s="24"/>
      <c r="I88" s="24"/>
      <c r="J88" s="24"/>
      <c r="K88" s="24"/>
      <c r="L88" s="24"/>
      <c r="M88" s="24"/>
      <c r="N88" s="24"/>
      <c r="O88" s="24"/>
      <c r="P88" s="24"/>
      <c r="Q88" s="24"/>
      <c r="R88" s="2"/>
      <c r="S88" s="2"/>
      <c r="T88" s="25"/>
      <c r="U88" s="25"/>
    </row>
    <row r="89" spans="1:21" ht="14.25" customHeight="1" x14ac:dyDescent="0.35">
      <c r="A89" s="2"/>
      <c r="B89" s="24"/>
      <c r="C89" s="24"/>
      <c r="D89" s="24"/>
      <c r="E89" s="24"/>
      <c r="F89" s="24"/>
      <c r="G89" s="24"/>
      <c r="H89" s="24"/>
      <c r="I89" s="24"/>
      <c r="J89" s="24"/>
      <c r="K89" s="24"/>
      <c r="L89" s="24"/>
      <c r="M89" s="24"/>
      <c r="N89" s="24"/>
      <c r="O89" s="24"/>
      <c r="P89" s="24"/>
      <c r="Q89" s="24"/>
      <c r="R89" s="2"/>
      <c r="S89" s="2"/>
      <c r="T89" s="25"/>
      <c r="U89" s="25"/>
    </row>
    <row r="90" spans="1:21" ht="14.25" customHeight="1" x14ac:dyDescent="0.35">
      <c r="A90" s="2"/>
      <c r="B90" s="24"/>
      <c r="C90" s="24"/>
      <c r="D90" s="24"/>
      <c r="E90" s="24"/>
      <c r="F90" s="24"/>
      <c r="G90" s="24"/>
      <c r="H90" s="24"/>
      <c r="I90" s="24"/>
      <c r="J90" s="24"/>
      <c r="K90" s="24"/>
      <c r="L90" s="24"/>
      <c r="M90" s="24"/>
      <c r="N90" s="24"/>
      <c r="O90" s="24"/>
      <c r="P90" s="24"/>
      <c r="Q90" s="24"/>
      <c r="R90" s="2"/>
      <c r="S90" s="2"/>
      <c r="T90" s="25"/>
      <c r="U90" s="25"/>
    </row>
    <row r="91" spans="1:21" ht="14.25" customHeight="1" x14ac:dyDescent="0.35">
      <c r="A91" s="2"/>
      <c r="B91" s="24"/>
      <c r="C91" s="24"/>
      <c r="D91" s="24"/>
      <c r="E91" s="24"/>
      <c r="F91" s="24"/>
      <c r="G91" s="24"/>
      <c r="H91" s="24"/>
      <c r="I91" s="24"/>
      <c r="J91" s="24"/>
      <c r="K91" s="24"/>
      <c r="L91" s="24"/>
      <c r="M91" s="24"/>
      <c r="N91" s="24"/>
      <c r="O91" s="24"/>
      <c r="P91" s="24"/>
      <c r="Q91" s="24"/>
      <c r="R91" s="2"/>
      <c r="S91" s="2"/>
      <c r="T91" s="25"/>
      <c r="U91" s="25"/>
    </row>
    <row r="92" spans="1:21" ht="14.25" customHeight="1" x14ac:dyDescent="0.35">
      <c r="A92" s="2"/>
      <c r="B92" s="24"/>
      <c r="C92" s="24"/>
      <c r="D92" s="24"/>
      <c r="E92" s="24"/>
      <c r="F92" s="24"/>
      <c r="G92" s="24"/>
      <c r="H92" s="24"/>
      <c r="I92" s="24"/>
      <c r="J92" s="24"/>
      <c r="K92" s="24"/>
      <c r="L92" s="24"/>
      <c r="M92" s="24"/>
      <c r="N92" s="24"/>
      <c r="O92" s="24"/>
      <c r="P92" s="24"/>
      <c r="Q92" s="24"/>
      <c r="R92" s="2"/>
      <c r="S92" s="2"/>
      <c r="T92" s="25"/>
      <c r="U92" s="25"/>
    </row>
    <row r="93" spans="1:21" ht="14.25" customHeight="1" x14ac:dyDescent="0.35">
      <c r="A93" s="2"/>
      <c r="B93" s="24"/>
      <c r="C93" s="24"/>
      <c r="D93" s="24"/>
      <c r="E93" s="24"/>
      <c r="F93" s="24"/>
      <c r="G93" s="24"/>
      <c r="H93" s="24"/>
      <c r="I93" s="24"/>
      <c r="J93" s="24"/>
      <c r="K93" s="24"/>
      <c r="L93" s="24"/>
      <c r="M93" s="24"/>
      <c r="N93" s="24"/>
      <c r="O93" s="24"/>
      <c r="P93" s="24"/>
      <c r="Q93" s="24"/>
      <c r="R93" s="2"/>
      <c r="S93" s="2"/>
      <c r="T93" s="25"/>
      <c r="U93" s="25"/>
    </row>
    <row r="94" spans="1:21" ht="14.25" customHeight="1" x14ac:dyDescent="0.35">
      <c r="A94" s="2"/>
      <c r="B94" s="24"/>
      <c r="C94" s="24"/>
      <c r="D94" s="24"/>
      <c r="E94" s="24"/>
      <c r="F94" s="24"/>
      <c r="G94" s="24"/>
      <c r="H94" s="24"/>
      <c r="I94" s="24"/>
      <c r="J94" s="24"/>
      <c r="K94" s="24"/>
      <c r="L94" s="24"/>
      <c r="M94" s="24"/>
      <c r="N94" s="24"/>
      <c r="O94" s="24"/>
      <c r="P94" s="24"/>
      <c r="Q94" s="24"/>
      <c r="R94" s="2"/>
      <c r="S94" s="2"/>
      <c r="T94" s="25"/>
      <c r="U94" s="25"/>
    </row>
    <row r="95" spans="1:21" ht="14.25" customHeight="1" x14ac:dyDescent="0.35">
      <c r="A95" s="2"/>
      <c r="B95" s="24"/>
      <c r="C95" s="24"/>
      <c r="D95" s="24"/>
      <c r="E95" s="24"/>
      <c r="F95" s="24"/>
      <c r="G95" s="24"/>
      <c r="H95" s="24"/>
      <c r="I95" s="24"/>
      <c r="J95" s="24"/>
      <c r="K95" s="24"/>
      <c r="L95" s="24"/>
      <c r="M95" s="24"/>
      <c r="N95" s="24"/>
      <c r="O95" s="24"/>
      <c r="P95" s="24"/>
      <c r="Q95" s="24"/>
      <c r="R95" s="2"/>
      <c r="S95" s="2"/>
      <c r="T95" s="25"/>
      <c r="U95" s="25"/>
    </row>
    <row r="96" spans="1:21" ht="14.25" customHeight="1" x14ac:dyDescent="0.35">
      <c r="A96" s="2"/>
      <c r="B96" s="24"/>
      <c r="C96" s="24"/>
      <c r="D96" s="24"/>
      <c r="E96" s="24"/>
      <c r="F96" s="24"/>
      <c r="G96" s="24"/>
      <c r="H96" s="24"/>
      <c r="I96" s="24"/>
      <c r="J96" s="24"/>
      <c r="K96" s="24"/>
      <c r="L96" s="24"/>
      <c r="M96" s="24"/>
      <c r="N96" s="24"/>
      <c r="O96" s="24"/>
      <c r="P96" s="24"/>
      <c r="Q96" s="24"/>
      <c r="R96" s="2"/>
      <c r="S96" s="2"/>
      <c r="T96" s="25"/>
      <c r="U96" s="25"/>
    </row>
    <row r="97" spans="1:21" ht="14.25" customHeight="1" x14ac:dyDescent="0.35">
      <c r="A97" s="2"/>
      <c r="B97" s="24"/>
      <c r="C97" s="24"/>
      <c r="D97" s="24"/>
      <c r="E97" s="24"/>
      <c r="F97" s="24"/>
      <c r="G97" s="24"/>
      <c r="H97" s="24"/>
      <c r="I97" s="24"/>
      <c r="J97" s="24"/>
      <c r="K97" s="24"/>
      <c r="L97" s="24"/>
      <c r="M97" s="24"/>
      <c r="N97" s="24"/>
      <c r="O97" s="24"/>
      <c r="P97" s="24"/>
      <c r="Q97" s="24"/>
      <c r="R97" s="2"/>
      <c r="S97" s="2"/>
      <c r="T97" s="25"/>
      <c r="U97" s="25"/>
    </row>
    <row r="98" spans="1:21" ht="14.25" customHeight="1" x14ac:dyDescent="0.35">
      <c r="A98" s="2"/>
      <c r="B98" s="24"/>
      <c r="C98" s="24"/>
      <c r="D98" s="24"/>
      <c r="E98" s="24"/>
      <c r="F98" s="24"/>
      <c r="G98" s="24"/>
      <c r="H98" s="24"/>
      <c r="I98" s="24"/>
      <c r="J98" s="24"/>
      <c r="K98" s="24"/>
      <c r="L98" s="24"/>
      <c r="M98" s="24"/>
      <c r="N98" s="24"/>
      <c r="O98" s="24"/>
      <c r="P98" s="24"/>
      <c r="Q98" s="24"/>
      <c r="R98" s="2"/>
      <c r="S98" s="2"/>
      <c r="T98" s="25"/>
      <c r="U98" s="25"/>
    </row>
    <row r="99" spans="1:21" ht="14.25" customHeight="1" x14ac:dyDescent="0.35">
      <c r="A99" s="2"/>
      <c r="B99" s="24"/>
      <c r="C99" s="24"/>
      <c r="D99" s="24"/>
      <c r="E99" s="24"/>
      <c r="F99" s="24"/>
      <c r="G99" s="24"/>
      <c r="H99" s="24"/>
      <c r="I99" s="24"/>
      <c r="J99" s="24"/>
      <c r="K99" s="24"/>
      <c r="L99" s="24"/>
      <c r="M99" s="24"/>
      <c r="N99" s="24"/>
      <c r="O99" s="24"/>
      <c r="P99" s="24"/>
      <c r="Q99" s="24"/>
      <c r="R99" s="2"/>
      <c r="S99" s="2"/>
      <c r="T99" s="25"/>
      <c r="U99" s="25"/>
    </row>
    <row r="100" spans="1:21" ht="14.25" customHeight="1" x14ac:dyDescent="0.35">
      <c r="A100" s="2"/>
      <c r="B100" s="24"/>
      <c r="C100" s="24"/>
      <c r="D100" s="24"/>
      <c r="E100" s="24"/>
      <c r="F100" s="24"/>
      <c r="G100" s="24"/>
      <c r="H100" s="24"/>
      <c r="I100" s="24"/>
      <c r="J100" s="24"/>
      <c r="K100" s="24"/>
      <c r="L100" s="24"/>
      <c r="M100" s="24"/>
      <c r="N100" s="24"/>
      <c r="O100" s="24"/>
      <c r="P100" s="24"/>
      <c r="Q100" s="24"/>
      <c r="R100" s="2"/>
      <c r="S100" s="2"/>
      <c r="T100" s="25"/>
      <c r="U100" s="25"/>
    </row>
    <row r="101" spans="1:21" ht="14.25" customHeight="1" x14ac:dyDescent="0.35">
      <c r="A101" s="2"/>
      <c r="B101" s="24"/>
      <c r="C101" s="24"/>
      <c r="D101" s="24"/>
      <c r="E101" s="24"/>
      <c r="F101" s="24"/>
      <c r="G101" s="24"/>
      <c r="H101" s="24"/>
      <c r="I101" s="24"/>
      <c r="J101" s="24"/>
      <c r="K101" s="24"/>
      <c r="L101" s="24"/>
      <c r="M101" s="24"/>
      <c r="N101" s="24"/>
      <c r="O101" s="24"/>
      <c r="P101" s="24"/>
      <c r="Q101" s="24"/>
      <c r="R101" s="2"/>
      <c r="S101" s="2"/>
      <c r="T101" s="25"/>
      <c r="U101" s="25"/>
    </row>
    <row r="102" spans="1:21" ht="14.25" customHeight="1" x14ac:dyDescent="0.35">
      <c r="A102" s="2"/>
      <c r="B102" s="24"/>
      <c r="C102" s="24"/>
      <c r="D102" s="24"/>
      <c r="E102" s="24"/>
      <c r="F102" s="24"/>
      <c r="G102" s="24"/>
      <c r="H102" s="24"/>
      <c r="I102" s="24"/>
      <c r="J102" s="24"/>
      <c r="K102" s="24"/>
      <c r="L102" s="24"/>
      <c r="M102" s="24"/>
      <c r="N102" s="24"/>
      <c r="O102" s="24"/>
      <c r="P102" s="24"/>
      <c r="Q102" s="24"/>
      <c r="R102" s="2"/>
      <c r="S102" s="2"/>
      <c r="T102" s="25"/>
      <c r="U102" s="25"/>
    </row>
    <row r="103" spans="1:21" ht="14.25" customHeight="1" x14ac:dyDescent="0.35">
      <c r="A103" s="2"/>
      <c r="B103" s="24"/>
      <c r="C103" s="24"/>
      <c r="D103" s="24"/>
      <c r="E103" s="24"/>
      <c r="F103" s="24"/>
      <c r="G103" s="24"/>
      <c r="H103" s="24"/>
      <c r="I103" s="24"/>
      <c r="J103" s="24"/>
      <c r="K103" s="24"/>
      <c r="L103" s="24"/>
      <c r="M103" s="24"/>
      <c r="N103" s="24"/>
      <c r="O103" s="24"/>
      <c r="P103" s="24"/>
      <c r="Q103" s="24"/>
      <c r="R103" s="2"/>
      <c r="S103" s="2"/>
      <c r="T103" s="25"/>
      <c r="U103" s="25"/>
    </row>
    <row r="104" spans="1:21" ht="14.25" customHeight="1" x14ac:dyDescent="0.35">
      <c r="A104" s="2"/>
      <c r="B104" s="24"/>
      <c r="C104" s="24"/>
      <c r="D104" s="24"/>
      <c r="E104" s="24"/>
      <c r="F104" s="24"/>
      <c r="G104" s="24"/>
      <c r="H104" s="24"/>
      <c r="I104" s="24"/>
      <c r="J104" s="24"/>
      <c r="K104" s="24"/>
      <c r="L104" s="24"/>
      <c r="M104" s="24"/>
      <c r="N104" s="24"/>
      <c r="O104" s="24"/>
      <c r="P104" s="24"/>
      <c r="Q104" s="24"/>
      <c r="R104" s="2"/>
      <c r="S104" s="2"/>
      <c r="T104" s="25"/>
      <c r="U104" s="25"/>
    </row>
    <row r="105" spans="1:21" ht="14.25" customHeight="1" x14ac:dyDescent="0.35">
      <c r="A105" s="2"/>
      <c r="B105" s="24"/>
      <c r="C105" s="24"/>
      <c r="D105" s="24"/>
      <c r="E105" s="24"/>
      <c r="F105" s="24"/>
      <c r="G105" s="24"/>
      <c r="H105" s="24"/>
      <c r="I105" s="24"/>
      <c r="J105" s="24"/>
      <c r="K105" s="24"/>
      <c r="L105" s="24"/>
      <c r="M105" s="24"/>
      <c r="N105" s="24"/>
      <c r="O105" s="24"/>
      <c r="P105" s="24"/>
      <c r="Q105" s="24"/>
      <c r="R105" s="2"/>
      <c r="S105" s="2"/>
      <c r="T105" s="25"/>
      <c r="U105" s="25"/>
    </row>
    <row r="106" spans="1:21" ht="14.25" customHeight="1" x14ac:dyDescent="0.35">
      <c r="A106" s="2"/>
      <c r="B106" s="24"/>
      <c r="C106" s="24"/>
      <c r="D106" s="24"/>
      <c r="E106" s="24"/>
      <c r="F106" s="24"/>
      <c r="G106" s="24"/>
      <c r="H106" s="24"/>
      <c r="I106" s="24"/>
      <c r="J106" s="24"/>
      <c r="K106" s="24"/>
      <c r="L106" s="24"/>
      <c r="M106" s="24"/>
      <c r="N106" s="24"/>
      <c r="O106" s="24"/>
      <c r="P106" s="24"/>
      <c r="Q106" s="24"/>
      <c r="R106" s="2"/>
      <c r="S106" s="2"/>
      <c r="T106" s="25"/>
      <c r="U106" s="25"/>
    </row>
    <row r="107" spans="1:21" ht="14.25" customHeight="1" x14ac:dyDescent="0.35">
      <c r="A107" s="2"/>
      <c r="B107" s="24"/>
      <c r="C107" s="24"/>
      <c r="D107" s="24"/>
      <c r="E107" s="24"/>
      <c r="F107" s="24"/>
      <c r="G107" s="24"/>
      <c r="H107" s="24"/>
      <c r="I107" s="24"/>
      <c r="J107" s="24"/>
      <c r="K107" s="24"/>
      <c r="L107" s="24"/>
      <c r="M107" s="24"/>
      <c r="N107" s="24"/>
      <c r="O107" s="24"/>
      <c r="P107" s="24"/>
      <c r="Q107" s="24"/>
      <c r="R107" s="2"/>
      <c r="S107" s="2"/>
      <c r="T107" s="25"/>
      <c r="U107" s="25"/>
    </row>
    <row r="108" spans="1:21" ht="14.25" customHeight="1" x14ac:dyDescent="0.35">
      <c r="A108" s="2"/>
      <c r="B108" s="24"/>
      <c r="C108" s="24"/>
      <c r="D108" s="24"/>
      <c r="E108" s="24"/>
      <c r="F108" s="24"/>
      <c r="G108" s="24"/>
      <c r="H108" s="24"/>
      <c r="I108" s="24"/>
      <c r="J108" s="24"/>
      <c r="K108" s="24"/>
      <c r="L108" s="24"/>
      <c r="M108" s="24"/>
      <c r="N108" s="24"/>
      <c r="O108" s="24"/>
      <c r="P108" s="24"/>
      <c r="Q108" s="24"/>
      <c r="R108" s="2"/>
      <c r="S108" s="2"/>
      <c r="T108" s="25"/>
      <c r="U108" s="25"/>
    </row>
    <row r="109" spans="1:21" ht="14.25" customHeight="1" x14ac:dyDescent="0.35">
      <c r="A109" s="2"/>
      <c r="B109" s="24"/>
      <c r="C109" s="24"/>
      <c r="D109" s="24"/>
      <c r="E109" s="24"/>
      <c r="F109" s="24"/>
      <c r="G109" s="24"/>
      <c r="H109" s="24"/>
      <c r="I109" s="24"/>
      <c r="J109" s="24"/>
      <c r="K109" s="24"/>
      <c r="L109" s="24"/>
      <c r="M109" s="24"/>
      <c r="N109" s="24"/>
      <c r="O109" s="24"/>
      <c r="P109" s="24"/>
      <c r="Q109" s="24"/>
      <c r="R109" s="2"/>
      <c r="S109" s="2"/>
      <c r="T109" s="25"/>
      <c r="U109" s="25"/>
    </row>
    <row r="110" spans="1:21" ht="14.25" customHeight="1" x14ac:dyDescent="0.35">
      <c r="A110" s="2"/>
      <c r="B110" s="24"/>
      <c r="C110" s="24"/>
      <c r="D110" s="24"/>
      <c r="E110" s="24"/>
      <c r="F110" s="24"/>
      <c r="G110" s="24"/>
      <c r="H110" s="24"/>
      <c r="I110" s="24"/>
      <c r="J110" s="24"/>
      <c r="K110" s="24"/>
      <c r="L110" s="24"/>
      <c r="M110" s="24"/>
      <c r="N110" s="24"/>
      <c r="O110" s="24"/>
      <c r="P110" s="24"/>
      <c r="Q110" s="24"/>
      <c r="R110" s="2"/>
      <c r="S110" s="2"/>
      <c r="T110" s="25"/>
      <c r="U110" s="25"/>
    </row>
    <row r="111" spans="1:21" ht="14.25" customHeight="1" x14ac:dyDescent="0.35">
      <c r="A111" s="2"/>
      <c r="B111" s="24"/>
      <c r="C111" s="24"/>
      <c r="D111" s="24"/>
      <c r="E111" s="24"/>
      <c r="F111" s="24"/>
      <c r="G111" s="24"/>
      <c r="H111" s="24"/>
      <c r="I111" s="24"/>
      <c r="J111" s="24"/>
      <c r="K111" s="24"/>
      <c r="L111" s="24"/>
      <c r="M111" s="24"/>
      <c r="N111" s="24"/>
      <c r="O111" s="24"/>
      <c r="P111" s="24"/>
      <c r="Q111" s="24"/>
      <c r="R111" s="2"/>
      <c r="S111" s="2"/>
      <c r="T111" s="25"/>
      <c r="U111" s="25"/>
    </row>
    <row r="112" spans="1:21" ht="14.25" customHeight="1" x14ac:dyDescent="0.35">
      <c r="A112" s="2"/>
      <c r="B112" s="24"/>
      <c r="C112" s="24"/>
      <c r="D112" s="24"/>
      <c r="E112" s="24"/>
      <c r="F112" s="24"/>
      <c r="G112" s="24"/>
      <c r="H112" s="24"/>
      <c r="I112" s="24"/>
      <c r="J112" s="24"/>
      <c r="K112" s="24"/>
      <c r="L112" s="24"/>
      <c r="M112" s="24"/>
      <c r="N112" s="24"/>
      <c r="O112" s="24"/>
      <c r="P112" s="24"/>
      <c r="Q112" s="24"/>
      <c r="R112" s="2"/>
      <c r="S112" s="2"/>
      <c r="T112" s="25"/>
      <c r="U112" s="25"/>
    </row>
    <row r="113" spans="1:21" ht="14.25" customHeight="1" x14ac:dyDescent="0.35">
      <c r="A113" s="2"/>
      <c r="B113" s="24"/>
      <c r="C113" s="24"/>
      <c r="D113" s="24"/>
      <c r="E113" s="24"/>
      <c r="F113" s="24"/>
      <c r="G113" s="24"/>
      <c r="H113" s="24"/>
      <c r="I113" s="24"/>
      <c r="J113" s="24"/>
      <c r="K113" s="24"/>
      <c r="L113" s="24"/>
      <c r="M113" s="24"/>
      <c r="N113" s="24"/>
      <c r="O113" s="24"/>
      <c r="P113" s="24"/>
      <c r="Q113" s="24"/>
      <c r="R113" s="2"/>
      <c r="S113" s="2"/>
      <c r="T113" s="25"/>
      <c r="U113" s="25"/>
    </row>
    <row r="114" spans="1:21" ht="14.25" customHeight="1" x14ac:dyDescent="0.35">
      <c r="A114" s="2"/>
      <c r="B114" s="24"/>
      <c r="C114" s="24"/>
      <c r="D114" s="24"/>
      <c r="E114" s="24"/>
      <c r="F114" s="24"/>
      <c r="G114" s="24"/>
      <c r="H114" s="24"/>
      <c r="I114" s="24"/>
      <c r="J114" s="24"/>
      <c r="K114" s="24"/>
      <c r="L114" s="24"/>
      <c r="M114" s="24"/>
      <c r="N114" s="24"/>
      <c r="O114" s="24"/>
      <c r="P114" s="24"/>
      <c r="Q114" s="24"/>
      <c r="R114" s="2"/>
      <c r="S114" s="2"/>
      <c r="T114" s="25"/>
      <c r="U114" s="25"/>
    </row>
    <row r="115" spans="1:21" ht="14.25" customHeight="1" x14ac:dyDescent="0.35">
      <c r="A115" s="2"/>
      <c r="B115" s="24"/>
      <c r="C115" s="24"/>
      <c r="D115" s="24"/>
      <c r="E115" s="24"/>
      <c r="F115" s="24"/>
      <c r="G115" s="24"/>
      <c r="H115" s="24"/>
      <c r="I115" s="24"/>
      <c r="J115" s="24"/>
      <c r="K115" s="24"/>
      <c r="L115" s="24"/>
      <c r="M115" s="24"/>
      <c r="N115" s="24"/>
      <c r="O115" s="24"/>
      <c r="P115" s="24"/>
      <c r="Q115" s="24"/>
      <c r="R115" s="2"/>
      <c r="S115" s="2"/>
      <c r="T115" s="25"/>
      <c r="U115" s="25"/>
    </row>
    <row r="116" spans="1:21" ht="14.25" customHeight="1" x14ac:dyDescent="0.35">
      <c r="A116" s="2"/>
      <c r="B116" s="24"/>
      <c r="C116" s="24"/>
      <c r="D116" s="24"/>
      <c r="E116" s="24"/>
      <c r="F116" s="24"/>
      <c r="G116" s="24"/>
      <c r="H116" s="24"/>
      <c r="I116" s="24"/>
      <c r="J116" s="24"/>
      <c r="K116" s="24"/>
      <c r="L116" s="24"/>
      <c r="M116" s="24"/>
      <c r="N116" s="24"/>
      <c r="O116" s="24"/>
      <c r="P116" s="24"/>
      <c r="Q116" s="24"/>
      <c r="R116" s="2"/>
      <c r="S116" s="2"/>
      <c r="T116" s="25"/>
      <c r="U116" s="25"/>
    </row>
    <row r="117" spans="1:21" ht="14.25" customHeight="1" x14ac:dyDescent="0.35">
      <c r="A117" s="2"/>
      <c r="B117" s="24"/>
      <c r="C117" s="24"/>
      <c r="D117" s="24"/>
      <c r="E117" s="24"/>
      <c r="F117" s="24"/>
      <c r="G117" s="24"/>
      <c r="H117" s="24"/>
      <c r="I117" s="24"/>
      <c r="J117" s="24"/>
      <c r="K117" s="24"/>
      <c r="L117" s="24"/>
      <c r="M117" s="24"/>
      <c r="N117" s="24"/>
      <c r="O117" s="24"/>
      <c r="P117" s="24"/>
      <c r="Q117" s="24"/>
      <c r="R117" s="2"/>
      <c r="S117" s="2"/>
      <c r="T117" s="25"/>
      <c r="U117" s="25"/>
    </row>
    <row r="118" spans="1:21" ht="14.25" customHeight="1" x14ac:dyDescent="0.35">
      <c r="A118" s="2"/>
      <c r="B118" s="24"/>
      <c r="C118" s="24"/>
      <c r="D118" s="24"/>
      <c r="E118" s="24"/>
      <c r="F118" s="24"/>
      <c r="G118" s="24"/>
      <c r="H118" s="24"/>
      <c r="I118" s="24"/>
      <c r="J118" s="24"/>
      <c r="K118" s="24"/>
      <c r="L118" s="24"/>
      <c r="M118" s="24"/>
      <c r="N118" s="24"/>
      <c r="O118" s="24"/>
      <c r="P118" s="24"/>
      <c r="Q118" s="24"/>
      <c r="R118" s="2"/>
      <c r="S118" s="2"/>
      <c r="T118" s="25"/>
      <c r="U118" s="25"/>
    </row>
    <row r="119" spans="1:21" ht="14.25" customHeight="1" x14ac:dyDescent="0.35">
      <c r="A119" s="2"/>
      <c r="B119" s="24"/>
      <c r="C119" s="24"/>
      <c r="D119" s="24"/>
      <c r="E119" s="24"/>
      <c r="F119" s="24"/>
      <c r="G119" s="24"/>
      <c r="H119" s="24"/>
      <c r="I119" s="24"/>
      <c r="J119" s="24"/>
      <c r="K119" s="24"/>
      <c r="L119" s="24"/>
      <c r="M119" s="24"/>
      <c r="N119" s="24"/>
      <c r="O119" s="24"/>
      <c r="P119" s="24"/>
      <c r="Q119" s="24"/>
      <c r="R119" s="2"/>
      <c r="S119" s="2"/>
      <c r="T119" s="25"/>
      <c r="U119" s="25"/>
    </row>
    <row r="120" spans="1:21" ht="14.25" customHeight="1" x14ac:dyDescent="0.35">
      <c r="A120" s="2"/>
      <c r="B120" s="24"/>
      <c r="C120" s="24"/>
      <c r="D120" s="24"/>
      <c r="E120" s="24"/>
      <c r="F120" s="24"/>
      <c r="G120" s="24"/>
      <c r="H120" s="24"/>
      <c r="I120" s="24"/>
      <c r="J120" s="24"/>
      <c r="K120" s="24"/>
      <c r="L120" s="24"/>
      <c r="M120" s="24"/>
      <c r="N120" s="24"/>
      <c r="O120" s="24"/>
      <c r="P120" s="24"/>
      <c r="Q120" s="24"/>
      <c r="R120" s="2"/>
      <c r="S120" s="2"/>
      <c r="T120" s="25"/>
      <c r="U120" s="25"/>
    </row>
    <row r="121" spans="1:21" ht="14.25" customHeight="1" x14ac:dyDescent="0.35">
      <c r="A121" s="2"/>
      <c r="B121" s="24"/>
      <c r="C121" s="24"/>
      <c r="D121" s="24"/>
      <c r="E121" s="24"/>
      <c r="F121" s="24"/>
      <c r="G121" s="24"/>
      <c r="H121" s="24"/>
      <c r="I121" s="24"/>
      <c r="J121" s="24"/>
      <c r="K121" s="24"/>
      <c r="L121" s="24"/>
      <c r="M121" s="24"/>
      <c r="N121" s="24"/>
      <c r="O121" s="24"/>
      <c r="P121" s="24"/>
      <c r="Q121" s="24"/>
      <c r="R121" s="2"/>
      <c r="S121" s="2"/>
      <c r="T121" s="25"/>
      <c r="U121" s="25"/>
    </row>
    <row r="122" spans="1:21" ht="14.25" customHeight="1" x14ac:dyDescent="0.35">
      <c r="A122" s="2"/>
      <c r="B122" s="24"/>
      <c r="C122" s="24"/>
      <c r="D122" s="24"/>
      <c r="E122" s="24"/>
      <c r="F122" s="24"/>
      <c r="G122" s="24"/>
      <c r="H122" s="24"/>
      <c r="I122" s="24"/>
      <c r="J122" s="24"/>
      <c r="K122" s="24"/>
      <c r="L122" s="24"/>
      <c r="M122" s="24"/>
      <c r="N122" s="24"/>
      <c r="O122" s="24"/>
      <c r="P122" s="24"/>
      <c r="Q122" s="24"/>
      <c r="R122" s="2"/>
      <c r="S122" s="2"/>
      <c r="T122" s="25"/>
      <c r="U122" s="25"/>
    </row>
    <row r="123" spans="1:21" ht="14.25" customHeight="1" x14ac:dyDescent="0.35">
      <c r="A123" s="2"/>
      <c r="B123" s="24"/>
      <c r="C123" s="24"/>
      <c r="D123" s="24"/>
      <c r="E123" s="24"/>
      <c r="F123" s="24"/>
      <c r="G123" s="24"/>
      <c r="H123" s="24"/>
      <c r="I123" s="24"/>
      <c r="J123" s="24"/>
      <c r="K123" s="24"/>
      <c r="L123" s="24"/>
      <c r="M123" s="24"/>
      <c r="N123" s="24"/>
      <c r="O123" s="24"/>
      <c r="P123" s="24"/>
      <c r="Q123" s="24"/>
      <c r="R123" s="2"/>
      <c r="S123" s="2"/>
      <c r="T123" s="25"/>
      <c r="U123" s="25"/>
    </row>
    <row r="124" spans="1:21" ht="14.25" customHeight="1" x14ac:dyDescent="0.35">
      <c r="A124" s="2"/>
      <c r="B124" s="24"/>
      <c r="C124" s="24"/>
      <c r="D124" s="24"/>
      <c r="E124" s="24"/>
      <c r="F124" s="24"/>
      <c r="G124" s="24"/>
      <c r="H124" s="24"/>
      <c r="I124" s="24"/>
      <c r="J124" s="24"/>
      <c r="K124" s="24"/>
      <c r="L124" s="24"/>
      <c r="M124" s="24"/>
      <c r="N124" s="24"/>
      <c r="O124" s="24"/>
      <c r="P124" s="24"/>
      <c r="Q124" s="24"/>
      <c r="R124" s="2"/>
      <c r="S124" s="2"/>
      <c r="T124" s="25"/>
      <c r="U124" s="25"/>
    </row>
    <row r="125" spans="1:21" ht="14.25" customHeight="1" x14ac:dyDescent="0.35">
      <c r="A125" s="2"/>
      <c r="B125" s="24"/>
      <c r="C125" s="24"/>
      <c r="D125" s="24"/>
      <c r="E125" s="24"/>
      <c r="F125" s="24"/>
      <c r="G125" s="24"/>
      <c r="H125" s="24"/>
      <c r="I125" s="24"/>
      <c r="J125" s="24"/>
      <c r="K125" s="24"/>
      <c r="L125" s="24"/>
      <c r="M125" s="24"/>
      <c r="N125" s="24"/>
      <c r="O125" s="24"/>
      <c r="P125" s="24"/>
      <c r="Q125" s="24"/>
      <c r="R125" s="2"/>
      <c r="S125" s="2"/>
      <c r="T125" s="25"/>
      <c r="U125" s="25"/>
    </row>
    <row r="126" spans="1:21" ht="14.25" customHeight="1" x14ac:dyDescent="0.35">
      <c r="A126" s="2"/>
      <c r="B126" s="24"/>
      <c r="C126" s="24"/>
      <c r="D126" s="24"/>
      <c r="E126" s="24"/>
      <c r="F126" s="24"/>
      <c r="G126" s="24"/>
      <c r="H126" s="24"/>
      <c r="I126" s="24"/>
      <c r="J126" s="24"/>
      <c r="K126" s="24"/>
      <c r="L126" s="24"/>
      <c r="M126" s="24"/>
      <c r="N126" s="24"/>
      <c r="O126" s="24"/>
      <c r="P126" s="24"/>
      <c r="Q126" s="24"/>
      <c r="R126" s="2"/>
      <c r="S126" s="2"/>
      <c r="T126" s="25"/>
      <c r="U126" s="25"/>
    </row>
    <row r="127" spans="1:21" ht="14.25" customHeight="1" x14ac:dyDescent="0.35">
      <c r="A127" s="2"/>
      <c r="B127" s="24"/>
      <c r="C127" s="24"/>
      <c r="D127" s="24"/>
      <c r="E127" s="24"/>
      <c r="F127" s="24"/>
      <c r="G127" s="24"/>
      <c r="H127" s="24"/>
      <c r="I127" s="24"/>
      <c r="J127" s="24"/>
      <c r="K127" s="24"/>
      <c r="L127" s="24"/>
      <c r="M127" s="24"/>
      <c r="N127" s="24"/>
      <c r="O127" s="24"/>
      <c r="P127" s="24"/>
      <c r="Q127" s="24"/>
      <c r="R127" s="2"/>
      <c r="S127" s="2"/>
      <c r="T127" s="25"/>
      <c r="U127" s="25"/>
    </row>
    <row r="128" spans="1:21" ht="14.25" customHeight="1" x14ac:dyDescent="0.35">
      <c r="A128" s="2"/>
      <c r="B128" s="24"/>
      <c r="C128" s="24"/>
      <c r="D128" s="24"/>
      <c r="E128" s="24"/>
      <c r="F128" s="24"/>
      <c r="G128" s="24"/>
      <c r="H128" s="24"/>
      <c r="I128" s="24"/>
      <c r="J128" s="24"/>
      <c r="K128" s="24"/>
      <c r="L128" s="24"/>
      <c r="M128" s="24"/>
      <c r="N128" s="24"/>
      <c r="O128" s="24"/>
      <c r="P128" s="24"/>
      <c r="Q128" s="24"/>
      <c r="R128" s="2"/>
      <c r="S128" s="2"/>
      <c r="T128" s="25"/>
      <c r="U128" s="25"/>
    </row>
    <row r="129" spans="1:21" ht="14.25" customHeight="1" x14ac:dyDescent="0.35">
      <c r="A129" s="2"/>
      <c r="B129" s="24"/>
      <c r="C129" s="24"/>
      <c r="D129" s="24"/>
      <c r="E129" s="24"/>
      <c r="F129" s="24"/>
      <c r="G129" s="24"/>
      <c r="H129" s="24"/>
      <c r="I129" s="24"/>
      <c r="J129" s="24"/>
      <c r="K129" s="24"/>
      <c r="L129" s="24"/>
      <c r="M129" s="24"/>
      <c r="N129" s="24"/>
      <c r="O129" s="24"/>
      <c r="P129" s="24"/>
      <c r="Q129" s="24"/>
      <c r="R129" s="2"/>
      <c r="S129" s="2"/>
      <c r="T129" s="25"/>
      <c r="U129" s="25"/>
    </row>
    <row r="130" spans="1:21" ht="14.25" customHeight="1" x14ac:dyDescent="0.35">
      <c r="A130" s="2"/>
      <c r="B130" s="24"/>
      <c r="C130" s="24"/>
      <c r="D130" s="24"/>
      <c r="E130" s="24"/>
      <c r="F130" s="24"/>
      <c r="G130" s="24"/>
      <c r="H130" s="24"/>
      <c r="I130" s="24"/>
      <c r="J130" s="24"/>
      <c r="K130" s="24"/>
      <c r="L130" s="24"/>
      <c r="M130" s="24"/>
      <c r="N130" s="24"/>
      <c r="O130" s="24"/>
      <c r="P130" s="24"/>
      <c r="Q130" s="24"/>
      <c r="R130" s="2"/>
      <c r="S130" s="2"/>
      <c r="T130" s="25"/>
      <c r="U130" s="25"/>
    </row>
    <row r="131" spans="1:21" ht="14.25" customHeight="1" x14ac:dyDescent="0.35">
      <c r="A131" s="2"/>
      <c r="B131" s="24"/>
      <c r="C131" s="24"/>
      <c r="D131" s="24"/>
      <c r="E131" s="24"/>
      <c r="F131" s="24"/>
      <c r="G131" s="24"/>
      <c r="H131" s="24"/>
      <c r="I131" s="24"/>
      <c r="J131" s="24"/>
      <c r="K131" s="24"/>
      <c r="L131" s="24"/>
      <c r="M131" s="24"/>
      <c r="N131" s="24"/>
      <c r="O131" s="24"/>
      <c r="P131" s="24"/>
      <c r="Q131" s="24"/>
      <c r="R131" s="2"/>
      <c r="S131" s="2"/>
      <c r="T131" s="25"/>
      <c r="U131" s="25"/>
    </row>
    <row r="132" spans="1:21" ht="14.25" customHeight="1" x14ac:dyDescent="0.35">
      <c r="A132" s="2"/>
      <c r="B132" s="24"/>
      <c r="C132" s="24"/>
      <c r="D132" s="24"/>
      <c r="E132" s="24"/>
      <c r="F132" s="24"/>
      <c r="G132" s="24"/>
      <c r="H132" s="24"/>
      <c r="I132" s="24"/>
      <c r="J132" s="24"/>
      <c r="K132" s="24"/>
      <c r="L132" s="24"/>
      <c r="M132" s="24"/>
      <c r="N132" s="24"/>
      <c r="O132" s="24"/>
      <c r="P132" s="24"/>
      <c r="Q132" s="24"/>
      <c r="R132" s="2"/>
      <c r="S132" s="2"/>
      <c r="T132" s="25"/>
      <c r="U132" s="25"/>
    </row>
    <row r="133" spans="1:21" ht="14.25" customHeight="1" x14ac:dyDescent="0.35">
      <c r="A133" s="2"/>
      <c r="B133" s="24"/>
      <c r="C133" s="24"/>
      <c r="D133" s="24"/>
      <c r="E133" s="24"/>
      <c r="F133" s="24"/>
      <c r="G133" s="24"/>
      <c r="H133" s="24"/>
      <c r="I133" s="24"/>
      <c r="J133" s="24"/>
      <c r="K133" s="24"/>
      <c r="L133" s="24"/>
      <c r="M133" s="24"/>
      <c r="N133" s="24"/>
      <c r="O133" s="24"/>
      <c r="P133" s="24"/>
      <c r="Q133" s="24"/>
      <c r="R133" s="2"/>
      <c r="S133" s="2"/>
      <c r="T133" s="25"/>
      <c r="U133" s="25"/>
    </row>
    <row r="134" spans="1:21" ht="14.25" customHeight="1" x14ac:dyDescent="0.35">
      <c r="A134" s="2"/>
      <c r="B134" s="24"/>
      <c r="C134" s="24"/>
      <c r="D134" s="24"/>
      <c r="E134" s="24"/>
      <c r="F134" s="24"/>
      <c r="G134" s="24"/>
      <c r="H134" s="24"/>
      <c r="I134" s="24"/>
      <c r="J134" s="24"/>
      <c r="K134" s="24"/>
      <c r="L134" s="24"/>
      <c r="M134" s="24"/>
      <c r="N134" s="24"/>
      <c r="O134" s="24"/>
      <c r="P134" s="24"/>
      <c r="Q134" s="24"/>
      <c r="R134" s="2"/>
      <c r="S134" s="2"/>
      <c r="T134" s="25"/>
      <c r="U134" s="25"/>
    </row>
    <row r="135" spans="1:21" ht="14.25" customHeight="1" x14ac:dyDescent="0.35">
      <c r="A135" s="2"/>
      <c r="B135" s="24"/>
      <c r="C135" s="24"/>
      <c r="D135" s="24"/>
      <c r="E135" s="24"/>
      <c r="F135" s="24"/>
      <c r="G135" s="24"/>
      <c r="H135" s="24"/>
      <c r="I135" s="24"/>
      <c r="J135" s="24"/>
      <c r="K135" s="24"/>
      <c r="L135" s="24"/>
      <c r="M135" s="24"/>
      <c r="N135" s="24"/>
      <c r="O135" s="24"/>
      <c r="P135" s="24"/>
      <c r="Q135" s="24"/>
      <c r="R135" s="2"/>
      <c r="S135" s="2"/>
      <c r="T135" s="25"/>
      <c r="U135" s="25"/>
    </row>
    <row r="136" spans="1:21" ht="14.25" customHeight="1" x14ac:dyDescent="0.35">
      <c r="A136" s="2"/>
      <c r="B136" s="24"/>
      <c r="C136" s="24"/>
      <c r="D136" s="24"/>
      <c r="E136" s="24"/>
      <c r="F136" s="24"/>
      <c r="G136" s="24"/>
      <c r="H136" s="24"/>
      <c r="I136" s="24"/>
      <c r="J136" s="24"/>
      <c r="K136" s="24"/>
      <c r="L136" s="24"/>
      <c r="M136" s="24"/>
      <c r="N136" s="24"/>
      <c r="O136" s="24"/>
      <c r="P136" s="24"/>
      <c r="Q136" s="24"/>
      <c r="R136" s="2"/>
      <c r="S136" s="2"/>
      <c r="T136" s="25"/>
      <c r="U136" s="25"/>
    </row>
    <row r="137" spans="1:21" ht="14.25" customHeight="1" x14ac:dyDescent="0.35">
      <c r="A137" s="2"/>
      <c r="B137" s="24"/>
      <c r="C137" s="24"/>
      <c r="D137" s="24"/>
      <c r="E137" s="24"/>
      <c r="F137" s="24"/>
      <c r="G137" s="24"/>
      <c r="H137" s="24"/>
      <c r="I137" s="24"/>
      <c r="J137" s="24"/>
      <c r="K137" s="24"/>
      <c r="L137" s="24"/>
      <c r="M137" s="24"/>
      <c r="N137" s="24"/>
      <c r="O137" s="24"/>
      <c r="P137" s="24"/>
      <c r="Q137" s="24"/>
      <c r="R137" s="2"/>
      <c r="S137" s="2"/>
      <c r="T137" s="25"/>
      <c r="U137" s="25"/>
    </row>
    <row r="138" spans="1:21" ht="14.25" customHeight="1" x14ac:dyDescent="0.35">
      <c r="A138" s="2"/>
      <c r="B138" s="24"/>
      <c r="C138" s="24"/>
      <c r="D138" s="24"/>
      <c r="E138" s="24"/>
      <c r="F138" s="24"/>
      <c r="G138" s="24"/>
      <c r="H138" s="24"/>
      <c r="I138" s="24"/>
      <c r="J138" s="24"/>
      <c r="K138" s="24"/>
      <c r="L138" s="24"/>
      <c r="M138" s="24"/>
      <c r="N138" s="24"/>
      <c r="O138" s="24"/>
      <c r="P138" s="24"/>
      <c r="Q138" s="24"/>
      <c r="R138" s="2"/>
      <c r="S138" s="2"/>
      <c r="T138" s="25"/>
      <c r="U138" s="25"/>
    </row>
    <row r="139" spans="1:21" ht="14.25" customHeight="1" x14ac:dyDescent="0.35">
      <c r="A139" s="2"/>
      <c r="B139" s="24"/>
      <c r="C139" s="24"/>
      <c r="D139" s="24"/>
      <c r="E139" s="24"/>
      <c r="F139" s="24"/>
      <c r="G139" s="24"/>
      <c r="H139" s="24"/>
      <c r="I139" s="24"/>
      <c r="J139" s="24"/>
      <c r="K139" s="24"/>
      <c r="L139" s="24"/>
      <c r="M139" s="24"/>
      <c r="N139" s="24"/>
      <c r="O139" s="24"/>
      <c r="P139" s="24"/>
      <c r="Q139" s="24"/>
      <c r="R139" s="2"/>
      <c r="S139" s="2"/>
      <c r="T139" s="25"/>
      <c r="U139" s="25"/>
    </row>
    <row r="140" spans="1:21" ht="14.25" customHeight="1" x14ac:dyDescent="0.35">
      <c r="A140" s="2"/>
      <c r="B140" s="24"/>
      <c r="C140" s="24"/>
      <c r="D140" s="24"/>
      <c r="E140" s="24"/>
      <c r="F140" s="24"/>
      <c r="G140" s="24"/>
      <c r="H140" s="24"/>
      <c r="I140" s="24"/>
      <c r="J140" s="24"/>
      <c r="K140" s="24"/>
      <c r="L140" s="24"/>
      <c r="M140" s="24"/>
      <c r="N140" s="24"/>
      <c r="O140" s="24"/>
      <c r="P140" s="24"/>
      <c r="Q140" s="24"/>
      <c r="R140" s="2"/>
      <c r="S140" s="2"/>
      <c r="T140" s="25"/>
      <c r="U140" s="25"/>
    </row>
    <row r="141" spans="1:21" ht="14.25" customHeight="1" x14ac:dyDescent="0.35">
      <c r="A141" s="2"/>
      <c r="B141" s="24"/>
      <c r="C141" s="24"/>
      <c r="D141" s="24"/>
      <c r="E141" s="24"/>
      <c r="F141" s="24"/>
      <c r="G141" s="24"/>
      <c r="H141" s="24"/>
      <c r="I141" s="24"/>
      <c r="J141" s="24"/>
      <c r="K141" s="24"/>
      <c r="L141" s="24"/>
      <c r="M141" s="24"/>
      <c r="N141" s="24"/>
      <c r="O141" s="24"/>
      <c r="P141" s="24"/>
      <c r="Q141" s="24"/>
      <c r="R141" s="2"/>
      <c r="S141" s="2"/>
      <c r="T141" s="25"/>
      <c r="U141" s="25"/>
    </row>
    <row r="142" spans="1:21" ht="14.25" customHeight="1" x14ac:dyDescent="0.35">
      <c r="A142" s="2"/>
      <c r="B142" s="24"/>
      <c r="C142" s="24"/>
      <c r="D142" s="24"/>
      <c r="E142" s="24"/>
      <c r="F142" s="24"/>
      <c r="G142" s="24"/>
      <c r="H142" s="24"/>
      <c r="I142" s="24"/>
      <c r="J142" s="24"/>
      <c r="K142" s="24"/>
      <c r="L142" s="24"/>
      <c r="M142" s="24"/>
      <c r="N142" s="24"/>
      <c r="O142" s="24"/>
      <c r="P142" s="24"/>
      <c r="Q142" s="24"/>
      <c r="R142" s="2"/>
      <c r="S142" s="2"/>
      <c r="T142" s="25"/>
      <c r="U142" s="25"/>
    </row>
    <row r="143" spans="1:21" ht="14.25" customHeight="1" x14ac:dyDescent="0.35">
      <c r="A143" s="2"/>
      <c r="B143" s="24"/>
      <c r="C143" s="24"/>
      <c r="D143" s="24"/>
      <c r="E143" s="24"/>
      <c r="F143" s="24"/>
      <c r="G143" s="24"/>
      <c r="H143" s="24"/>
      <c r="I143" s="24"/>
      <c r="J143" s="24"/>
      <c r="K143" s="24"/>
      <c r="L143" s="24"/>
      <c r="M143" s="24"/>
      <c r="N143" s="24"/>
      <c r="O143" s="24"/>
      <c r="P143" s="24"/>
      <c r="Q143" s="24"/>
      <c r="R143" s="2"/>
      <c r="S143" s="2"/>
      <c r="T143" s="25"/>
      <c r="U143" s="25"/>
    </row>
    <row r="144" spans="1:21" ht="14.25" customHeight="1" x14ac:dyDescent="0.35">
      <c r="A144" s="2"/>
      <c r="B144" s="24"/>
      <c r="C144" s="24"/>
      <c r="D144" s="24"/>
      <c r="E144" s="24"/>
      <c r="F144" s="24"/>
      <c r="G144" s="24"/>
      <c r="H144" s="24"/>
      <c r="I144" s="24"/>
      <c r="J144" s="24"/>
      <c r="K144" s="24"/>
      <c r="L144" s="24"/>
      <c r="M144" s="24"/>
      <c r="N144" s="24"/>
      <c r="O144" s="24"/>
      <c r="P144" s="24"/>
      <c r="Q144" s="24"/>
      <c r="R144" s="2"/>
      <c r="S144" s="2"/>
      <c r="T144" s="25"/>
      <c r="U144" s="25"/>
    </row>
    <row r="145" spans="1:21" ht="14.25" customHeight="1" x14ac:dyDescent="0.35">
      <c r="A145" s="2"/>
      <c r="B145" s="24"/>
      <c r="C145" s="24"/>
      <c r="D145" s="24"/>
      <c r="E145" s="24"/>
      <c r="F145" s="24"/>
      <c r="G145" s="24"/>
      <c r="H145" s="24"/>
      <c r="I145" s="24"/>
      <c r="J145" s="24"/>
      <c r="K145" s="24"/>
      <c r="L145" s="24"/>
      <c r="M145" s="24"/>
      <c r="N145" s="24"/>
      <c r="O145" s="24"/>
      <c r="P145" s="24"/>
      <c r="Q145" s="24"/>
      <c r="R145" s="2"/>
      <c r="S145" s="2"/>
      <c r="T145" s="25"/>
      <c r="U145" s="25"/>
    </row>
    <row r="146" spans="1:21" ht="14.25" customHeight="1" x14ac:dyDescent="0.35">
      <c r="A146" s="2"/>
      <c r="B146" s="24"/>
      <c r="C146" s="24"/>
      <c r="D146" s="24"/>
      <c r="E146" s="24"/>
      <c r="F146" s="24"/>
      <c r="G146" s="24"/>
      <c r="H146" s="24"/>
      <c r="I146" s="24"/>
      <c r="J146" s="24"/>
      <c r="K146" s="24"/>
      <c r="L146" s="24"/>
      <c r="M146" s="24"/>
      <c r="N146" s="24"/>
      <c r="O146" s="24"/>
      <c r="P146" s="24"/>
      <c r="Q146" s="24"/>
      <c r="R146" s="2"/>
      <c r="S146" s="2"/>
      <c r="T146" s="25"/>
      <c r="U146" s="25"/>
    </row>
    <row r="147" spans="1:21" ht="14.25" customHeight="1" x14ac:dyDescent="0.35">
      <c r="A147" s="2"/>
      <c r="B147" s="24"/>
      <c r="C147" s="24"/>
      <c r="D147" s="24"/>
      <c r="E147" s="24"/>
      <c r="F147" s="24"/>
      <c r="G147" s="24"/>
      <c r="H147" s="24"/>
      <c r="I147" s="24"/>
      <c r="J147" s="24"/>
      <c r="K147" s="24"/>
      <c r="L147" s="24"/>
      <c r="M147" s="24"/>
      <c r="N147" s="24"/>
      <c r="O147" s="24"/>
      <c r="P147" s="24"/>
      <c r="Q147" s="24"/>
      <c r="R147" s="2"/>
      <c r="S147" s="2"/>
      <c r="T147" s="25"/>
      <c r="U147" s="25"/>
    </row>
    <row r="148" spans="1:21" ht="14.25" customHeight="1" x14ac:dyDescent="0.35">
      <c r="A148" s="2"/>
      <c r="B148" s="24"/>
      <c r="C148" s="24"/>
      <c r="D148" s="24"/>
      <c r="E148" s="24"/>
      <c r="F148" s="24"/>
      <c r="G148" s="24"/>
      <c r="H148" s="24"/>
      <c r="I148" s="24"/>
      <c r="J148" s="24"/>
      <c r="K148" s="24"/>
      <c r="L148" s="24"/>
      <c r="M148" s="24"/>
      <c r="N148" s="24"/>
      <c r="O148" s="24"/>
      <c r="P148" s="24"/>
      <c r="Q148" s="24"/>
      <c r="R148" s="2"/>
      <c r="S148" s="2"/>
      <c r="T148" s="25"/>
      <c r="U148" s="25"/>
    </row>
    <row r="149" spans="1:21" ht="14.25" customHeight="1" x14ac:dyDescent="0.35">
      <c r="A149" s="2"/>
      <c r="B149" s="24"/>
      <c r="C149" s="24"/>
      <c r="D149" s="24"/>
      <c r="E149" s="24"/>
      <c r="F149" s="24"/>
      <c r="G149" s="24"/>
      <c r="H149" s="24"/>
      <c r="I149" s="24"/>
      <c r="J149" s="24"/>
      <c r="K149" s="24"/>
      <c r="L149" s="24"/>
      <c r="M149" s="24"/>
      <c r="N149" s="24"/>
      <c r="O149" s="24"/>
      <c r="P149" s="24"/>
      <c r="Q149" s="24"/>
      <c r="R149" s="2"/>
      <c r="S149" s="2"/>
      <c r="T149" s="25"/>
      <c r="U149" s="25"/>
    </row>
    <row r="150" spans="1:21" ht="14.25" customHeight="1" x14ac:dyDescent="0.35">
      <c r="A150" s="2"/>
      <c r="B150" s="24"/>
      <c r="C150" s="24"/>
      <c r="D150" s="24"/>
      <c r="E150" s="24"/>
      <c r="F150" s="24"/>
      <c r="G150" s="24"/>
      <c r="H150" s="24"/>
      <c r="I150" s="24"/>
      <c r="J150" s="24"/>
      <c r="K150" s="24"/>
      <c r="L150" s="24"/>
      <c r="M150" s="24"/>
      <c r="N150" s="24"/>
      <c r="O150" s="24"/>
      <c r="P150" s="24"/>
      <c r="Q150" s="24"/>
      <c r="R150" s="2"/>
      <c r="S150" s="2"/>
      <c r="T150" s="25"/>
      <c r="U150" s="25"/>
    </row>
    <row r="151" spans="1:21" ht="14.25" customHeight="1" x14ac:dyDescent="0.35">
      <c r="A151" s="2"/>
      <c r="B151" s="24"/>
      <c r="C151" s="24"/>
      <c r="D151" s="24"/>
      <c r="E151" s="24"/>
      <c r="F151" s="24"/>
      <c r="G151" s="24"/>
      <c r="H151" s="24"/>
      <c r="I151" s="24"/>
      <c r="J151" s="24"/>
      <c r="K151" s="24"/>
      <c r="L151" s="24"/>
      <c r="M151" s="24"/>
      <c r="N151" s="24"/>
      <c r="O151" s="24"/>
      <c r="P151" s="24"/>
      <c r="Q151" s="24"/>
      <c r="R151" s="2"/>
      <c r="S151" s="2"/>
      <c r="T151" s="25"/>
      <c r="U151" s="25"/>
    </row>
    <row r="152" spans="1:21" ht="14.25" customHeight="1" x14ac:dyDescent="0.35">
      <c r="A152" s="2"/>
      <c r="B152" s="24"/>
      <c r="C152" s="24"/>
      <c r="D152" s="24"/>
      <c r="E152" s="24"/>
      <c r="F152" s="24"/>
      <c r="G152" s="24"/>
      <c r="H152" s="24"/>
      <c r="I152" s="24"/>
      <c r="J152" s="24"/>
      <c r="K152" s="24"/>
      <c r="L152" s="24"/>
      <c r="M152" s="24"/>
      <c r="N152" s="24"/>
      <c r="O152" s="24"/>
      <c r="P152" s="24"/>
      <c r="Q152" s="24"/>
      <c r="R152" s="2"/>
      <c r="S152" s="2"/>
      <c r="T152" s="25"/>
      <c r="U152" s="25"/>
    </row>
    <row r="153" spans="1:21" ht="14.25" customHeight="1" x14ac:dyDescent="0.35">
      <c r="A153" s="2"/>
      <c r="B153" s="24"/>
      <c r="C153" s="24"/>
      <c r="D153" s="24"/>
      <c r="E153" s="24"/>
      <c r="F153" s="24"/>
      <c r="G153" s="24"/>
      <c r="H153" s="24"/>
      <c r="I153" s="24"/>
      <c r="J153" s="24"/>
      <c r="K153" s="24"/>
      <c r="L153" s="24"/>
      <c r="M153" s="24"/>
      <c r="N153" s="24"/>
      <c r="O153" s="24"/>
      <c r="P153" s="24"/>
      <c r="Q153" s="24"/>
      <c r="R153" s="2"/>
      <c r="S153" s="2"/>
      <c r="T153" s="25"/>
      <c r="U153" s="25"/>
    </row>
    <row r="154" spans="1:21" ht="14.25" customHeight="1" x14ac:dyDescent="0.35">
      <c r="A154" s="2"/>
      <c r="B154" s="24"/>
      <c r="C154" s="24"/>
      <c r="D154" s="24"/>
      <c r="E154" s="24"/>
      <c r="F154" s="24"/>
      <c r="G154" s="24"/>
      <c r="H154" s="24"/>
      <c r="I154" s="24"/>
      <c r="J154" s="24"/>
      <c r="K154" s="24"/>
      <c r="L154" s="24"/>
      <c r="M154" s="24"/>
      <c r="N154" s="24"/>
      <c r="O154" s="24"/>
      <c r="P154" s="24"/>
      <c r="Q154" s="24"/>
      <c r="R154" s="2"/>
      <c r="S154" s="2"/>
      <c r="T154" s="25"/>
      <c r="U154" s="25"/>
    </row>
    <row r="155" spans="1:21" ht="14.25" customHeight="1" x14ac:dyDescent="0.35">
      <c r="A155" s="2"/>
      <c r="B155" s="24"/>
      <c r="C155" s="24"/>
      <c r="D155" s="24"/>
      <c r="E155" s="24"/>
      <c r="F155" s="24"/>
      <c r="G155" s="24"/>
      <c r="H155" s="24"/>
      <c r="I155" s="24"/>
      <c r="J155" s="24"/>
      <c r="K155" s="24"/>
      <c r="L155" s="24"/>
      <c r="M155" s="24"/>
      <c r="N155" s="24"/>
      <c r="O155" s="24"/>
      <c r="P155" s="24"/>
      <c r="Q155" s="24"/>
      <c r="R155" s="2"/>
      <c r="S155" s="2"/>
      <c r="T155" s="25"/>
      <c r="U155" s="25"/>
    </row>
    <row r="156" spans="1:21" ht="14.25" customHeight="1" x14ac:dyDescent="0.35">
      <c r="A156" s="2"/>
      <c r="B156" s="24"/>
      <c r="C156" s="24"/>
      <c r="D156" s="24"/>
      <c r="E156" s="24"/>
      <c r="F156" s="24"/>
      <c r="G156" s="24"/>
      <c r="H156" s="24"/>
      <c r="I156" s="24"/>
      <c r="J156" s="24"/>
      <c r="K156" s="24"/>
      <c r="L156" s="24"/>
      <c r="M156" s="24"/>
      <c r="N156" s="24"/>
      <c r="O156" s="24"/>
      <c r="P156" s="24"/>
      <c r="Q156" s="24"/>
      <c r="R156" s="2"/>
      <c r="S156" s="2"/>
      <c r="T156" s="25"/>
      <c r="U156" s="25"/>
    </row>
    <row r="157" spans="1:21" ht="14.25" customHeight="1" x14ac:dyDescent="0.35">
      <c r="A157" s="2"/>
      <c r="B157" s="24"/>
      <c r="C157" s="24"/>
      <c r="D157" s="24"/>
      <c r="E157" s="24"/>
      <c r="F157" s="24"/>
      <c r="G157" s="24"/>
      <c r="H157" s="24"/>
      <c r="I157" s="24"/>
      <c r="J157" s="24"/>
      <c r="K157" s="24"/>
      <c r="L157" s="24"/>
      <c r="M157" s="24"/>
      <c r="N157" s="24"/>
      <c r="O157" s="24"/>
      <c r="P157" s="24"/>
      <c r="Q157" s="24"/>
      <c r="R157" s="2"/>
      <c r="S157" s="2"/>
      <c r="T157" s="25"/>
      <c r="U157" s="25"/>
    </row>
    <row r="158" spans="1:21" ht="14.25" customHeight="1" x14ac:dyDescent="0.35">
      <c r="A158" s="2"/>
      <c r="B158" s="24"/>
      <c r="C158" s="24"/>
      <c r="D158" s="24"/>
      <c r="E158" s="24"/>
      <c r="F158" s="24"/>
      <c r="G158" s="24"/>
      <c r="H158" s="24"/>
      <c r="I158" s="24"/>
      <c r="J158" s="24"/>
      <c r="K158" s="24"/>
      <c r="L158" s="24"/>
      <c r="M158" s="24"/>
      <c r="N158" s="24"/>
      <c r="O158" s="24"/>
      <c r="P158" s="24"/>
      <c r="Q158" s="24"/>
      <c r="R158" s="2"/>
      <c r="S158" s="2"/>
      <c r="T158" s="25"/>
      <c r="U158" s="25"/>
    </row>
    <row r="159" spans="1:21" ht="14.25" customHeight="1" x14ac:dyDescent="0.35">
      <c r="A159" s="2"/>
      <c r="B159" s="24"/>
      <c r="C159" s="24"/>
      <c r="D159" s="24"/>
      <c r="E159" s="24"/>
      <c r="F159" s="24"/>
      <c r="G159" s="24"/>
      <c r="H159" s="24"/>
      <c r="I159" s="24"/>
      <c r="J159" s="24"/>
      <c r="K159" s="24"/>
      <c r="L159" s="24"/>
      <c r="M159" s="24"/>
      <c r="N159" s="24"/>
      <c r="O159" s="24"/>
      <c r="P159" s="24"/>
      <c r="Q159" s="24"/>
      <c r="R159" s="2"/>
      <c r="S159" s="2"/>
      <c r="T159" s="25"/>
      <c r="U159" s="25"/>
    </row>
    <row r="160" spans="1:21" ht="14.25" customHeight="1" x14ac:dyDescent="0.35">
      <c r="A160" s="2"/>
      <c r="B160" s="24"/>
      <c r="C160" s="24"/>
      <c r="D160" s="24"/>
      <c r="E160" s="24"/>
      <c r="F160" s="24"/>
      <c r="G160" s="24"/>
      <c r="H160" s="24"/>
      <c r="I160" s="24"/>
      <c r="J160" s="24"/>
      <c r="K160" s="24"/>
      <c r="L160" s="24"/>
      <c r="M160" s="24"/>
      <c r="N160" s="24"/>
      <c r="O160" s="24"/>
      <c r="P160" s="24"/>
      <c r="Q160" s="24"/>
      <c r="R160" s="2"/>
      <c r="S160" s="2"/>
      <c r="T160" s="25"/>
      <c r="U160" s="25"/>
    </row>
    <row r="161" spans="1:21" ht="14.25" customHeight="1" x14ac:dyDescent="0.35">
      <c r="A161" s="2"/>
      <c r="B161" s="24"/>
      <c r="C161" s="24"/>
      <c r="D161" s="24"/>
      <c r="E161" s="24"/>
      <c r="F161" s="24"/>
      <c r="G161" s="24"/>
      <c r="H161" s="24"/>
      <c r="I161" s="24"/>
      <c r="J161" s="24"/>
      <c r="K161" s="24"/>
      <c r="L161" s="24"/>
      <c r="M161" s="24"/>
      <c r="N161" s="24"/>
      <c r="O161" s="24"/>
      <c r="P161" s="24"/>
      <c r="Q161" s="24"/>
      <c r="R161" s="2"/>
      <c r="S161" s="2"/>
      <c r="T161" s="25"/>
      <c r="U161" s="25"/>
    </row>
    <row r="162" spans="1:21" ht="14.25" customHeight="1" x14ac:dyDescent="0.35">
      <c r="A162" s="2"/>
      <c r="B162" s="24"/>
      <c r="C162" s="24"/>
      <c r="D162" s="24"/>
      <c r="E162" s="24"/>
      <c r="F162" s="24"/>
      <c r="G162" s="24"/>
      <c r="H162" s="24"/>
      <c r="I162" s="24"/>
      <c r="J162" s="24"/>
      <c r="K162" s="24"/>
      <c r="L162" s="24"/>
      <c r="M162" s="24"/>
      <c r="N162" s="24"/>
      <c r="O162" s="24"/>
      <c r="P162" s="24"/>
      <c r="Q162" s="24"/>
      <c r="R162" s="2"/>
      <c r="S162" s="2"/>
      <c r="T162" s="25"/>
      <c r="U162" s="25"/>
    </row>
    <row r="163" spans="1:21" ht="14.25" customHeight="1" x14ac:dyDescent="0.35">
      <c r="A163" s="2"/>
      <c r="B163" s="24"/>
      <c r="C163" s="24"/>
      <c r="D163" s="24"/>
      <c r="E163" s="24"/>
      <c r="F163" s="24"/>
      <c r="G163" s="24"/>
      <c r="H163" s="24"/>
      <c r="I163" s="24"/>
      <c r="J163" s="24"/>
      <c r="K163" s="24"/>
      <c r="L163" s="24"/>
      <c r="M163" s="24"/>
      <c r="N163" s="24"/>
      <c r="O163" s="24"/>
      <c r="P163" s="24"/>
      <c r="Q163" s="24"/>
      <c r="R163" s="2"/>
      <c r="S163" s="2"/>
      <c r="T163" s="25"/>
      <c r="U163" s="25"/>
    </row>
    <row r="164" spans="1:21" ht="14.25" customHeight="1" x14ac:dyDescent="0.35">
      <c r="A164" s="2"/>
      <c r="B164" s="24"/>
      <c r="C164" s="24"/>
      <c r="D164" s="24"/>
      <c r="E164" s="24"/>
      <c r="F164" s="24"/>
      <c r="G164" s="24"/>
      <c r="H164" s="24"/>
      <c r="I164" s="24"/>
      <c r="J164" s="24"/>
      <c r="K164" s="24"/>
      <c r="L164" s="24"/>
      <c r="M164" s="24"/>
      <c r="N164" s="24"/>
      <c r="O164" s="24"/>
      <c r="P164" s="24"/>
      <c r="Q164" s="24"/>
      <c r="R164" s="2"/>
      <c r="S164" s="2"/>
      <c r="T164" s="25"/>
      <c r="U164" s="25"/>
    </row>
    <row r="165" spans="1:21" ht="14.25" customHeight="1" x14ac:dyDescent="0.35">
      <c r="A165" s="2"/>
      <c r="B165" s="24"/>
      <c r="C165" s="24"/>
      <c r="D165" s="24"/>
      <c r="E165" s="24"/>
      <c r="F165" s="24"/>
      <c r="G165" s="24"/>
      <c r="H165" s="24"/>
      <c r="I165" s="24"/>
      <c r="J165" s="24"/>
      <c r="K165" s="24"/>
      <c r="L165" s="24"/>
      <c r="M165" s="24"/>
      <c r="N165" s="24"/>
      <c r="O165" s="24"/>
      <c r="P165" s="24"/>
      <c r="Q165" s="24"/>
      <c r="R165" s="2"/>
      <c r="S165" s="2"/>
      <c r="T165" s="25"/>
      <c r="U165" s="25"/>
    </row>
    <row r="166" spans="1:21" ht="14.25" customHeight="1" x14ac:dyDescent="0.35">
      <c r="A166" s="2"/>
      <c r="B166" s="24"/>
      <c r="C166" s="24"/>
      <c r="D166" s="24"/>
      <c r="E166" s="24"/>
      <c r="F166" s="24"/>
      <c r="G166" s="24"/>
      <c r="H166" s="24"/>
      <c r="I166" s="24"/>
      <c r="J166" s="24"/>
      <c r="K166" s="24"/>
      <c r="L166" s="24"/>
      <c r="M166" s="24"/>
      <c r="N166" s="24"/>
      <c r="O166" s="24"/>
      <c r="P166" s="24"/>
      <c r="Q166" s="24"/>
      <c r="R166" s="2"/>
      <c r="S166" s="2"/>
      <c r="T166" s="25"/>
      <c r="U166" s="25"/>
    </row>
    <row r="167" spans="1:21" ht="14.25" customHeight="1" x14ac:dyDescent="0.35">
      <c r="A167" s="2"/>
      <c r="B167" s="24"/>
      <c r="C167" s="24"/>
      <c r="D167" s="24"/>
      <c r="E167" s="24"/>
      <c r="F167" s="24"/>
      <c r="G167" s="24"/>
      <c r="H167" s="24"/>
      <c r="I167" s="24"/>
      <c r="J167" s="24"/>
      <c r="K167" s="24"/>
      <c r="L167" s="24"/>
      <c r="M167" s="24"/>
      <c r="N167" s="24"/>
      <c r="O167" s="24"/>
      <c r="P167" s="24"/>
      <c r="Q167" s="24"/>
      <c r="R167" s="2"/>
      <c r="S167" s="2"/>
      <c r="T167" s="25"/>
      <c r="U167" s="25"/>
    </row>
    <row r="168" spans="1:21" ht="14.25" customHeight="1" x14ac:dyDescent="0.35">
      <c r="A168" s="2"/>
      <c r="B168" s="24"/>
      <c r="C168" s="24"/>
      <c r="D168" s="24"/>
      <c r="E168" s="24"/>
      <c r="F168" s="24"/>
      <c r="G168" s="24"/>
      <c r="H168" s="24"/>
      <c r="I168" s="24"/>
      <c r="J168" s="24"/>
      <c r="K168" s="24"/>
      <c r="L168" s="24"/>
      <c r="M168" s="24"/>
      <c r="N168" s="24"/>
      <c r="O168" s="24"/>
      <c r="P168" s="24"/>
      <c r="Q168" s="24"/>
      <c r="R168" s="2"/>
      <c r="S168" s="2"/>
      <c r="T168" s="25"/>
      <c r="U168" s="25"/>
    </row>
    <row r="169" spans="1:21" ht="14.25" customHeight="1" x14ac:dyDescent="0.35">
      <c r="A169" s="2"/>
      <c r="B169" s="24"/>
      <c r="C169" s="24"/>
      <c r="D169" s="24"/>
      <c r="E169" s="24"/>
      <c r="F169" s="24"/>
      <c r="G169" s="24"/>
      <c r="H169" s="24"/>
      <c r="I169" s="24"/>
      <c r="J169" s="24"/>
      <c r="K169" s="24"/>
      <c r="L169" s="24"/>
      <c r="M169" s="24"/>
      <c r="N169" s="24"/>
      <c r="O169" s="24"/>
      <c r="P169" s="24"/>
      <c r="Q169" s="24"/>
      <c r="R169" s="2"/>
      <c r="S169" s="2"/>
      <c r="T169" s="25"/>
      <c r="U169" s="25"/>
    </row>
    <row r="170" spans="1:21" ht="14.25" customHeight="1" x14ac:dyDescent="0.35">
      <c r="A170" s="2"/>
      <c r="B170" s="24"/>
      <c r="C170" s="24"/>
      <c r="D170" s="24"/>
      <c r="E170" s="24"/>
      <c r="F170" s="24"/>
      <c r="G170" s="24"/>
      <c r="H170" s="24"/>
      <c r="I170" s="24"/>
      <c r="J170" s="24"/>
      <c r="K170" s="24"/>
      <c r="L170" s="24"/>
      <c r="M170" s="24"/>
      <c r="N170" s="24"/>
      <c r="O170" s="24"/>
      <c r="P170" s="24"/>
      <c r="Q170" s="24"/>
      <c r="R170" s="2"/>
      <c r="S170" s="2"/>
      <c r="T170" s="25"/>
      <c r="U170" s="25"/>
    </row>
    <row r="171" spans="1:21" ht="14.25" customHeight="1" x14ac:dyDescent="0.35">
      <c r="A171" s="2"/>
      <c r="B171" s="24"/>
      <c r="C171" s="24"/>
      <c r="D171" s="24"/>
      <c r="E171" s="24"/>
      <c r="F171" s="24"/>
      <c r="G171" s="24"/>
      <c r="H171" s="24"/>
      <c r="I171" s="24"/>
      <c r="J171" s="24"/>
      <c r="K171" s="24"/>
      <c r="L171" s="24"/>
      <c r="M171" s="24"/>
      <c r="N171" s="24"/>
      <c r="O171" s="24"/>
      <c r="P171" s="24"/>
      <c r="Q171" s="24"/>
      <c r="R171" s="2"/>
      <c r="S171" s="2"/>
      <c r="T171" s="25"/>
      <c r="U171" s="25"/>
    </row>
    <row r="172" spans="1:21" ht="14.25" customHeight="1" x14ac:dyDescent="0.35">
      <c r="A172" s="2"/>
      <c r="B172" s="24"/>
      <c r="C172" s="24"/>
      <c r="D172" s="24"/>
      <c r="E172" s="24"/>
      <c r="F172" s="24"/>
      <c r="G172" s="24"/>
      <c r="H172" s="24"/>
      <c r="I172" s="24"/>
      <c r="J172" s="24"/>
      <c r="K172" s="24"/>
      <c r="L172" s="24"/>
      <c r="M172" s="24"/>
      <c r="N172" s="24"/>
      <c r="O172" s="24"/>
      <c r="P172" s="24"/>
      <c r="Q172" s="24"/>
      <c r="R172" s="2"/>
      <c r="S172" s="2"/>
      <c r="T172" s="25"/>
      <c r="U172" s="25"/>
    </row>
    <row r="173" spans="1:21" ht="14.25" customHeight="1" x14ac:dyDescent="0.35">
      <c r="A173" s="2"/>
      <c r="B173" s="24"/>
      <c r="C173" s="24"/>
      <c r="D173" s="24"/>
      <c r="E173" s="24"/>
      <c r="F173" s="24"/>
      <c r="G173" s="24"/>
      <c r="H173" s="24"/>
      <c r="I173" s="24"/>
      <c r="J173" s="24"/>
      <c r="K173" s="24"/>
      <c r="L173" s="24"/>
      <c r="M173" s="24"/>
      <c r="N173" s="24"/>
      <c r="O173" s="24"/>
      <c r="P173" s="24"/>
      <c r="Q173" s="24"/>
      <c r="R173" s="2"/>
      <c r="S173" s="2"/>
      <c r="T173" s="25"/>
      <c r="U173" s="25"/>
    </row>
    <row r="174" spans="1:21" ht="14.25" customHeight="1" x14ac:dyDescent="0.35">
      <c r="A174" s="2"/>
      <c r="B174" s="24"/>
      <c r="C174" s="24"/>
      <c r="D174" s="24"/>
      <c r="E174" s="24"/>
      <c r="F174" s="24"/>
      <c r="G174" s="24"/>
      <c r="H174" s="24"/>
      <c r="I174" s="24"/>
      <c r="J174" s="24"/>
      <c r="K174" s="24"/>
      <c r="L174" s="24"/>
      <c r="M174" s="24"/>
      <c r="N174" s="24"/>
      <c r="O174" s="24"/>
      <c r="P174" s="24"/>
      <c r="Q174" s="24"/>
      <c r="R174" s="2"/>
      <c r="S174" s="2"/>
      <c r="T174" s="25"/>
      <c r="U174" s="25"/>
    </row>
    <row r="175" spans="1:21" ht="14.25" customHeight="1" x14ac:dyDescent="0.35">
      <c r="A175" s="2"/>
      <c r="B175" s="24"/>
      <c r="C175" s="24"/>
      <c r="D175" s="24"/>
      <c r="E175" s="24"/>
      <c r="F175" s="24"/>
      <c r="G175" s="24"/>
      <c r="H175" s="24"/>
      <c r="I175" s="24"/>
      <c r="J175" s="24"/>
      <c r="K175" s="24"/>
      <c r="L175" s="24"/>
      <c r="M175" s="24"/>
      <c r="N175" s="24"/>
      <c r="O175" s="24"/>
      <c r="P175" s="24"/>
      <c r="Q175" s="24"/>
      <c r="R175" s="2"/>
      <c r="S175" s="2"/>
      <c r="T175" s="25"/>
      <c r="U175" s="25"/>
    </row>
    <row r="176" spans="1:21" ht="14.25" customHeight="1" x14ac:dyDescent="0.35">
      <c r="A176" s="2"/>
      <c r="B176" s="24"/>
      <c r="C176" s="24"/>
      <c r="D176" s="24"/>
      <c r="E176" s="24"/>
      <c r="F176" s="24"/>
      <c r="G176" s="24"/>
      <c r="H176" s="24"/>
      <c r="I176" s="24"/>
      <c r="J176" s="24"/>
      <c r="K176" s="24"/>
      <c r="L176" s="24"/>
      <c r="M176" s="24"/>
      <c r="N176" s="24"/>
      <c r="O176" s="24"/>
      <c r="P176" s="24"/>
      <c r="Q176" s="24"/>
      <c r="R176" s="2"/>
      <c r="S176" s="2"/>
      <c r="T176" s="25"/>
      <c r="U176" s="25"/>
    </row>
    <row r="177" spans="1:21" ht="14.25" customHeight="1" x14ac:dyDescent="0.35">
      <c r="A177" s="2"/>
      <c r="B177" s="24"/>
      <c r="C177" s="24"/>
      <c r="D177" s="24"/>
      <c r="E177" s="24"/>
      <c r="F177" s="24"/>
      <c r="G177" s="24"/>
      <c r="H177" s="24"/>
      <c r="I177" s="24"/>
      <c r="J177" s="24"/>
      <c r="K177" s="24"/>
      <c r="L177" s="24"/>
      <c r="M177" s="24"/>
      <c r="N177" s="24"/>
      <c r="O177" s="24"/>
      <c r="P177" s="24"/>
      <c r="Q177" s="24"/>
      <c r="R177" s="2"/>
      <c r="S177" s="2"/>
      <c r="T177" s="25"/>
      <c r="U177" s="25"/>
    </row>
    <row r="178" spans="1:21" ht="14.25" customHeight="1" x14ac:dyDescent="0.35">
      <c r="A178" s="2"/>
      <c r="B178" s="24"/>
      <c r="C178" s="24"/>
      <c r="D178" s="24"/>
      <c r="E178" s="24"/>
      <c r="F178" s="24"/>
      <c r="G178" s="24"/>
      <c r="H178" s="24"/>
      <c r="I178" s="24"/>
      <c r="J178" s="24"/>
      <c r="K178" s="24"/>
      <c r="L178" s="24"/>
      <c r="M178" s="24"/>
      <c r="N178" s="24"/>
      <c r="O178" s="24"/>
      <c r="P178" s="24"/>
      <c r="Q178" s="24"/>
      <c r="R178" s="2"/>
      <c r="S178" s="2"/>
      <c r="T178" s="25"/>
      <c r="U178" s="25"/>
    </row>
    <row r="179" spans="1:21" ht="14.25" customHeight="1" x14ac:dyDescent="0.35">
      <c r="A179" s="2"/>
      <c r="B179" s="24"/>
      <c r="C179" s="24"/>
      <c r="D179" s="24"/>
      <c r="E179" s="24"/>
      <c r="F179" s="24"/>
      <c r="G179" s="24"/>
      <c r="H179" s="24"/>
      <c r="I179" s="24"/>
      <c r="J179" s="24"/>
      <c r="K179" s="24"/>
      <c r="L179" s="24"/>
      <c r="M179" s="24"/>
      <c r="N179" s="24"/>
      <c r="O179" s="24"/>
      <c r="P179" s="24"/>
      <c r="Q179" s="24"/>
      <c r="R179" s="2"/>
      <c r="S179" s="2"/>
      <c r="T179" s="25"/>
      <c r="U179" s="25"/>
    </row>
    <row r="180" spans="1:21" ht="14.25" customHeight="1" x14ac:dyDescent="0.35">
      <c r="A180" s="2"/>
      <c r="B180" s="24"/>
      <c r="C180" s="24"/>
      <c r="D180" s="24"/>
      <c r="E180" s="24"/>
      <c r="F180" s="24"/>
      <c r="G180" s="24"/>
      <c r="H180" s="24"/>
      <c r="I180" s="24"/>
      <c r="J180" s="24"/>
      <c r="K180" s="24"/>
      <c r="L180" s="24"/>
      <c r="M180" s="24"/>
      <c r="N180" s="24"/>
      <c r="O180" s="24"/>
      <c r="P180" s="24"/>
      <c r="Q180" s="24"/>
      <c r="R180" s="2"/>
      <c r="S180" s="2"/>
      <c r="T180" s="25"/>
      <c r="U180" s="25"/>
    </row>
    <row r="181" spans="1:21" ht="14.25" customHeight="1" x14ac:dyDescent="0.35">
      <c r="A181" s="2"/>
      <c r="B181" s="24"/>
      <c r="C181" s="24"/>
      <c r="D181" s="24"/>
      <c r="E181" s="24"/>
      <c r="F181" s="24"/>
      <c r="G181" s="24"/>
      <c r="H181" s="24"/>
      <c r="I181" s="24"/>
      <c r="J181" s="24"/>
      <c r="K181" s="24"/>
      <c r="L181" s="24"/>
      <c r="M181" s="24"/>
      <c r="N181" s="24"/>
      <c r="O181" s="24"/>
      <c r="P181" s="24"/>
      <c r="Q181" s="24"/>
      <c r="R181" s="2"/>
      <c r="S181" s="2"/>
      <c r="T181" s="25"/>
      <c r="U181" s="25"/>
    </row>
    <row r="182" spans="1:21" ht="14.25" customHeight="1" x14ac:dyDescent="0.35">
      <c r="A182" s="2"/>
      <c r="B182" s="24"/>
      <c r="C182" s="24"/>
      <c r="D182" s="24"/>
      <c r="E182" s="24"/>
      <c r="F182" s="24"/>
      <c r="G182" s="24"/>
      <c r="H182" s="24"/>
      <c r="I182" s="24"/>
      <c r="J182" s="24"/>
      <c r="K182" s="24"/>
      <c r="L182" s="24"/>
      <c r="M182" s="24"/>
      <c r="N182" s="24"/>
      <c r="O182" s="24"/>
      <c r="P182" s="24"/>
      <c r="Q182" s="24"/>
      <c r="R182" s="2"/>
      <c r="S182" s="2"/>
      <c r="T182" s="25"/>
      <c r="U182" s="25"/>
    </row>
    <row r="183" spans="1:21" ht="14.25" customHeight="1" x14ac:dyDescent="0.35">
      <c r="A183" s="2"/>
      <c r="B183" s="24"/>
      <c r="C183" s="24"/>
      <c r="D183" s="24"/>
      <c r="E183" s="24"/>
      <c r="F183" s="24"/>
      <c r="G183" s="24"/>
      <c r="H183" s="24"/>
      <c r="I183" s="24"/>
      <c r="J183" s="24"/>
      <c r="K183" s="24"/>
      <c r="L183" s="24"/>
      <c r="M183" s="24"/>
      <c r="N183" s="24"/>
      <c r="O183" s="24"/>
      <c r="P183" s="24"/>
      <c r="Q183" s="24"/>
      <c r="R183" s="2"/>
      <c r="S183" s="2"/>
      <c r="T183" s="25"/>
      <c r="U183" s="25"/>
    </row>
    <row r="184" spans="1:21" ht="14.25" customHeight="1" x14ac:dyDescent="0.35">
      <c r="A184" s="2"/>
      <c r="B184" s="2"/>
      <c r="C184" s="2"/>
      <c r="D184" s="2"/>
      <c r="E184" s="2"/>
      <c r="F184" s="2"/>
      <c r="G184" s="2"/>
      <c r="H184" s="2"/>
      <c r="I184" s="2"/>
      <c r="J184" s="2"/>
      <c r="K184" s="34"/>
      <c r="L184" s="2"/>
      <c r="M184" s="2"/>
      <c r="N184" s="2"/>
      <c r="O184" s="2"/>
      <c r="P184" s="2"/>
      <c r="Q184" s="2"/>
      <c r="R184" s="2"/>
      <c r="S184" s="2"/>
      <c r="T184" s="25"/>
      <c r="U184" s="25"/>
    </row>
    <row r="185" spans="1:21" ht="14.25" customHeight="1" x14ac:dyDescent="0.35">
      <c r="A185" s="2"/>
      <c r="B185" s="2"/>
      <c r="C185" s="2"/>
      <c r="D185" s="2"/>
      <c r="E185" s="2"/>
      <c r="F185" s="2"/>
      <c r="G185" s="2"/>
      <c r="H185" s="2"/>
      <c r="I185" s="2"/>
      <c r="J185" s="2"/>
      <c r="K185" s="34"/>
      <c r="L185" s="2"/>
      <c r="M185" s="2"/>
      <c r="N185" s="2"/>
      <c r="O185" s="2"/>
      <c r="P185" s="2"/>
      <c r="Q185" s="2"/>
      <c r="R185" s="2"/>
      <c r="S185" s="2"/>
      <c r="T185" s="25"/>
      <c r="U185" s="25"/>
    </row>
    <row r="186" spans="1:21" ht="14.25" customHeight="1" x14ac:dyDescent="0.35">
      <c r="A186" s="2"/>
      <c r="B186" s="2"/>
      <c r="C186" s="2"/>
      <c r="D186" s="2"/>
      <c r="E186" s="2"/>
      <c r="F186" s="2"/>
      <c r="G186" s="2"/>
      <c r="H186" s="2"/>
      <c r="I186" s="2"/>
      <c r="J186" s="2"/>
      <c r="K186" s="34"/>
      <c r="L186" s="2"/>
      <c r="M186" s="2"/>
      <c r="N186" s="2"/>
      <c r="O186" s="2"/>
      <c r="P186" s="2"/>
      <c r="Q186" s="2"/>
      <c r="R186" s="2"/>
      <c r="S186" s="2"/>
      <c r="T186" s="25"/>
      <c r="U186" s="25"/>
    </row>
    <row r="187" spans="1:21" ht="14.25" customHeight="1" x14ac:dyDescent="0.35">
      <c r="A187" s="2"/>
      <c r="B187" s="2"/>
      <c r="C187" s="2"/>
      <c r="D187" s="2"/>
      <c r="E187" s="2"/>
      <c r="F187" s="2"/>
      <c r="G187" s="2"/>
      <c r="H187" s="2"/>
      <c r="I187" s="2"/>
      <c r="J187" s="2"/>
      <c r="K187" s="34"/>
      <c r="L187" s="2"/>
      <c r="M187" s="2"/>
      <c r="N187" s="2"/>
      <c r="O187" s="2"/>
      <c r="P187" s="2"/>
      <c r="Q187" s="2"/>
      <c r="R187" s="2"/>
      <c r="S187" s="2"/>
      <c r="T187" s="25"/>
      <c r="U187" s="25"/>
    </row>
    <row r="188" spans="1:21" ht="14.25" customHeight="1" x14ac:dyDescent="0.35">
      <c r="A188" s="2"/>
      <c r="B188" s="2"/>
      <c r="C188" s="2"/>
      <c r="D188" s="2"/>
      <c r="E188" s="2"/>
      <c r="F188" s="2"/>
      <c r="G188" s="2"/>
      <c r="H188" s="2"/>
      <c r="I188" s="2"/>
      <c r="J188" s="2"/>
      <c r="K188" s="34"/>
      <c r="L188" s="2"/>
      <c r="M188" s="2"/>
      <c r="N188" s="2"/>
      <c r="O188" s="2"/>
      <c r="P188" s="2"/>
      <c r="Q188" s="2"/>
      <c r="R188" s="2"/>
      <c r="S188" s="2"/>
      <c r="T188" s="25"/>
      <c r="U188" s="25"/>
    </row>
    <row r="189" spans="1:21" ht="14.25" customHeight="1" x14ac:dyDescent="0.35">
      <c r="A189" s="2"/>
      <c r="B189" s="2"/>
      <c r="C189" s="2"/>
      <c r="D189" s="2"/>
      <c r="E189" s="2"/>
      <c r="F189" s="2"/>
      <c r="G189" s="2"/>
      <c r="H189" s="2"/>
      <c r="I189" s="2"/>
      <c r="J189" s="2"/>
      <c r="K189" s="34"/>
      <c r="L189" s="2"/>
      <c r="M189" s="2"/>
      <c r="N189" s="2"/>
      <c r="O189" s="2"/>
      <c r="P189" s="2"/>
      <c r="Q189" s="2"/>
      <c r="R189" s="2"/>
      <c r="S189" s="2"/>
      <c r="T189" s="25"/>
      <c r="U189" s="25"/>
    </row>
    <row r="190" spans="1:21" ht="14.25" customHeight="1" x14ac:dyDescent="0.35">
      <c r="A190" s="2"/>
      <c r="B190" s="2"/>
      <c r="C190" s="2"/>
      <c r="D190" s="2"/>
      <c r="E190" s="2"/>
      <c r="F190" s="2"/>
      <c r="G190" s="2"/>
      <c r="H190" s="2"/>
      <c r="I190" s="2"/>
      <c r="J190" s="2"/>
      <c r="K190" s="34"/>
      <c r="L190" s="2"/>
      <c r="M190" s="2"/>
      <c r="N190" s="2"/>
      <c r="O190" s="2"/>
      <c r="P190" s="2"/>
      <c r="Q190" s="2"/>
      <c r="R190" s="2"/>
      <c r="S190" s="2"/>
      <c r="T190" s="25"/>
      <c r="U190" s="25"/>
    </row>
    <row r="191" spans="1:21" ht="14.25" customHeight="1" x14ac:dyDescent="0.35">
      <c r="A191" s="2"/>
      <c r="B191" s="2"/>
      <c r="C191" s="2"/>
      <c r="D191" s="2"/>
      <c r="E191" s="2"/>
      <c r="F191" s="2"/>
      <c r="G191" s="2"/>
      <c r="H191" s="2"/>
      <c r="I191" s="2"/>
      <c r="J191" s="2"/>
      <c r="K191" s="34"/>
      <c r="L191" s="2"/>
      <c r="M191" s="2"/>
      <c r="N191" s="2"/>
      <c r="O191" s="2"/>
      <c r="P191" s="2"/>
      <c r="Q191" s="2"/>
      <c r="R191" s="2"/>
      <c r="S191" s="2"/>
      <c r="T191" s="25"/>
      <c r="U191" s="25"/>
    </row>
    <row r="192" spans="1:21" ht="14.25" customHeight="1" x14ac:dyDescent="0.35">
      <c r="A192" s="2"/>
      <c r="B192" s="2"/>
      <c r="C192" s="2"/>
      <c r="D192" s="2"/>
      <c r="E192" s="2"/>
      <c r="F192" s="2"/>
      <c r="G192" s="2"/>
      <c r="H192" s="2"/>
      <c r="I192" s="2"/>
      <c r="J192" s="2"/>
      <c r="K192" s="34"/>
      <c r="L192" s="2"/>
      <c r="M192" s="2"/>
      <c r="N192" s="2"/>
      <c r="O192" s="2"/>
      <c r="P192" s="2"/>
      <c r="Q192" s="2"/>
      <c r="R192" s="2"/>
      <c r="S192" s="2"/>
      <c r="T192" s="25"/>
      <c r="U192" s="25"/>
    </row>
    <row r="193" spans="1:21" ht="14.25" customHeight="1" x14ac:dyDescent="0.35">
      <c r="A193" s="2"/>
      <c r="B193" s="2"/>
      <c r="C193" s="2"/>
      <c r="D193" s="2"/>
      <c r="E193" s="2"/>
      <c r="F193" s="2"/>
      <c r="G193" s="2"/>
      <c r="H193" s="2"/>
      <c r="I193" s="2"/>
      <c r="J193" s="2"/>
      <c r="K193" s="34"/>
      <c r="L193" s="2"/>
      <c r="M193" s="2"/>
      <c r="N193" s="2"/>
      <c r="O193" s="2"/>
      <c r="P193" s="2"/>
      <c r="Q193" s="2"/>
      <c r="R193" s="2"/>
      <c r="S193" s="2"/>
      <c r="T193" s="25"/>
      <c r="U193" s="25"/>
    </row>
    <row r="194" spans="1:21" ht="14.25" customHeight="1" x14ac:dyDescent="0.35">
      <c r="A194" s="2"/>
      <c r="B194" s="2"/>
      <c r="C194" s="2"/>
      <c r="D194" s="2"/>
      <c r="E194" s="2"/>
      <c r="F194" s="2"/>
      <c r="G194" s="2"/>
      <c r="H194" s="2"/>
      <c r="I194" s="2"/>
      <c r="J194" s="2"/>
      <c r="K194" s="34"/>
      <c r="L194" s="2"/>
      <c r="M194" s="2"/>
      <c r="N194" s="2"/>
      <c r="O194" s="2"/>
      <c r="P194" s="2"/>
      <c r="Q194" s="2"/>
      <c r="R194" s="2"/>
      <c r="S194" s="2"/>
      <c r="T194" s="25"/>
      <c r="U194" s="25"/>
    </row>
    <row r="195" spans="1:21" ht="14.25" customHeight="1" x14ac:dyDescent="0.35">
      <c r="A195" s="2"/>
      <c r="B195" s="2"/>
      <c r="C195" s="2"/>
      <c r="D195" s="2"/>
      <c r="E195" s="2"/>
      <c r="F195" s="2"/>
      <c r="G195" s="2"/>
      <c r="H195" s="2"/>
      <c r="I195" s="2"/>
      <c r="J195" s="2"/>
      <c r="K195" s="34"/>
      <c r="L195" s="2"/>
      <c r="M195" s="2"/>
      <c r="N195" s="2"/>
      <c r="O195" s="2"/>
      <c r="P195" s="2"/>
      <c r="Q195" s="2"/>
      <c r="R195" s="2"/>
      <c r="S195" s="2"/>
      <c r="T195" s="25"/>
      <c r="U195" s="25"/>
    </row>
    <row r="196" spans="1:21" ht="14.25" customHeight="1" x14ac:dyDescent="0.35">
      <c r="A196" s="2"/>
      <c r="B196" s="2"/>
      <c r="C196" s="2"/>
      <c r="D196" s="2"/>
      <c r="E196" s="2"/>
      <c r="F196" s="2"/>
      <c r="G196" s="2"/>
      <c r="H196" s="2"/>
      <c r="I196" s="2"/>
      <c r="J196" s="2"/>
      <c r="K196" s="34"/>
      <c r="L196" s="2"/>
      <c r="M196" s="2"/>
      <c r="N196" s="2"/>
      <c r="O196" s="2"/>
      <c r="P196" s="2"/>
      <c r="Q196" s="2"/>
      <c r="R196" s="2"/>
      <c r="S196" s="2"/>
      <c r="T196" s="25"/>
      <c r="U196" s="25"/>
    </row>
    <row r="197" spans="1:21" ht="14.25" customHeight="1" x14ac:dyDescent="0.35">
      <c r="A197" s="2"/>
      <c r="B197" s="2"/>
      <c r="C197" s="2"/>
      <c r="D197" s="2"/>
      <c r="E197" s="2"/>
      <c r="F197" s="2"/>
      <c r="G197" s="2"/>
      <c r="H197" s="2"/>
      <c r="I197" s="2"/>
      <c r="J197" s="2"/>
      <c r="K197" s="34"/>
      <c r="L197" s="2"/>
      <c r="M197" s="2"/>
      <c r="N197" s="2"/>
      <c r="O197" s="2"/>
      <c r="P197" s="2"/>
      <c r="Q197" s="2"/>
      <c r="R197" s="2"/>
      <c r="S197" s="2"/>
      <c r="T197" s="25"/>
      <c r="U197" s="25"/>
    </row>
    <row r="198" spans="1:21" ht="14.25" customHeight="1" x14ac:dyDescent="0.35">
      <c r="A198" s="2"/>
      <c r="B198" s="2"/>
      <c r="C198" s="2"/>
      <c r="D198" s="2"/>
      <c r="E198" s="2"/>
      <c r="F198" s="2"/>
      <c r="G198" s="2"/>
      <c r="H198" s="2"/>
      <c r="I198" s="2"/>
      <c r="J198" s="2"/>
      <c r="K198" s="34"/>
      <c r="L198" s="2"/>
      <c r="M198" s="2"/>
      <c r="N198" s="2"/>
      <c r="O198" s="2"/>
      <c r="P198" s="2"/>
      <c r="Q198" s="2"/>
      <c r="R198" s="2"/>
      <c r="S198" s="2"/>
      <c r="T198" s="25"/>
      <c r="U198" s="25"/>
    </row>
    <row r="199" spans="1:21" ht="14.25" customHeight="1" x14ac:dyDescent="0.35">
      <c r="A199" s="2"/>
      <c r="B199" s="2"/>
      <c r="C199" s="2"/>
      <c r="D199" s="2"/>
      <c r="E199" s="2"/>
      <c r="F199" s="2"/>
      <c r="G199" s="2"/>
      <c r="H199" s="2"/>
      <c r="I199" s="2"/>
      <c r="J199" s="2"/>
      <c r="K199" s="34"/>
      <c r="L199" s="2"/>
      <c r="M199" s="2"/>
      <c r="N199" s="2"/>
      <c r="O199" s="2"/>
      <c r="P199" s="2"/>
      <c r="Q199" s="2"/>
      <c r="R199" s="2"/>
      <c r="S199" s="2"/>
      <c r="T199" s="25"/>
      <c r="U199" s="25"/>
    </row>
    <row r="200" spans="1:21" ht="14.25" customHeight="1" x14ac:dyDescent="0.35">
      <c r="A200" s="2"/>
      <c r="B200" s="2"/>
      <c r="C200" s="2"/>
      <c r="D200" s="2"/>
      <c r="E200" s="2"/>
      <c r="F200" s="2"/>
      <c r="G200" s="2"/>
      <c r="H200" s="2"/>
      <c r="I200" s="2"/>
      <c r="J200" s="2"/>
      <c r="K200" s="34"/>
      <c r="L200" s="2"/>
      <c r="M200" s="2"/>
      <c r="N200" s="2"/>
      <c r="O200" s="2"/>
      <c r="P200" s="2"/>
      <c r="Q200" s="2"/>
      <c r="R200" s="2"/>
      <c r="S200" s="2"/>
      <c r="T200" s="25"/>
      <c r="U200" s="25"/>
    </row>
    <row r="201" spans="1:21" ht="14.25" customHeight="1" x14ac:dyDescent="0.35">
      <c r="A201" s="2"/>
      <c r="B201" s="2"/>
      <c r="C201" s="2"/>
      <c r="D201" s="2"/>
      <c r="E201" s="2"/>
      <c r="F201" s="2"/>
      <c r="G201" s="2"/>
      <c r="H201" s="2"/>
      <c r="I201" s="2"/>
      <c r="J201" s="2"/>
      <c r="K201" s="34"/>
      <c r="L201" s="2"/>
      <c r="M201" s="2"/>
      <c r="N201" s="2"/>
      <c r="O201" s="2"/>
      <c r="P201" s="2"/>
      <c r="Q201" s="2"/>
      <c r="R201" s="2"/>
      <c r="S201" s="2"/>
      <c r="T201" s="25"/>
      <c r="U201" s="25"/>
    </row>
    <row r="202" spans="1:21" ht="14.25" customHeight="1" x14ac:dyDescent="0.35">
      <c r="A202" s="2"/>
      <c r="B202" s="2"/>
      <c r="C202" s="2"/>
      <c r="D202" s="2"/>
      <c r="E202" s="2"/>
      <c r="F202" s="2"/>
      <c r="G202" s="2"/>
      <c r="H202" s="2"/>
      <c r="I202" s="2"/>
      <c r="J202" s="2"/>
      <c r="K202" s="34"/>
      <c r="L202" s="2"/>
      <c r="M202" s="2"/>
      <c r="N202" s="2"/>
      <c r="O202" s="2"/>
      <c r="P202" s="2"/>
      <c r="Q202" s="2"/>
      <c r="R202" s="2"/>
      <c r="S202" s="2"/>
      <c r="T202" s="25"/>
      <c r="U202" s="25"/>
    </row>
    <row r="203" spans="1:21" ht="14.25" customHeight="1" x14ac:dyDescent="0.35">
      <c r="A203" s="2"/>
      <c r="B203" s="2"/>
      <c r="C203" s="2"/>
      <c r="D203" s="2"/>
      <c r="E203" s="2"/>
      <c r="F203" s="2"/>
      <c r="G203" s="2"/>
      <c r="H203" s="2"/>
      <c r="I203" s="2"/>
      <c r="J203" s="2"/>
      <c r="K203" s="34"/>
      <c r="L203" s="2"/>
      <c r="M203" s="2"/>
      <c r="N203" s="2"/>
      <c r="O203" s="2"/>
      <c r="P203" s="2"/>
      <c r="Q203" s="2"/>
      <c r="R203" s="2"/>
      <c r="S203" s="2"/>
      <c r="T203" s="25"/>
      <c r="U203" s="25"/>
    </row>
    <row r="204" spans="1:21" ht="14.25" customHeight="1" x14ac:dyDescent="0.35">
      <c r="A204" s="2"/>
      <c r="B204" s="2"/>
      <c r="C204" s="2"/>
      <c r="D204" s="2"/>
      <c r="E204" s="2"/>
      <c r="F204" s="2"/>
      <c r="G204" s="2"/>
      <c r="H204" s="2"/>
      <c r="I204" s="2"/>
      <c r="J204" s="2"/>
      <c r="K204" s="34"/>
      <c r="L204" s="2"/>
      <c r="M204" s="2"/>
      <c r="N204" s="2"/>
      <c r="O204" s="2"/>
      <c r="P204" s="2"/>
      <c r="Q204" s="2"/>
      <c r="R204" s="2"/>
      <c r="S204" s="2"/>
      <c r="T204" s="25"/>
      <c r="U204" s="25"/>
    </row>
    <row r="205" spans="1:21" ht="14.25" customHeight="1" x14ac:dyDescent="0.35">
      <c r="A205" s="2"/>
      <c r="B205" s="2"/>
      <c r="C205" s="2"/>
      <c r="D205" s="2"/>
      <c r="E205" s="2"/>
      <c r="F205" s="2"/>
      <c r="G205" s="2"/>
      <c r="H205" s="2"/>
      <c r="I205" s="2"/>
      <c r="J205" s="2"/>
      <c r="K205" s="34"/>
      <c r="L205" s="2"/>
      <c r="M205" s="2"/>
      <c r="N205" s="2"/>
      <c r="O205" s="2"/>
      <c r="P205" s="2"/>
      <c r="Q205" s="2"/>
      <c r="R205" s="2"/>
      <c r="S205" s="2"/>
      <c r="T205" s="25"/>
      <c r="U205" s="25"/>
    </row>
    <row r="206" spans="1:21" ht="14.25" customHeight="1" x14ac:dyDescent="0.35">
      <c r="A206" s="2"/>
      <c r="B206" s="2"/>
      <c r="C206" s="2"/>
      <c r="D206" s="2"/>
      <c r="E206" s="2"/>
      <c r="F206" s="2"/>
      <c r="G206" s="2"/>
      <c r="H206" s="2"/>
      <c r="I206" s="2"/>
      <c r="J206" s="2"/>
      <c r="K206" s="34"/>
      <c r="L206" s="2"/>
      <c r="M206" s="2"/>
      <c r="N206" s="2"/>
      <c r="O206" s="2"/>
      <c r="P206" s="2"/>
      <c r="Q206" s="2"/>
      <c r="R206" s="2"/>
      <c r="S206" s="2"/>
      <c r="T206" s="25"/>
      <c r="U206" s="25"/>
    </row>
    <row r="207" spans="1:21" ht="14.25" customHeight="1" x14ac:dyDescent="0.35">
      <c r="A207" s="2"/>
      <c r="B207" s="2"/>
      <c r="C207" s="2"/>
      <c r="D207" s="2"/>
      <c r="E207" s="2"/>
      <c r="F207" s="2"/>
      <c r="G207" s="2"/>
      <c r="H207" s="2"/>
      <c r="I207" s="2"/>
      <c r="J207" s="2"/>
      <c r="K207" s="34"/>
      <c r="L207" s="2"/>
      <c r="M207" s="2"/>
      <c r="N207" s="2"/>
      <c r="O207" s="2"/>
      <c r="P207" s="2"/>
      <c r="Q207" s="2"/>
      <c r="R207" s="2"/>
      <c r="S207" s="2"/>
      <c r="T207" s="25"/>
      <c r="U207" s="25"/>
    </row>
    <row r="208" spans="1:21" ht="14.25" customHeight="1" x14ac:dyDescent="0.35">
      <c r="A208" s="2"/>
      <c r="B208" s="2"/>
      <c r="C208" s="2"/>
      <c r="D208" s="2"/>
      <c r="E208" s="2"/>
      <c r="F208" s="2"/>
      <c r="G208" s="2"/>
      <c r="H208" s="2"/>
      <c r="I208" s="2"/>
      <c r="J208" s="2"/>
      <c r="K208" s="34"/>
      <c r="L208" s="2"/>
      <c r="M208" s="2"/>
      <c r="N208" s="2"/>
      <c r="O208" s="2"/>
      <c r="P208" s="2"/>
      <c r="Q208" s="2"/>
      <c r="R208" s="2"/>
      <c r="S208" s="2"/>
      <c r="T208" s="25"/>
      <c r="U208" s="25"/>
    </row>
    <row r="209" spans="1:21" ht="14.25" customHeight="1" x14ac:dyDescent="0.35">
      <c r="A209" s="2"/>
      <c r="B209" s="2"/>
      <c r="C209" s="2"/>
      <c r="D209" s="2"/>
      <c r="E209" s="2"/>
      <c r="F209" s="2"/>
      <c r="G209" s="2"/>
      <c r="H209" s="2"/>
      <c r="I209" s="2"/>
      <c r="J209" s="2"/>
      <c r="K209" s="34"/>
      <c r="L209" s="2"/>
      <c r="M209" s="2"/>
      <c r="N209" s="2"/>
      <c r="O209" s="2"/>
      <c r="P209" s="2"/>
      <c r="Q209" s="2"/>
      <c r="R209" s="2"/>
      <c r="S209" s="2"/>
      <c r="T209" s="25"/>
      <c r="U209" s="25"/>
    </row>
    <row r="210" spans="1:21" ht="14.25" customHeight="1" x14ac:dyDescent="0.35">
      <c r="A210" s="2"/>
      <c r="B210" s="2"/>
      <c r="C210" s="2"/>
      <c r="D210" s="2"/>
      <c r="E210" s="2"/>
      <c r="F210" s="2"/>
      <c r="G210" s="2"/>
      <c r="H210" s="2"/>
      <c r="I210" s="2"/>
      <c r="J210" s="2"/>
      <c r="K210" s="34"/>
      <c r="L210" s="2"/>
      <c r="M210" s="2"/>
      <c r="N210" s="2"/>
      <c r="O210" s="2"/>
      <c r="P210" s="2"/>
      <c r="Q210" s="2"/>
      <c r="R210" s="2"/>
      <c r="S210" s="2"/>
      <c r="T210" s="25"/>
      <c r="U210" s="25"/>
    </row>
    <row r="211" spans="1:21" ht="14.25" customHeight="1" x14ac:dyDescent="0.35">
      <c r="A211" s="2"/>
      <c r="B211" s="2"/>
      <c r="C211" s="2"/>
      <c r="D211" s="2"/>
      <c r="E211" s="2"/>
      <c r="F211" s="2"/>
      <c r="G211" s="2"/>
      <c r="H211" s="2"/>
      <c r="I211" s="2"/>
      <c r="J211" s="2"/>
      <c r="K211" s="34"/>
      <c r="L211" s="2"/>
      <c r="M211" s="2"/>
      <c r="N211" s="2"/>
      <c r="O211" s="2"/>
      <c r="P211" s="2"/>
      <c r="Q211" s="2"/>
      <c r="R211" s="2"/>
      <c r="S211" s="2"/>
      <c r="T211" s="25"/>
      <c r="U211" s="25"/>
    </row>
    <row r="212" spans="1:21" ht="14.25" customHeight="1" x14ac:dyDescent="0.35">
      <c r="A212" s="2"/>
      <c r="B212" s="2"/>
      <c r="C212" s="2"/>
      <c r="D212" s="2"/>
      <c r="E212" s="2"/>
      <c r="F212" s="2"/>
      <c r="G212" s="2"/>
      <c r="H212" s="2"/>
      <c r="I212" s="2"/>
      <c r="J212" s="2"/>
      <c r="K212" s="34"/>
      <c r="L212" s="2"/>
      <c r="M212" s="2"/>
      <c r="N212" s="2"/>
      <c r="O212" s="2"/>
      <c r="P212" s="2"/>
      <c r="Q212" s="2"/>
      <c r="R212" s="2"/>
      <c r="S212" s="2"/>
      <c r="T212" s="25"/>
      <c r="U212" s="25"/>
    </row>
    <row r="213" spans="1:21" ht="14.25" customHeight="1" x14ac:dyDescent="0.35">
      <c r="A213" s="2"/>
      <c r="B213" s="2"/>
      <c r="C213" s="2"/>
      <c r="D213" s="2"/>
      <c r="E213" s="2"/>
      <c r="F213" s="2"/>
      <c r="G213" s="2"/>
      <c r="H213" s="2"/>
      <c r="I213" s="2"/>
      <c r="J213" s="2"/>
      <c r="K213" s="34"/>
      <c r="L213" s="2"/>
      <c r="M213" s="2"/>
      <c r="N213" s="2"/>
      <c r="O213" s="2"/>
      <c r="P213" s="2"/>
      <c r="Q213" s="2"/>
      <c r="R213" s="2"/>
      <c r="S213" s="2"/>
      <c r="T213" s="25"/>
      <c r="U213" s="25"/>
    </row>
    <row r="214" spans="1:21" ht="14.25" customHeight="1" x14ac:dyDescent="0.35">
      <c r="A214" s="2"/>
      <c r="B214" s="2"/>
      <c r="C214" s="2"/>
      <c r="D214" s="2"/>
      <c r="E214" s="2"/>
      <c r="F214" s="2"/>
      <c r="G214" s="2"/>
      <c r="H214" s="2"/>
      <c r="I214" s="2"/>
      <c r="J214" s="2"/>
      <c r="K214" s="34"/>
      <c r="L214" s="2"/>
      <c r="M214" s="2"/>
      <c r="N214" s="2"/>
      <c r="O214" s="2"/>
      <c r="P214" s="2"/>
      <c r="Q214" s="2"/>
      <c r="R214" s="2"/>
      <c r="S214" s="2"/>
      <c r="T214" s="25"/>
      <c r="U214" s="25"/>
    </row>
    <row r="215" spans="1:21" ht="14.25" customHeight="1" x14ac:dyDescent="0.35">
      <c r="A215" s="2"/>
      <c r="B215" s="2"/>
      <c r="C215" s="2"/>
      <c r="D215" s="2"/>
      <c r="E215" s="2"/>
      <c r="F215" s="2"/>
      <c r="G215" s="2"/>
      <c r="H215" s="2"/>
      <c r="I215" s="2"/>
      <c r="J215" s="2"/>
      <c r="K215" s="34"/>
      <c r="L215" s="2"/>
      <c r="M215" s="2"/>
      <c r="N215" s="2"/>
      <c r="O215" s="2"/>
      <c r="P215" s="2"/>
      <c r="Q215" s="2"/>
      <c r="R215" s="2"/>
      <c r="S215" s="2"/>
      <c r="T215" s="25"/>
      <c r="U215" s="25"/>
    </row>
    <row r="216" spans="1:21" ht="14.25" customHeight="1" x14ac:dyDescent="0.35">
      <c r="A216" s="2"/>
      <c r="B216" s="2"/>
      <c r="C216" s="2"/>
      <c r="D216" s="2"/>
      <c r="E216" s="2"/>
      <c r="F216" s="2"/>
      <c r="G216" s="2"/>
      <c r="H216" s="2"/>
      <c r="I216" s="2"/>
      <c r="J216" s="2"/>
      <c r="K216" s="34"/>
      <c r="L216" s="2"/>
      <c r="M216" s="2"/>
      <c r="N216" s="2"/>
      <c r="O216" s="2"/>
      <c r="P216" s="2"/>
      <c r="Q216" s="2"/>
      <c r="R216" s="2"/>
      <c r="S216" s="2"/>
      <c r="T216" s="25"/>
      <c r="U216" s="25"/>
    </row>
    <row r="217" spans="1:21" ht="14.25" customHeight="1" x14ac:dyDescent="0.35">
      <c r="A217" s="2"/>
      <c r="B217" s="2"/>
      <c r="C217" s="2"/>
      <c r="D217" s="2"/>
      <c r="E217" s="2"/>
      <c r="F217" s="2"/>
      <c r="G217" s="2"/>
      <c r="H217" s="2"/>
      <c r="I217" s="2"/>
      <c r="J217" s="2"/>
      <c r="K217" s="34"/>
      <c r="L217" s="2"/>
      <c r="M217" s="2"/>
      <c r="N217" s="2"/>
      <c r="O217" s="2"/>
      <c r="P217" s="2"/>
      <c r="Q217" s="2"/>
      <c r="R217" s="2"/>
      <c r="S217" s="2"/>
      <c r="T217" s="25"/>
      <c r="U217" s="25"/>
    </row>
    <row r="218" spans="1:21" ht="14.25" customHeight="1" x14ac:dyDescent="0.35">
      <c r="A218" s="2"/>
      <c r="B218" s="2"/>
      <c r="C218" s="2"/>
      <c r="D218" s="2"/>
      <c r="E218" s="2"/>
      <c r="F218" s="2"/>
      <c r="G218" s="2"/>
      <c r="H218" s="2"/>
      <c r="I218" s="2"/>
      <c r="J218" s="2"/>
      <c r="K218" s="34"/>
      <c r="L218" s="2"/>
      <c r="M218" s="2"/>
      <c r="N218" s="2"/>
      <c r="O218" s="2"/>
      <c r="P218" s="2"/>
      <c r="Q218" s="2"/>
      <c r="R218" s="2"/>
      <c r="S218" s="2"/>
      <c r="T218" s="25"/>
      <c r="U218" s="25"/>
    </row>
    <row r="219" spans="1:21" ht="14.25" customHeight="1" x14ac:dyDescent="0.35">
      <c r="A219" s="2"/>
      <c r="B219" s="2"/>
      <c r="C219" s="2"/>
      <c r="D219" s="2"/>
      <c r="E219" s="2"/>
      <c r="F219" s="2"/>
      <c r="G219" s="2"/>
      <c r="H219" s="2"/>
      <c r="I219" s="2"/>
      <c r="J219" s="2"/>
      <c r="K219" s="34"/>
      <c r="L219" s="2"/>
      <c r="M219" s="2"/>
      <c r="N219" s="2"/>
      <c r="O219" s="2"/>
      <c r="P219" s="2"/>
      <c r="Q219" s="2"/>
      <c r="R219" s="2"/>
      <c r="S219" s="2"/>
      <c r="T219" s="25"/>
      <c r="U219" s="25"/>
    </row>
    <row r="220" spans="1:21" ht="14.25" customHeight="1" x14ac:dyDescent="0.35">
      <c r="A220" s="2"/>
      <c r="B220" s="2"/>
      <c r="C220" s="2"/>
      <c r="D220" s="2"/>
      <c r="E220" s="2"/>
      <c r="F220" s="2"/>
      <c r="G220" s="2"/>
      <c r="H220" s="2"/>
      <c r="I220" s="2"/>
      <c r="J220" s="2"/>
      <c r="K220" s="34"/>
      <c r="L220" s="2"/>
      <c r="M220" s="2"/>
      <c r="N220" s="2"/>
      <c r="O220" s="2"/>
      <c r="P220" s="2"/>
      <c r="Q220" s="2"/>
      <c r="R220" s="2"/>
      <c r="S220" s="2"/>
      <c r="T220" s="25"/>
      <c r="U220" s="25"/>
    </row>
    <row r="221" spans="1:21" ht="14.25" customHeight="1" x14ac:dyDescent="0.35">
      <c r="A221" s="2"/>
      <c r="B221" s="2"/>
      <c r="C221" s="2"/>
      <c r="D221" s="2"/>
      <c r="E221" s="2"/>
      <c r="F221" s="2"/>
      <c r="G221" s="2"/>
      <c r="H221" s="2"/>
      <c r="I221" s="2"/>
      <c r="J221" s="2"/>
      <c r="K221" s="34"/>
      <c r="L221" s="2"/>
      <c r="M221" s="2"/>
      <c r="N221" s="2"/>
      <c r="O221" s="2"/>
      <c r="P221" s="2"/>
      <c r="Q221" s="2"/>
      <c r="R221" s="2"/>
      <c r="S221" s="2"/>
      <c r="T221" s="25"/>
      <c r="U221" s="25"/>
    </row>
    <row r="222" spans="1:21" ht="14.25" customHeight="1" x14ac:dyDescent="0.35">
      <c r="A222" s="2"/>
      <c r="B222" s="2"/>
      <c r="C222" s="2"/>
      <c r="D222" s="2"/>
      <c r="E222" s="2"/>
      <c r="F222" s="2"/>
      <c r="G222" s="2"/>
      <c r="H222" s="2"/>
      <c r="I222" s="2"/>
      <c r="J222" s="2"/>
      <c r="K222" s="34"/>
      <c r="L222" s="2"/>
      <c r="M222" s="2"/>
      <c r="N222" s="2"/>
      <c r="O222" s="2"/>
      <c r="P222" s="2"/>
      <c r="Q222" s="2"/>
      <c r="R222" s="2"/>
      <c r="S222" s="2"/>
      <c r="T222" s="25"/>
      <c r="U222" s="25"/>
    </row>
    <row r="223" spans="1:21" ht="14.25" customHeight="1" x14ac:dyDescent="0.35">
      <c r="A223" s="2"/>
      <c r="B223" s="2"/>
      <c r="C223" s="2"/>
      <c r="D223" s="2"/>
      <c r="E223" s="2"/>
      <c r="F223" s="2"/>
      <c r="G223" s="2"/>
      <c r="H223" s="2"/>
      <c r="I223" s="2"/>
      <c r="J223" s="2"/>
      <c r="K223" s="34"/>
      <c r="L223" s="2"/>
      <c r="M223" s="2"/>
      <c r="N223" s="2"/>
      <c r="O223" s="2"/>
      <c r="P223" s="2"/>
      <c r="Q223" s="2"/>
      <c r="R223" s="2"/>
      <c r="S223" s="2"/>
      <c r="T223" s="25"/>
      <c r="U223" s="25"/>
    </row>
    <row r="224" spans="1:21" ht="14.25" customHeight="1" x14ac:dyDescent="0.35">
      <c r="A224" s="2"/>
      <c r="B224" s="2"/>
      <c r="C224" s="2"/>
      <c r="D224" s="2"/>
      <c r="E224" s="2"/>
      <c r="F224" s="2"/>
      <c r="G224" s="2"/>
      <c r="H224" s="2"/>
      <c r="I224" s="2"/>
      <c r="J224" s="2"/>
      <c r="K224" s="34"/>
      <c r="L224" s="2"/>
      <c r="M224" s="2"/>
      <c r="N224" s="2"/>
      <c r="O224" s="2"/>
      <c r="P224" s="2"/>
      <c r="Q224" s="2"/>
      <c r="R224" s="2"/>
      <c r="S224" s="2"/>
      <c r="T224" s="25"/>
      <c r="U224" s="25"/>
    </row>
    <row r="225" spans="1:21" ht="14.25" customHeight="1" x14ac:dyDescent="0.35">
      <c r="A225" s="2"/>
      <c r="B225" s="2"/>
      <c r="C225" s="2"/>
      <c r="D225" s="2"/>
      <c r="E225" s="2"/>
      <c r="F225" s="2"/>
      <c r="G225" s="2"/>
      <c r="H225" s="2"/>
      <c r="I225" s="2"/>
      <c r="J225" s="2"/>
      <c r="K225" s="34"/>
      <c r="L225" s="2"/>
      <c r="M225" s="2"/>
      <c r="N225" s="2"/>
      <c r="O225" s="2"/>
      <c r="P225" s="2"/>
      <c r="Q225" s="2"/>
      <c r="R225" s="2"/>
      <c r="S225" s="2"/>
      <c r="T225" s="25"/>
      <c r="U225" s="25"/>
    </row>
    <row r="226" spans="1:21" ht="14.25" customHeight="1" x14ac:dyDescent="0.35">
      <c r="A226" s="2"/>
      <c r="B226" s="2"/>
      <c r="C226" s="2"/>
      <c r="D226" s="2"/>
      <c r="E226" s="2"/>
      <c r="F226" s="2"/>
      <c r="G226" s="2"/>
      <c r="H226" s="2"/>
      <c r="I226" s="2"/>
      <c r="J226" s="2"/>
      <c r="K226" s="34"/>
      <c r="L226" s="2"/>
      <c r="M226" s="2"/>
      <c r="N226" s="2"/>
      <c r="O226" s="2"/>
      <c r="P226" s="2"/>
      <c r="Q226" s="2"/>
      <c r="R226" s="2"/>
      <c r="S226" s="2"/>
      <c r="T226" s="25"/>
      <c r="U226" s="25"/>
    </row>
    <row r="227" spans="1:21" ht="14.25" customHeight="1" x14ac:dyDescent="0.35">
      <c r="A227" s="2"/>
      <c r="B227" s="2"/>
      <c r="C227" s="2"/>
      <c r="D227" s="2"/>
      <c r="E227" s="2"/>
      <c r="F227" s="2"/>
      <c r="G227" s="2"/>
      <c r="H227" s="2"/>
      <c r="I227" s="2"/>
      <c r="J227" s="2"/>
      <c r="K227" s="34"/>
      <c r="L227" s="2"/>
      <c r="M227" s="2"/>
      <c r="N227" s="2"/>
      <c r="O227" s="2"/>
      <c r="P227" s="2"/>
      <c r="Q227" s="2"/>
      <c r="R227" s="2"/>
      <c r="S227" s="2"/>
      <c r="T227" s="25"/>
      <c r="U227" s="25"/>
    </row>
    <row r="228" spans="1:21" ht="14.25" customHeight="1" x14ac:dyDescent="0.35">
      <c r="A228" s="2"/>
      <c r="B228" s="2"/>
      <c r="C228" s="2"/>
      <c r="D228" s="2"/>
      <c r="E228" s="2"/>
      <c r="F228" s="2"/>
      <c r="G228" s="2"/>
      <c r="H228" s="2"/>
      <c r="I228" s="2"/>
      <c r="J228" s="2"/>
      <c r="K228" s="34"/>
      <c r="L228" s="2"/>
      <c r="M228" s="2"/>
      <c r="N228" s="2"/>
      <c r="O228" s="2"/>
      <c r="P228" s="2"/>
      <c r="Q228" s="2"/>
      <c r="R228" s="2"/>
      <c r="S228" s="2"/>
      <c r="T228" s="25"/>
      <c r="U228" s="25"/>
    </row>
    <row r="229" spans="1:21" ht="14.25" customHeight="1" x14ac:dyDescent="0.35">
      <c r="A229" s="2"/>
      <c r="B229" s="2"/>
      <c r="C229" s="2"/>
      <c r="D229" s="2"/>
      <c r="E229" s="2"/>
      <c r="F229" s="2"/>
      <c r="G229" s="2"/>
      <c r="H229" s="2"/>
      <c r="I229" s="2"/>
      <c r="J229" s="2"/>
      <c r="K229" s="34"/>
      <c r="L229" s="2"/>
      <c r="M229" s="2"/>
      <c r="N229" s="2"/>
      <c r="O229" s="2"/>
      <c r="P229" s="2"/>
      <c r="Q229" s="2"/>
      <c r="R229" s="2"/>
      <c r="S229" s="2"/>
      <c r="T229" s="25"/>
      <c r="U229" s="25"/>
    </row>
    <row r="230" spans="1:21" ht="14.25" customHeight="1" x14ac:dyDescent="0.35">
      <c r="A230" s="2"/>
      <c r="B230" s="2"/>
      <c r="C230" s="2"/>
      <c r="D230" s="2"/>
      <c r="E230" s="2"/>
      <c r="F230" s="2"/>
      <c r="G230" s="2"/>
      <c r="H230" s="2"/>
      <c r="I230" s="2"/>
      <c r="J230" s="2"/>
      <c r="K230" s="34"/>
      <c r="L230" s="2"/>
      <c r="M230" s="2"/>
      <c r="N230" s="2"/>
      <c r="O230" s="2"/>
      <c r="P230" s="2"/>
      <c r="Q230" s="2"/>
      <c r="R230" s="2"/>
      <c r="S230" s="2"/>
      <c r="T230" s="25"/>
      <c r="U230" s="25"/>
    </row>
    <row r="231" spans="1:21" ht="14.25" customHeight="1" x14ac:dyDescent="0.35">
      <c r="A231" s="2"/>
      <c r="B231" s="2"/>
      <c r="C231" s="2"/>
      <c r="D231" s="2"/>
      <c r="E231" s="2"/>
      <c r="F231" s="2"/>
      <c r="G231" s="2"/>
      <c r="H231" s="2"/>
      <c r="I231" s="2"/>
      <c r="J231" s="2"/>
      <c r="K231" s="34"/>
      <c r="L231" s="2"/>
      <c r="M231" s="2"/>
      <c r="N231" s="2"/>
      <c r="O231" s="2"/>
      <c r="P231" s="2"/>
      <c r="Q231" s="2"/>
      <c r="R231" s="2"/>
      <c r="S231" s="2"/>
      <c r="T231" s="25"/>
      <c r="U231" s="25"/>
    </row>
    <row r="232" spans="1:21" ht="14.25" customHeight="1" x14ac:dyDescent="0.35">
      <c r="A232" s="2"/>
      <c r="B232" s="2"/>
      <c r="C232" s="2"/>
      <c r="D232" s="2"/>
      <c r="E232" s="2"/>
      <c r="F232" s="2"/>
      <c r="G232" s="2"/>
      <c r="H232" s="2"/>
      <c r="I232" s="2"/>
      <c r="J232" s="2"/>
      <c r="K232" s="34"/>
      <c r="L232" s="2"/>
      <c r="M232" s="2"/>
      <c r="N232" s="2"/>
      <c r="O232" s="2"/>
      <c r="P232" s="2"/>
      <c r="Q232" s="2"/>
      <c r="R232" s="2"/>
      <c r="S232" s="2"/>
      <c r="T232" s="25"/>
      <c r="U232" s="25"/>
    </row>
    <row r="233" spans="1:21" ht="14.25" customHeight="1" x14ac:dyDescent="0.35">
      <c r="A233" s="2"/>
      <c r="B233" s="2"/>
      <c r="C233" s="2"/>
      <c r="D233" s="2"/>
      <c r="E233" s="2"/>
      <c r="F233" s="2"/>
      <c r="G233" s="2"/>
      <c r="H233" s="2"/>
      <c r="I233" s="2"/>
      <c r="J233" s="2"/>
      <c r="K233" s="34"/>
      <c r="L233" s="2"/>
      <c r="M233" s="2"/>
      <c r="N233" s="2"/>
      <c r="O233" s="2"/>
      <c r="P233" s="2"/>
      <c r="Q233" s="2"/>
      <c r="R233" s="2"/>
      <c r="S233" s="2"/>
      <c r="T233" s="25"/>
      <c r="U233" s="25"/>
    </row>
    <row r="234" spans="1:21" ht="14.25" customHeight="1" x14ac:dyDescent="0.35">
      <c r="A234" s="2"/>
      <c r="B234" s="2"/>
      <c r="C234" s="2"/>
      <c r="D234" s="2"/>
      <c r="E234" s="2"/>
      <c r="F234" s="2"/>
      <c r="G234" s="2"/>
      <c r="H234" s="2"/>
      <c r="I234" s="2"/>
      <c r="J234" s="2"/>
      <c r="K234" s="34"/>
      <c r="L234" s="2"/>
      <c r="M234" s="2"/>
      <c r="N234" s="2"/>
      <c r="O234" s="2"/>
      <c r="P234" s="2"/>
      <c r="Q234" s="2"/>
      <c r="R234" s="2"/>
      <c r="S234" s="2"/>
      <c r="T234" s="25"/>
      <c r="U234" s="25"/>
    </row>
    <row r="235" spans="1:21" ht="14.25" customHeight="1" x14ac:dyDescent="0.35">
      <c r="A235" s="2"/>
      <c r="B235" s="2"/>
      <c r="C235" s="2"/>
      <c r="D235" s="2"/>
      <c r="E235" s="2"/>
      <c r="F235" s="2"/>
      <c r="G235" s="2"/>
      <c r="H235" s="2"/>
      <c r="I235" s="2"/>
      <c r="J235" s="2"/>
      <c r="K235" s="34"/>
      <c r="L235" s="2"/>
      <c r="M235" s="2"/>
      <c r="N235" s="2"/>
      <c r="O235" s="2"/>
      <c r="P235" s="2"/>
      <c r="Q235" s="2"/>
      <c r="R235" s="2"/>
      <c r="S235" s="2"/>
      <c r="T235" s="25"/>
      <c r="U235" s="25"/>
    </row>
    <row r="236" spans="1:21" ht="14.25" customHeight="1" x14ac:dyDescent="0.35">
      <c r="A236" s="2"/>
      <c r="B236" s="2"/>
      <c r="C236" s="2"/>
      <c r="D236" s="2"/>
      <c r="E236" s="2"/>
      <c r="F236" s="2"/>
      <c r="G236" s="2"/>
      <c r="H236" s="2"/>
      <c r="I236" s="2"/>
      <c r="J236" s="2"/>
      <c r="K236" s="34"/>
      <c r="L236" s="2"/>
      <c r="M236" s="2"/>
      <c r="N236" s="2"/>
      <c r="O236" s="2"/>
      <c r="P236" s="2"/>
      <c r="Q236" s="2"/>
      <c r="R236" s="2"/>
      <c r="S236" s="2"/>
      <c r="T236" s="25"/>
      <c r="U236" s="25"/>
    </row>
    <row r="237" spans="1:21" ht="14.25" customHeight="1" x14ac:dyDescent="0.35">
      <c r="A237" s="2"/>
      <c r="B237" s="2"/>
      <c r="C237" s="2"/>
      <c r="D237" s="2"/>
      <c r="E237" s="2"/>
      <c r="F237" s="2"/>
      <c r="G237" s="2"/>
      <c r="H237" s="2"/>
      <c r="I237" s="2"/>
      <c r="J237" s="2"/>
      <c r="K237" s="34"/>
      <c r="L237" s="2"/>
      <c r="M237" s="2"/>
      <c r="N237" s="2"/>
      <c r="O237" s="2"/>
      <c r="P237" s="2"/>
      <c r="Q237" s="2"/>
      <c r="R237" s="2"/>
      <c r="S237" s="2"/>
      <c r="T237" s="25"/>
      <c r="U237" s="25"/>
    </row>
    <row r="238" spans="1:21" ht="14.25" customHeight="1" x14ac:dyDescent="0.35">
      <c r="A238" s="2"/>
      <c r="B238" s="2"/>
      <c r="C238" s="2"/>
      <c r="D238" s="2"/>
      <c r="E238" s="2"/>
      <c r="F238" s="2"/>
      <c r="G238" s="2"/>
      <c r="H238" s="2"/>
      <c r="I238" s="2"/>
      <c r="J238" s="2"/>
      <c r="K238" s="34"/>
      <c r="L238" s="2"/>
      <c r="M238" s="2"/>
      <c r="N238" s="2"/>
      <c r="O238" s="2"/>
      <c r="P238" s="2"/>
      <c r="Q238" s="2"/>
      <c r="R238" s="2"/>
      <c r="S238" s="2"/>
      <c r="T238" s="25"/>
      <c r="U238" s="25"/>
    </row>
    <row r="239" spans="1:21" ht="14.25" customHeight="1" x14ac:dyDescent="0.35">
      <c r="A239" s="2"/>
      <c r="B239" s="2"/>
      <c r="C239" s="2"/>
      <c r="D239" s="2"/>
      <c r="E239" s="2"/>
      <c r="F239" s="2"/>
      <c r="G239" s="2"/>
      <c r="H239" s="2"/>
      <c r="I239" s="2"/>
      <c r="J239" s="2"/>
      <c r="K239" s="34"/>
      <c r="L239" s="2"/>
      <c r="M239" s="2"/>
      <c r="N239" s="2"/>
      <c r="O239" s="2"/>
      <c r="P239" s="2"/>
      <c r="Q239" s="2"/>
      <c r="R239" s="2"/>
      <c r="S239" s="2"/>
      <c r="T239" s="25"/>
      <c r="U239" s="25"/>
    </row>
    <row r="240" spans="1:21" ht="14.25" customHeight="1" x14ac:dyDescent="0.35">
      <c r="A240" s="2"/>
      <c r="B240" s="2"/>
      <c r="C240" s="2"/>
      <c r="D240" s="2"/>
      <c r="E240" s="2"/>
      <c r="F240" s="2"/>
      <c r="G240" s="2"/>
      <c r="H240" s="2"/>
      <c r="I240" s="2"/>
      <c r="J240" s="2"/>
      <c r="K240" s="34"/>
      <c r="L240" s="2"/>
      <c r="M240" s="2"/>
      <c r="N240" s="2"/>
      <c r="O240" s="2"/>
      <c r="P240" s="2"/>
      <c r="Q240" s="2"/>
      <c r="R240" s="2"/>
      <c r="S240" s="2"/>
      <c r="T240" s="25"/>
      <c r="U240" s="25"/>
    </row>
    <row r="241" spans="1:21" ht="14.25" customHeight="1" x14ac:dyDescent="0.35">
      <c r="A241" s="2"/>
      <c r="B241" s="2"/>
      <c r="C241" s="2"/>
      <c r="D241" s="2"/>
      <c r="E241" s="2"/>
      <c r="F241" s="2"/>
      <c r="G241" s="2"/>
      <c r="H241" s="2"/>
      <c r="I241" s="2"/>
      <c r="J241" s="2"/>
      <c r="K241" s="34"/>
      <c r="L241" s="2"/>
      <c r="M241" s="2"/>
      <c r="N241" s="2"/>
      <c r="O241" s="2"/>
      <c r="P241" s="2"/>
      <c r="Q241" s="2"/>
      <c r="R241" s="2"/>
      <c r="S241" s="2"/>
      <c r="T241" s="25"/>
      <c r="U241" s="25"/>
    </row>
    <row r="242" spans="1:21" ht="14.25" customHeight="1" x14ac:dyDescent="0.35">
      <c r="A242" s="2"/>
      <c r="B242" s="2"/>
      <c r="C242" s="2"/>
      <c r="D242" s="2"/>
      <c r="E242" s="2"/>
      <c r="F242" s="2"/>
      <c r="G242" s="2"/>
      <c r="H242" s="2"/>
      <c r="I242" s="2"/>
      <c r="J242" s="2"/>
      <c r="K242" s="34"/>
      <c r="L242" s="2"/>
      <c r="M242" s="2"/>
      <c r="N242" s="2"/>
      <c r="O242" s="2"/>
      <c r="P242" s="2"/>
      <c r="Q242" s="2"/>
      <c r="R242" s="2"/>
      <c r="S242" s="2"/>
      <c r="T242" s="25"/>
      <c r="U242" s="25"/>
    </row>
    <row r="243" spans="1:21" ht="14.25" customHeight="1" x14ac:dyDescent="0.35">
      <c r="A243" s="2"/>
      <c r="B243" s="2"/>
      <c r="C243" s="2"/>
      <c r="D243" s="2"/>
      <c r="E243" s="2"/>
      <c r="F243" s="2"/>
      <c r="G243" s="2"/>
      <c r="H243" s="2"/>
      <c r="I243" s="2"/>
      <c r="J243" s="2"/>
      <c r="K243" s="34"/>
      <c r="L243" s="2"/>
      <c r="M243" s="2"/>
      <c r="N243" s="2"/>
      <c r="O243" s="2"/>
      <c r="P243" s="2"/>
      <c r="Q243" s="2"/>
      <c r="R243" s="2"/>
      <c r="S243" s="2"/>
      <c r="T243" s="25"/>
      <c r="U243" s="25"/>
    </row>
    <row r="244" spans="1:21" ht="14.25" customHeight="1" x14ac:dyDescent="0.35">
      <c r="A244" s="2"/>
      <c r="B244" s="2"/>
      <c r="C244" s="2"/>
      <c r="D244" s="2"/>
      <c r="E244" s="2"/>
      <c r="F244" s="2"/>
      <c r="G244" s="2"/>
      <c r="H244" s="2"/>
      <c r="I244" s="2"/>
      <c r="J244" s="2"/>
      <c r="K244" s="34"/>
      <c r="L244" s="2"/>
      <c r="M244" s="2"/>
      <c r="N244" s="2"/>
      <c r="O244" s="2"/>
      <c r="P244" s="2"/>
      <c r="Q244" s="2"/>
      <c r="R244" s="2"/>
      <c r="S244" s="2"/>
      <c r="T244" s="25"/>
      <c r="U244" s="25"/>
    </row>
    <row r="245" spans="1:21" ht="14.25" customHeight="1" x14ac:dyDescent="0.35">
      <c r="A245" s="2"/>
      <c r="B245" s="2"/>
      <c r="C245" s="2"/>
      <c r="D245" s="2"/>
      <c r="E245" s="2"/>
      <c r="F245" s="2"/>
      <c r="G245" s="2"/>
      <c r="H245" s="2"/>
      <c r="I245" s="2"/>
      <c r="J245" s="2"/>
      <c r="K245" s="34"/>
      <c r="L245" s="2"/>
      <c r="M245" s="2"/>
      <c r="N245" s="2"/>
      <c r="O245" s="2"/>
      <c r="P245" s="2"/>
      <c r="Q245" s="2"/>
      <c r="R245" s="2"/>
      <c r="S245" s="2"/>
      <c r="T245" s="25"/>
      <c r="U245" s="25"/>
    </row>
    <row r="246" spans="1:21" ht="14.25" customHeight="1" x14ac:dyDescent="0.35">
      <c r="A246" s="2"/>
      <c r="B246" s="2"/>
      <c r="C246" s="2"/>
      <c r="D246" s="2"/>
      <c r="E246" s="2"/>
      <c r="F246" s="2"/>
      <c r="G246" s="2"/>
      <c r="H246" s="2"/>
      <c r="I246" s="2"/>
      <c r="J246" s="2"/>
      <c r="K246" s="34"/>
      <c r="L246" s="2"/>
      <c r="M246" s="2"/>
      <c r="N246" s="2"/>
      <c r="O246" s="2"/>
      <c r="P246" s="2"/>
      <c r="Q246" s="2"/>
      <c r="R246" s="2"/>
      <c r="S246" s="2"/>
      <c r="T246" s="25"/>
      <c r="U246" s="25"/>
    </row>
    <row r="247" spans="1:21" ht="14.25" customHeight="1" x14ac:dyDescent="0.35">
      <c r="A247" s="2"/>
      <c r="B247" s="2"/>
      <c r="C247" s="2"/>
      <c r="D247" s="2"/>
      <c r="E247" s="2"/>
      <c r="F247" s="2"/>
      <c r="G247" s="2"/>
      <c r="H247" s="2"/>
      <c r="I247" s="2"/>
      <c r="J247" s="2"/>
      <c r="K247" s="34"/>
      <c r="L247" s="2"/>
      <c r="M247" s="2"/>
      <c r="N247" s="2"/>
      <c r="O247" s="2"/>
      <c r="P247" s="2"/>
      <c r="Q247" s="2"/>
      <c r="R247" s="2"/>
      <c r="S247" s="2"/>
      <c r="T247" s="25"/>
      <c r="U247" s="25"/>
    </row>
    <row r="248" spans="1:21" ht="14.25" customHeight="1" x14ac:dyDescent="0.35">
      <c r="A248" s="2"/>
      <c r="B248" s="2"/>
      <c r="C248" s="2"/>
      <c r="D248" s="2"/>
      <c r="E248" s="2"/>
      <c r="F248" s="2"/>
      <c r="G248" s="2"/>
      <c r="H248" s="2"/>
      <c r="I248" s="2"/>
      <c r="J248" s="2"/>
      <c r="K248" s="34"/>
      <c r="L248" s="2"/>
      <c r="M248" s="2"/>
      <c r="N248" s="2"/>
      <c r="O248" s="2"/>
      <c r="P248" s="2"/>
      <c r="Q248" s="2"/>
      <c r="R248" s="2"/>
      <c r="S248" s="2"/>
      <c r="T248" s="25"/>
      <c r="U248" s="25"/>
    </row>
    <row r="249" spans="1:21" ht="14.25" customHeight="1" x14ac:dyDescent="0.35">
      <c r="A249" s="2"/>
      <c r="B249" s="2"/>
      <c r="C249" s="2"/>
      <c r="D249" s="2"/>
      <c r="E249" s="2"/>
      <c r="F249" s="2"/>
      <c r="G249" s="2"/>
      <c r="H249" s="2"/>
      <c r="I249" s="2"/>
      <c r="J249" s="2"/>
      <c r="K249" s="34"/>
      <c r="L249" s="2"/>
      <c r="M249" s="2"/>
      <c r="N249" s="2"/>
      <c r="O249" s="2"/>
      <c r="P249" s="2"/>
      <c r="Q249" s="2"/>
      <c r="R249" s="2"/>
      <c r="S249" s="2"/>
      <c r="T249" s="25"/>
      <c r="U249" s="25"/>
    </row>
    <row r="250" spans="1:21" ht="14.25" customHeight="1" x14ac:dyDescent="0.35">
      <c r="A250" s="2"/>
      <c r="B250" s="2"/>
      <c r="C250" s="2"/>
      <c r="D250" s="2"/>
      <c r="E250" s="2"/>
      <c r="F250" s="2"/>
      <c r="G250" s="2"/>
      <c r="H250" s="2"/>
      <c r="I250" s="2"/>
      <c r="J250" s="2"/>
      <c r="K250" s="34"/>
      <c r="L250" s="2"/>
      <c r="M250" s="2"/>
      <c r="N250" s="2"/>
      <c r="O250" s="2"/>
      <c r="P250" s="2"/>
      <c r="Q250" s="2"/>
      <c r="R250" s="2"/>
      <c r="S250" s="2"/>
      <c r="T250" s="25"/>
      <c r="U250" s="25"/>
    </row>
    <row r="251" spans="1:21" ht="14.25" customHeight="1" x14ac:dyDescent="0.35">
      <c r="A251" s="2"/>
      <c r="B251" s="2"/>
      <c r="C251" s="2"/>
      <c r="D251" s="2"/>
      <c r="E251" s="2"/>
      <c r="F251" s="2"/>
      <c r="G251" s="2"/>
      <c r="H251" s="2"/>
      <c r="I251" s="2"/>
      <c r="J251" s="2"/>
      <c r="K251" s="34"/>
      <c r="L251" s="2"/>
      <c r="M251" s="2"/>
      <c r="N251" s="2"/>
      <c r="O251" s="2"/>
      <c r="P251" s="2"/>
      <c r="Q251" s="2"/>
      <c r="R251" s="2"/>
      <c r="S251" s="2"/>
      <c r="T251" s="25"/>
      <c r="U251" s="25"/>
    </row>
    <row r="252" spans="1:21" ht="14.25" customHeight="1" x14ac:dyDescent="0.35">
      <c r="A252" s="2"/>
      <c r="B252" s="2"/>
      <c r="C252" s="2"/>
      <c r="D252" s="2"/>
      <c r="E252" s="2"/>
      <c r="F252" s="2"/>
      <c r="G252" s="2"/>
      <c r="H252" s="2"/>
      <c r="I252" s="2"/>
      <c r="J252" s="2"/>
      <c r="K252" s="34"/>
      <c r="L252" s="2"/>
      <c r="M252" s="2"/>
      <c r="N252" s="2"/>
      <c r="O252" s="2"/>
      <c r="P252" s="2"/>
      <c r="Q252" s="2"/>
      <c r="R252" s="2"/>
      <c r="S252" s="2"/>
      <c r="T252" s="25"/>
      <c r="U252" s="25"/>
    </row>
    <row r="253" spans="1:21" ht="14.25" customHeight="1" x14ac:dyDescent="0.35">
      <c r="A253" s="2"/>
      <c r="B253" s="2"/>
      <c r="C253" s="2"/>
      <c r="D253" s="2"/>
      <c r="E253" s="2"/>
      <c r="F253" s="2"/>
      <c r="G253" s="2"/>
      <c r="H253" s="2"/>
      <c r="I253" s="2"/>
      <c r="J253" s="2"/>
      <c r="K253" s="34"/>
      <c r="L253" s="2"/>
      <c r="M253" s="2"/>
      <c r="N253" s="2"/>
      <c r="O253" s="2"/>
      <c r="P253" s="2"/>
      <c r="Q253" s="2"/>
      <c r="R253" s="2"/>
      <c r="S253" s="2"/>
      <c r="T253" s="25"/>
      <c r="U253" s="25"/>
    </row>
    <row r="254" spans="1:21" ht="14.25" customHeight="1" x14ac:dyDescent="0.35">
      <c r="A254" s="2"/>
      <c r="B254" s="2"/>
      <c r="C254" s="2"/>
      <c r="D254" s="2"/>
      <c r="E254" s="2"/>
      <c r="F254" s="2"/>
      <c r="G254" s="2"/>
      <c r="H254" s="2"/>
      <c r="I254" s="2"/>
      <c r="J254" s="2"/>
      <c r="K254" s="34"/>
      <c r="L254" s="2"/>
      <c r="M254" s="2"/>
      <c r="N254" s="2"/>
      <c r="O254" s="2"/>
      <c r="P254" s="2"/>
      <c r="Q254" s="2"/>
      <c r="R254" s="2"/>
      <c r="S254" s="2"/>
      <c r="T254" s="25"/>
      <c r="U254" s="25"/>
    </row>
    <row r="255" spans="1:21" ht="14.25" customHeight="1" x14ac:dyDescent="0.35">
      <c r="A255" s="2"/>
      <c r="B255" s="2"/>
      <c r="C255" s="2"/>
      <c r="D255" s="2"/>
      <c r="E255" s="2"/>
      <c r="F255" s="2"/>
      <c r="G255" s="2"/>
      <c r="H255" s="2"/>
      <c r="I255" s="2"/>
      <c r="J255" s="2"/>
      <c r="K255" s="34"/>
      <c r="L255" s="2"/>
      <c r="M255" s="2"/>
      <c r="N255" s="2"/>
      <c r="O255" s="2"/>
      <c r="P255" s="2"/>
      <c r="Q255" s="2"/>
      <c r="R255" s="2"/>
      <c r="S255" s="2"/>
      <c r="T255" s="25"/>
      <c r="U255" s="25"/>
    </row>
    <row r="256" spans="1:21" ht="14.25" customHeight="1" x14ac:dyDescent="0.35">
      <c r="A256" s="2"/>
      <c r="B256" s="2"/>
      <c r="C256" s="2"/>
      <c r="D256" s="2"/>
      <c r="E256" s="2"/>
      <c r="F256" s="2"/>
      <c r="G256" s="2"/>
      <c r="H256" s="2"/>
      <c r="I256" s="2"/>
      <c r="J256" s="2"/>
      <c r="K256" s="34"/>
      <c r="L256" s="2"/>
      <c r="M256" s="2"/>
      <c r="N256" s="2"/>
      <c r="O256" s="2"/>
      <c r="P256" s="2"/>
      <c r="Q256" s="2"/>
      <c r="R256" s="2"/>
      <c r="S256" s="2"/>
      <c r="T256" s="25"/>
      <c r="U256" s="25"/>
    </row>
    <row r="257" spans="1:21" ht="14.25" customHeight="1" x14ac:dyDescent="0.35">
      <c r="A257" s="2"/>
      <c r="B257" s="2"/>
      <c r="C257" s="2"/>
      <c r="D257" s="2"/>
      <c r="E257" s="2"/>
      <c r="F257" s="2"/>
      <c r="G257" s="2"/>
      <c r="H257" s="2"/>
      <c r="I257" s="2"/>
      <c r="J257" s="2"/>
      <c r="K257" s="34"/>
      <c r="L257" s="2"/>
      <c r="M257" s="2"/>
      <c r="N257" s="2"/>
      <c r="O257" s="2"/>
      <c r="P257" s="2"/>
      <c r="Q257" s="2"/>
      <c r="R257" s="2"/>
      <c r="S257" s="2"/>
      <c r="T257" s="25"/>
      <c r="U257" s="25"/>
    </row>
    <row r="258" spans="1:21" ht="14.25" customHeight="1" x14ac:dyDescent="0.35">
      <c r="A258" s="2"/>
      <c r="B258" s="2"/>
      <c r="C258" s="2"/>
      <c r="D258" s="2"/>
      <c r="E258" s="2"/>
      <c r="F258" s="2"/>
      <c r="G258" s="2"/>
      <c r="H258" s="2"/>
      <c r="I258" s="2"/>
      <c r="J258" s="2"/>
      <c r="K258" s="34"/>
      <c r="L258" s="2"/>
      <c r="M258" s="2"/>
      <c r="N258" s="2"/>
      <c r="O258" s="2"/>
      <c r="P258" s="2"/>
      <c r="Q258" s="2"/>
      <c r="R258" s="2"/>
      <c r="S258" s="2"/>
      <c r="T258" s="25"/>
      <c r="U258" s="25"/>
    </row>
    <row r="259" spans="1:21" ht="14.25" customHeight="1" x14ac:dyDescent="0.35">
      <c r="A259" s="2"/>
      <c r="B259" s="2"/>
      <c r="C259" s="2"/>
      <c r="D259" s="2"/>
      <c r="E259" s="2"/>
      <c r="F259" s="2"/>
      <c r="G259" s="2"/>
      <c r="H259" s="2"/>
      <c r="I259" s="2"/>
      <c r="J259" s="2"/>
      <c r="K259" s="34"/>
      <c r="L259" s="2"/>
      <c r="M259" s="2"/>
      <c r="N259" s="2"/>
      <c r="O259" s="2"/>
      <c r="P259" s="2"/>
      <c r="Q259" s="2"/>
      <c r="R259" s="2"/>
      <c r="S259" s="2"/>
      <c r="T259" s="25"/>
      <c r="U259" s="25"/>
    </row>
    <row r="260" spans="1:21" ht="14.25" customHeight="1" x14ac:dyDescent="0.35">
      <c r="A260" s="2"/>
      <c r="B260" s="2"/>
      <c r="C260" s="2"/>
      <c r="D260" s="2"/>
      <c r="E260" s="2"/>
      <c r="F260" s="2"/>
      <c r="G260" s="2"/>
      <c r="H260" s="2"/>
      <c r="I260" s="2"/>
      <c r="J260" s="2"/>
      <c r="K260" s="34"/>
      <c r="L260" s="2"/>
      <c r="M260" s="2"/>
      <c r="N260" s="2"/>
      <c r="O260" s="2"/>
      <c r="P260" s="2"/>
      <c r="Q260" s="2"/>
      <c r="R260" s="2"/>
      <c r="S260" s="2"/>
      <c r="T260" s="25"/>
      <c r="U260" s="25"/>
    </row>
  </sheetData>
  <sheetProtection password="EDB3" sheet="1" objects="1" scenarios="1"/>
  <mergeCells count="7">
    <mergeCell ref="AB16:AC16"/>
    <mergeCell ref="D2:G2"/>
    <mergeCell ref="D3:G3"/>
    <mergeCell ref="Q5:U5"/>
    <mergeCell ref="Q6:U6"/>
    <mergeCell ref="Y6:AB10"/>
    <mergeCell ref="B8:E8"/>
  </mergeCells>
  <pageMargins left="0.511811024" right="0.511811024" top="0.78740157499999996" bottom="0.78740157499999996" header="0" footer="0"/>
  <pageSetup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C5E0B3"/>
    <outlinePr summaryBelow="0"/>
  </sheetPr>
  <dimension ref="A1:AB117"/>
  <sheetViews>
    <sheetView showGridLines="0" zoomScale="75" zoomScaleNormal="75" workbookViewId="0">
      <selection activeCell="B5" sqref="B5"/>
    </sheetView>
  </sheetViews>
  <sheetFormatPr defaultColWidth="14.453125" defaultRowHeight="15" customHeight="1" outlineLevelRow="1" x14ac:dyDescent="0.35"/>
  <cols>
    <col min="1" max="1" width="1" customWidth="1"/>
    <col min="2" max="2" width="51.453125" customWidth="1"/>
    <col min="3" max="4" width="13.7265625" customWidth="1"/>
    <col min="5" max="5" width="1.7265625" customWidth="1"/>
    <col min="6" max="6" width="51.26953125" customWidth="1"/>
    <col min="7" max="8" width="13.26953125" customWidth="1"/>
    <col min="9" max="9" width="1.7265625" customWidth="1"/>
    <col min="10" max="10" width="49.7265625" customWidth="1"/>
    <col min="11" max="11" width="15.453125" style="451" customWidth="1"/>
    <col min="12" max="12" width="15.453125" customWidth="1"/>
    <col min="13" max="13" width="2.7265625" customWidth="1"/>
    <col min="14" max="14" width="48.7265625" customWidth="1"/>
    <col min="15" max="15" width="16.453125" customWidth="1"/>
    <col min="16" max="16" width="14.453125" customWidth="1"/>
    <col min="17" max="17" width="5.26953125" customWidth="1"/>
    <col min="18" max="18" width="36.453125" style="955" customWidth="1"/>
    <col min="19" max="19" width="23.453125" style="955" customWidth="1"/>
    <col min="20" max="20" width="18.453125" style="955" customWidth="1"/>
    <col min="21" max="21" width="31.7265625" style="955" customWidth="1"/>
    <col min="22" max="22" width="38.26953125" style="955" customWidth="1"/>
    <col min="23" max="23" width="20.453125" style="955" customWidth="1"/>
    <col min="24" max="24" width="13.453125" style="955" customWidth="1"/>
    <col min="25" max="25" width="10.453125" style="955" customWidth="1"/>
    <col min="26" max="26" width="14.453125" style="1433" customWidth="1"/>
  </cols>
  <sheetData>
    <row r="1" spans="1:28" ht="4.5" customHeight="1" thickBot="1" x14ac:dyDescent="0.4">
      <c r="A1" s="35"/>
      <c r="B1" s="26"/>
      <c r="C1" s="36"/>
      <c r="D1" s="36"/>
      <c r="E1" s="37"/>
      <c r="F1" s="26"/>
      <c r="G1" s="36" t="s">
        <v>3</v>
      </c>
      <c r="H1" s="36" t="s">
        <v>5</v>
      </c>
      <c r="I1" s="37"/>
      <c r="J1" s="35"/>
      <c r="K1" s="34"/>
      <c r="L1" s="35"/>
      <c r="M1" s="37"/>
      <c r="N1" s="37"/>
      <c r="O1" s="37"/>
      <c r="P1" s="37"/>
      <c r="Q1" s="37"/>
      <c r="R1" s="934"/>
      <c r="S1" s="935"/>
      <c r="T1" s="935"/>
      <c r="U1" s="935"/>
      <c r="V1" s="935"/>
      <c r="W1" s="935"/>
      <c r="X1" s="935"/>
      <c r="Y1" s="935"/>
      <c r="Z1" s="1426"/>
    </row>
    <row r="2" spans="1:28" ht="20.149999999999999" customHeight="1" x14ac:dyDescent="0.35">
      <c r="A2" s="35"/>
      <c r="B2" s="26"/>
      <c r="C2" s="2092" t="s">
        <v>474</v>
      </c>
      <c r="D2" s="1950"/>
      <c r="E2" s="817"/>
      <c r="F2" s="1406" t="s">
        <v>493</v>
      </c>
      <c r="G2" s="2083" t="str">
        <f>IF('R-Definição'!D2&lt;&gt;0,'R-Definição'!D2,"")</f>
        <v>São Judas Tadeu</v>
      </c>
      <c r="H2" s="2084"/>
      <c r="I2" s="37"/>
      <c r="J2" s="35"/>
      <c r="K2" s="34"/>
      <c r="L2" s="35"/>
      <c r="M2" s="37"/>
      <c r="N2" s="37"/>
      <c r="O2" s="37"/>
      <c r="P2" s="37"/>
      <c r="Q2" s="37"/>
      <c r="R2" s="934"/>
      <c r="S2" s="935"/>
      <c r="T2" s="935"/>
      <c r="U2" s="935"/>
      <c r="V2" s="935"/>
      <c r="W2" s="935"/>
      <c r="X2" s="935"/>
      <c r="Y2" s="935"/>
      <c r="Z2" s="1426"/>
    </row>
    <row r="3" spans="1:28" ht="20.149999999999999" customHeight="1" thickBot="1" x14ac:dyDescent="0.4">
      <c r="A3" s="35"/>
      <c r="B3" s="26"/>
      <c r="C3" s="2091" t="str">
        <f>'R-Entrada'!L5</f>
        <v>Versão 1.01   -   Maio de 2022</v>
      </c>
      <c r="D3" s="2091"/>
      <c r="E3" s="817"/>
      <c r="F3" s="1407" t="s">
        <v>494</v>
      </c>
      <c r="G3" s="2085" t="str">
        <f>IF('R-Definição'!D3&lt;&gt;0,'R-Definição'!D3,"")</f>
        <v>Rota Futura 1</v>
      </c>
      <c r="H3" s="2086"/>
      <c r="I3" s="37"/>
      <c r="J3" s="35"/>
      <c r="K3" s="34"/>
      <c r="L3" s="35"/>
      <c r="M3" s="37"/>
      <c r="N3" s="37"/>
      <c r="O3" s="37"/>
      <c r="P3" s="37"/>
      <c r="Q3" s="37"/>
      <c r="R3" s="934"/>
      <c r="S3" s="935"/>
      <c r="T3" s="935"/>
      <c r="U3" s="935"/>
      <c r="V3" s="935"/>
      <c r="W3" s="935"/>
      <c r="X3" s="935"/>
      <c r="Y3" s="935"/>
      <c r="Z3" s="1426"/>
    </row>
    <row r="4" spans="1:28" ht="5.15" customHeight="1" thickBot="1" x14ac:dyDescent="0.4">
      <c r="A4" s="35"/>
      <c r="B4" s="26"/>
      <c r="C4" s="36"/>
      <c r="D4" s="36"/>
      <c r="E4" s="37"/>
      <c r="F4" s="26"/>
      <c r="G4" s="35"/>
      <c r="H4" s="35"/>
      <c r="I4" s="37"/>
      <c r="J4" s="35"/>
      <c r="K4" s="34"/>
      <c r="L4" s="35"/>
      <c r="M4" s="37"/>
      <c r="N4" s="37"/>
      <c r="O4" s="37"/>
      <c r="P4" s="37"/>
      <c r="Q4" s="37"/>
      <c r="R4" s="934"/>
      <c r="S4" s="935"/>
      <c r="T4" s="935"/>
      <c r="U4" s="935"/>
      <c r="V4" s="935"/>
      <c r="W4" s="935"/>
      <c r="X4" s="935"/>
      <c r="Y4" s="935"/>
      <c r="Z4" s="1426"/>
    </row>
    <row r="5" spans="1:28" ht="20.149999999999999" customHeight="1" thickTop="1" x14ac:dyDescent="0.35">
      <c r="A5" s="35"/>
      <c r="B5" s="1313" t="s">
        <v>564</v>
      </c>
      <c r="C5" s="1314" t="s">
        <v>281</v>
      </c>
      <c r="D5" s="1315" t="s">
        <v>282</v>
      </c>
      <c r="E5" s="191"/>
      <c r="F5" s="1324" t="s">
        <v>646</v>
      </c>
      <c r="G5" s="1325" t="s">
        <v>281</v>
      </c>
      <c r="H5" s="1285" t="s">
        <v>282</v>
      </c>
      <c r="I5" s="37"/>
      <c r="J5" s="35"/>
      <c r="K5" s="34"/>
      <c r="L5" s="35"/>
      <c r="M5" s="37"/>
      <c r="N5" s="37"/>
      <c r="O5" s="37"/>
      <c r="P5" s="37"/>
      <c r="Q5" s="37"/>
      <c r="R5" s="934"/>
      <c r="S5" s="935"/>
      <c r="T5" s="935"/>
      <c r="U5" s="935"/>
      <c r="V5" s="935"/>
      <c r="W5" s="935"/>
      <c r="X5" s="935"/>
      <c r="Y5" s="935"/>
      <c r="Z5" s="935"/>
      <c r="AA5" s="1441"/>
      <c r="AB5" s="1441"/>
    </row>
    <row r="6" spans="1:28" ht="15" customHeight="1" x14ac:dyDescent="0.35">
      <c r="A6" s="35"/>
      <c r="B6" s="1245" t="s">
        <v>283</v>
      </c>
      <c r="C6" s="261" t="s">
        <v>284</v>
      </c>
      <c r="D6" s="1316">
        <f>D37</f>
        <v>2500000</v>
      </c>
      <c r="E6" s="191"/>
      <c r="F6" s="1326" t="s">
        <v>562</v>
      </c>
      <c r="G6" s="232" t="s">
        <v>285</v>
      </c>
      <c r="H6" s="1327">
        <f>IF(D24="Sim",L91,0)</f>
        <v>0</v>
      </c>
      <c r="I6" s="37"/>
      <c r="J6" s="35"/>
      <c r="K6" s="34"/>
      <c r="L6" s="35"/>
      <c r="M6" s="37"/>
      <c r="N6" s="37"/>
      <c r="O6" s="37"/>
      <c r="P6" s="37"/>
      <c r="Q6" s="37"/>
      <c r="R6" s="936" t="s">
        <v>286</v>
      </c>
      <c r="S6" s="937" t="s">
        <v>981</v>
      </c>
      <c r="T6" s="937" t="s">
        <v>897</v>
      </c>
      <c r="U6" s="937" t="s">
        <v>898</v>
      </c>
      <c r="V6" s="937" t="s">
        <v>899</v>
      </c>
      <c r="W6" s="937" t="s">
        <v>904</v>
      </c>
      <c r="X6" s="937" t="s">
        <v>323</v>
      </c>
      <c r="Y6" s="937" t="s">
        <v>126</v>
      </c>
      <c r="Z6" s="937" t="s">
        <v>62</v>
      </c>
      <c r="AA6" s="1438" t="s">
        <v>64</v>
      </c>
      <c r="AB6" s="1441"/>
    </row>
    <row r="7" spans="1:28" ht="15" customHeight="1" x14ac:dyDescent="0.35">
      <c r="A7" s="35"/>
      <c r="B7" s="1245" t="s">
        <v>287</v>
      </c>
      <c r="C7" s="262" t="s">
        <v>19</v>
      </c>
      <c r="D7" s="1317">
        <f>D39</f>
        <v>3000</v>
      </c>
      <c r="E7" s="191"/>
      <c r="F7" s="1299" t="s">
        <v>562</v>
      </c>
      <c r="G7" s="263" t="s">
        <v>288</v>
      </c>
      <c r="H7" s="1411">
        <f>H6*1000000/D8</f>
        <v>0</v>
      </c>
      <c r="I7" s="37"/>
      <c r="J7" s="35"/>
      <c r="K7" s="34"/>
      <c r="L7" s="35"/>
      <c r="M7" s="37"/>
      <c r="N7" s="37"/>
      <c r="O7" s="37"/>
      <c r="P7" s="37"/>
      <c r="Q7" s="37"/>
      <c r="R7" s="938" t="s">
        <v>289</v>
      </c>
      <c r="S7" s="1442">
        <f>IF(D24="Não",0,H21/D41)</f>
        <v>0</v>
      </c>
      <c r="T7" s="939">
        <f>L54</f>
        <v>30.375538166302764</v>
      </c>
      <c r="U7" s="939">
        <f>L57</f>
        <v>261.05542099983467</v>
      </c>
      <c r="V7" s="939">
        <f>L60</f>
        <v>25.811456103628242</v>
      </c>
      <c r="W7" s="939">
        <f>L63</f>
        <v>0</v>
      </c>
      <c r="X7" s="939">
        <f>L66</f>
        <v>365.30057763955409</v>
      </c>
      <c r="Y7" s="939">
        <f>L69</f>
        <v>85.170525825691058</v>
      </c>
      <c r="Z7" s="939">
        <f>L72</f>
        <v>949.544733207847</v>
      </c>
      <c r="AA7" s="939">
        <f>L75</f>
        <v>56.176029056911588</v>
      </c>
      <c r="AB7" s="1441"/>
    </row>
    <row r="8" spans="1:28" ht="15" customHeight="1" x14ac:dyDescent="0.35">
      <c r="A8" s="35"/>
      <c r="B8" s="1245" t="s">
        <v>290</v>
      </c>
      <c r="C8" s="262" t="s">
        <v>291</v>
      </c>
      <c r="D8" s="1317">
        <f>D41</f>
        <v>939000</v>
      </c>
      <c r="E8" s="191"/>
      <c r="F8" s="1326" t="s">
        <v>563</v>
      </c>
      <c r="G8" s="262" t="s">
        <v>285</v>
      </c>
      <c r="H8" s="1327">
        <f>O79</f>
        <v>190.1892033261139</v>
      </c>
      <c r="I8" s="37"/>
      <c r="J8" s="35"/>
      <c r="K8" s="34"/>
      <c r="L8" s="35"/>
      <c r="M8" s="37"/>
      <c r="N8" s="37"/>
      <c r="O8" s="37"/>
      <c r="P8" s="37"/>
      <c r="Q8" s="37"/>
      <c r="R8" s="938" t="s">
        <v>293</v>
      </c>
      <c r="S8" s="1442">
        <v>0</v>
      </c>
      <c r="T8" s="940">
        <f>L53</f>
        <v>1840.9417070486525</v>
      </c>
      <c r="U8" s="940">
        <f>L56</f>
        <v>353.73363279110384</v>
      </c>
      <c r="V8" s="940">
        <f>L59</f>
        <v>398.32493987080619</v>
      </c>
      <c r="W8" s="940">
        <f>L62</f>
        <v>0</v>
      </c>
      <c r="X8" s="940">
        <f>L65</f>
        <v>1062.0190763081278</v>
      </c>
      <c r="Y8" s="940">
        <f>L68</f>
        <v>349.56955979088787</v>
      </c>
      <c r="Z8" s="940">
        <f>L71</f>
        <v>4335.345593212829</v>
      </c>
      <c r="AA8" s="940">
        <f>L74</f>
        <v>147.2750333002258</v>
      </c>
      <c r="AB8" s="1441"/>
    </row>
    <row r="9" spans="1:28" ht="15" customHeight="1" x14ac:dyDescent="0.35">
      <c r="A9" s="35"/>
      <c r="B9" s="1318" t="s">
        <v>559</v>
      </c>
      <c r="C9" s="263" t="s">
        <v>291</v>
      </c>
      <c r="D9" s="1319">
        <f t="shared" ref="D9:D10" si="0">D45</f>
        <v>358168.59179999994</v>
      </c>
      <c r="E9" s="191"/>
      <c r="F9" s="1299" t="s">
        <v>958</v>
      </c>
      <c r="G9" s="263" t="s">
        <v>285</v>
      </c>
      <c r="H9" s="1300">
        <f>IF('R-Definição'!$E$121="Existente",((D88+D89)*D45+(D89*D11))/1000000,((D85+D88)*D45+(D89*D11))/1000000)</f>
        <v>51.538115508000004</v>
      </c>
      <c r="I9" s="37"/>
      <c r="J9" s="35"/>
      <c r="K9" s="34"/>
      <c r="L9" s="35"/>
      <c r="M9" s="37"/>
      <c r="N9" s="37"/>
      <c r="O9" s="37"/>
      <c r="P9" s="37"/>
      <c r="Q9" s="37"/>
      <c r="R9" s="938" t="s">
        <v>294</v>
      </c>
      <c r="S9" s="1442">
        <f>L92</f>
        <v>218</v>
      </c>
      <c r="T9" s="939">
        <f>P54</f>
        <v>13.996133566293928</v>
      </c>
      <c r="U9" s="939">
        <f>P57</f>
        <v>48.96191651591981</v>
      </c>
      <c r="V9" s="939">
        <f>P60</f>
        <v>3.8702537336931506</v>
      </c>
      <c r="W9" s="939">
        <f>P63</f>
        <v>0</v>
      </c>
      <c r="X9" s="939">
        <f>P66</f>
        <v>37.736207457629014</v>
      </c>
      <c r="Y9" s="939">
        <f>P69</f>
        <v>7.2850557027649829</v>
      </c>
      <c r="Z9" s="939">
        <f>P72</f>
        <v>72.392951067868225</v>
      </c>
      <c r="AA9" s="939">
        <f>IF('R-Definição'!E121="Novo",P75,(D45+D47)*D89/D41)</f>
        <v>18.301894443705148</v>
      </c>
      <c r="AB9" s="1441"/>
    </row>
    <row r="10" spans="1:28" ht="15" customHeight="1" x14ac:dyDescent="0.35">
      <c r="A10" s="35"/>
      <c r="B10" s="1245" t="s">
        <v>720</v>
      </c>
      <c r="C10" s="262" t="s">
        <v>190</v>
      </c>
      <c r="D10" s="1320">
        <f t="shared" si="0"/>
        <v>0.61856380000000011</v>
      </c>
      <c r="E10" s="191"/>
      <c r="F10" s="1299" t="str">
        <f>IF(D24="Sim","Custo Total Rota Tecnológica COM Coleta","Custo Total Rota Tecnológica SEM Coleta")</f>
        <v>Custo Total Rota Tecnológica SEM Coleta</v>
      </c>
      <c r="G10" s="263" t="s">
        <v>285</v>
      </c>
      <c r="H10" s="1328">
        <f>H6+H8+H9</f>
        <v>241.7273188341139</v>
      </c>
      <c r="I10" s="37"/>
      <c r="J10" s="35"/>
      <c r="K10" s="34"/>
      <c r="L10" s="35"/>
      <c r="M10" s="37"/>
      <c r="N10" s="37"/>
      <c r="O10" s="37"/>
      <c r="P10" s="37"/>
      <c r="Q10" s="37"/>
      <c r="R10" s="938" t="s">
        <v>295</v>
      </c>
      <c r="S10" s="1442">
        <v>0</v>
      </c>
      <c r="T10" s="940">
        <f>P53</f>
        <v>848.25051916932898</v>
      </c>
      <c r="U10" s="940">
        <f>P56</f>
        <v>66.34406031967454</v>
      </c>
      <c r="V10" s="940">
        <f>P59</f>
        <v>59.726137865635032</v>
      </c>
      <c r="W10" s="940">
        <f>P62</f>
        <v>0</v>
      </c>
      <c r="X10" s="940">
        <f>P65</f>
        <v>109.70848293338048</v>
      </c>
      <c r="Y10" s="940">
        <f>P68</f>
        <v>29.900410856680175</v>
      </c>
      <c r="Z10" s="940">
        <f>P71</f>
        <v>330.52519846166723</v>
      </c>
      <c r="AA10" s="939">
        <f>IF('R-Definição'!E121="Novo",P74,D89)</f>
        <v>47.981535165527411</v>
      </c>
      <c r="AB10" s="1441"/>
    </row>
    <row r="11" spans="1:28" ht="15" customHeight="1" x14ac:dyDescent="0.35">
      <c r="A11" s="35"/>
      <c r="B11" s="1318" t="s">
        <v>560</v>
      </c>
      <c r="C11" s="263" t="s">
        <v>291</v>
      </c>
      <c r="D11" s="1319">
        <f>'R-Fluxo Massa'!AS49*313</f>
        <v>300480</v>
      </c>
      <c r="E11" s="191"/>
      <c r="F11" s="1326" t="s">
        <v>957</v>
      </c>
      <c r="G11" s="262" t="s">
        <v>285</v>
      </c>
      <c r="H11" s="1327">
        <f>H91*(1-D26)</f>
        <v>107.77625145958278</v>
      </c>
      <c r="I11" s="37"/>
      <c r="J11" s="35"/>
      <c r="K11" s="34"/>
      <c r="L11" s="35"/>
      <c r="M11" s="37"/>
      <c r="N11" s="37"/>
      <c r="O11" s="37"/>
      <c r="P11" s="37"/>
      <c r="Q11" s="37"/>
      <c r="R11" s="938" t="s">
        <v>762</v>
      </c>
      <c r="S11" s="1442">
        <v>0</v>
      </c>
      <c r="T11" s="939">
        <f>IF(T12&gt;0,($P37*$D99+$P38*$D100+$P39*$D101+$P40*$D102+$P41*$D103+$P42*$D104)/(T12*313),0)</f>
        <v>259.59532630379022</v>
      </c>
      <c r="U11" s="941">
        <f>IF(U12&gt;0,($L37*$D99+$L38*$D100+$L39*$D101+$L40*$D102+$L41*$D103+$L42*$D104)/(U12*313),0)</f>
        <v>91.47041822769323</v>
      </c>
      <c r="V11" s="941">
        <f>IF(V12&gt;0,($L45*$D110+$L47*$D109)/(V12*313),0)</f>
        <v>63.749999999999993</v>
      </c>
      <c r="W11" s="941">
        <f>IF(W12&gt;0,($L46*$D110+$L48*$D109)/(W12*313),0)</f>
        <v>0</v>
      </c>
      <c r="X11" s="941">
        <f>IF(X12&gt;0,($P43*$D112+$P46*$D115)/(X12*313),0)</f>
        <v>56.0625</v>
      </c>
      <c r="Y11" s="941">
        <f>IF(Y12&gt;0,($L49*$D106+$L50*$D107)/(Y12*313),0)</f>
        <v>0</v>
      </c>
      <c r="Z11" s="941">
        <f>IF(Z12&gt;0,($P44*$D112)/(Z12*313),0)</f>
        <v>64.549963168959948</v>
      </c>
      <c r="AA11" s="941">
        <f>IF(AA12&gt;0,($P45*$D112+$P47*$D115)/(AA12*313),0)</f>
        <v>4.5384520797380503</v>
      </c>
      <c r="AB11" s="1441"/>
    </row>
    <row r="12" spans="1:28" ht="15" customHeight="1" x14ac:dyDescent="0.35">
      <c r="A12" s="35"/>
      <c r="B12" s="1245" t="s">
        <v>561</v>
      </c>
      <c r="C12" s="262" t="s">
        <v>190</v>
      </c>
      <c r="D12" s="1320">
        <f>(D16)/D8</f>
        <v>0.1596894545454545</v>
      </c>
      <c r="E12" s="191"/>
      <c r="F12" s="1326" t="str">
        <f>IF(AND(D24="Sim", D25="Sim"),"Custo Total Rota Tecnológica COM Coleta e COM Receita",IF(AND(D24="Não", D25="Sim"),"Custo Total Rota Tecnológica SEM Coleta e COM Receita",IF(AND(D24="Sim", D25="Não"),"Custo Total Rota Tecnológica COM Coleta e SEM Receita",IF(AND(D24="Não", D25="Não"),"Custo Total Rota Tecnológica SEM Coleta e SEM Receita","-"))))</f>
        <v>Custo Total Rota Tecnológica SEM Coleta e SEM Receita</v>
      </c>
      <c r="G12" s="232" t="s">
        <v>285</v>
      </c>
      <c r="H12" s="1327">
        <f>IF(D25="Sim",H10-H11,H10)</f>
        <v>241.7273188341139</v>
      </c>
      <c r="I12" s="37"/>
      <c r="J12" s="35"/>
      <c r="K12" s="34"/>
      <c r="L12" s="35"/>
      <c r="M12" s="37"/>
      <c r="N12" s="37"/>
      <c r="O12" s="37"/>
      <c r="P12" s="37"/>
      <c r="Q12" s="37"/>
      <c r="R12" s="938" t="s">
        <v>296</v>
      </c>
      <c r="S12" s="1442">
        <f>D39</f>
        <v>3000</v>
      </c>
      <c r="T12" s="939">
        <f>$H53/313</f>
        <v>49.499999999999993</v>
      </c>
      <c r="U12" s="939">
        <f>$H56/313</f>
        <v>2214</v>
      </c>
      <c r="V12" s="939">
        <f>$H59/313</f>
        <v>194.4</v>
      </c>
      <c r="W12" s="939">
        <f>$H62/313</f>
        <v>0</v>
      </c>
      <c r="X12" s="939">
        <f>$H65/313</f>
        <v>1031.904</v>
      </c>
      <c r="Y12" s="939">
        <f>$H68/313</f>
        <v>730.9319999999999</v>
      </c>
      <c r="Z12" s="939">
        <f>$H71/313</f>
        <v>657.07200000000023</v>
      </c>
      <c r="AA12" s="939">
        <f>(D45+D47)/313</f>
        <v>2104.3085999999998</v>
      </c>
      <c r="AB12" s="1441"/>
    </row>
    <row r="13" spans="1:28" ht="15" customHeight="1" thickBot="1" x14ac:dyDescent="0.4">
      <c r="A13" s="35"/>
      <c r="B13" s="1321" t="s">
        <v>959</v>
      </c>
      <c r="C13" s="1322" t="s">
        <v>190</v>
      </c>
      <c r="D13" s="1323">
        <f>D16/((SUM('R-Entrada'!G28:G33))*313)</f>
        <v>0.50059390139640914</v>
      </c>
      <c r="E13" s="191"/>
      <c r="F13" s="1301" t="str">
        <f>IF(AND(D24="Sim", D25="Sim"),"Custo Total Rota Tecnológica COM Coleta e COM Receita",IF(AND(D24="Não", D25="Sim"),"Custo Total Rota Tecnológica SEM Coleta e COM Receita",IF(AND(D24="Sim", D25="Não"),"Custo Total Rota Tecnológica COM Coleta e SEM Receita",IF(AND(D24="Não", D25="Não"),"Custo Total Rota Tecnológica SEM Coleta e SEM Receita","-"))))</f>
        <v>Custo Total Rota Tecnológica SEM Coleta e SEM Receita</v>
      </c>
      <c r="G13" s="1322" t="s">
        <v>288</v>
      </c>
      <c r="H13" s="1412">
        <f>H12*1000000/D8</f>
        <v>257.43058448787423</v>
      </c>
      <c r="I13" s="37"/>
      <c r="J13" s="35"/>
      <c r="K13" s="34"/>
      <c r="L13" s="35"/>
      <c r="M13" s="37"/>
      <c r="N13" s="37"/>
      <c r="O13" s="37"/>
      <c r="P13" s="37"/>
      <c r="Q13" s="37"/>
      <c r="R13" s="1436"/>
      <c r="S13" s="1437"/>
      <c r="T13" s="1437"/>
      <c r="U13" s="1437"/>
      <c r="V13" s="1437"/>
      <c r="W13" s="1437"/>
      <c r="X13" s="1437"/>
      <c r="Y13" s="1437"/>
      <c r="Z13" s="1437"/>
      <c r="AA13" s="1440"/>
    </row>
    <row r="14" spans="1:28" ht="5.15" customHeight="1" thickTop="1" thickBot="1" x14ac:dyDescent="0.4">
      <c r="A14" s="35"/>
      <c r="B14" s="258"/>
      <c r="C14" s="191"/>
      <c r="D14" s="191"/>
      <c r="E14" s="191"/>
      <c r="F14" s="258"/>
      <c r="G14" s="191"/>
      <c r="H14" s="191"/>
      <c r="I14" s="37"/>
      <c r="J14" s="35"/>
      <c r="K14" s="34"/>
      <c r="L14" s="35"/>
      <c r="M14" s="37"/>
      <c r="N14" s="37"/>
      <c r="O14" s="37"/>
      <c r="P14" s="37"/>
      <c r="Q14" s="37"/>
      <c r="R14" s="1436"/>
      <c r="S14" s="1437"/>
      <c r="T14" s="1437"/>
      <c r="U14" s="1437"/>
      <c r="V14" s="1437"/>
      <c r="W14" s="1437"/>
      <c r="X14" s="1437"/>
      <c r="Y14" s="1437"/>
      <c r="Z14" s="1437"/>
      <c r="AA14" s="1440"/>
    </row>
    <row r="15" spans="1:28" ht="20.149999999999999" customHeight="1" thickTop="1" x14ac:dyDescent="0.35">
      <c r="A15" s="35"/>
      <c r="B15" s="1324" t="s">
        <v>1058</v>
      </c>
      <c r="C15" s="1325" t="s">
        <v>281</v>
      </c>
      <c r="D15" s="1285" t="s">
        <v>282</v>
      </c>
      <c r="E15" s="148"/>
      <c r="F15" s="1324" t="s">
        <v>855</v>
      </c>
      <c r="G15" s="1325" t="s">
        <v>281</v>
      </c>
      <c r="H15" s="1285" t="s">
        <v>282</v>
      </c>
      <c r="I15" s="37"/>
      <c r="J15" s="35"/>
      <c r="K15" s="34"/>
      <c r="L15" s="35"/>
      <c r="M15" s="37"/>
      <c r="N15" s="37"/>
      <c r="O15" s="37"/>
      <c r="P15" s="37"/>
      <c r="Q15" s="37"/>
      <c r="R15" s="1436"/>
      <c r="S15" s="1437"/>
      <c r="T15" s="1437"/>
      <c r="U15" s="1437"/>
      <c r="V15" s="1437"/>
      <c r="W15" s="1437"/>
      <c r="X15" s="1437"/>
      <c r="Y15" s="1437"/>
      <c r="Z15" s="1437"/>
      <c r="AA15" s="1440"/>
    </row>
    <row r="16" spans="1:28" ht="15" customHeight="1" x14ac:dyDescent="0.35">
      <c r="A16" s="35"/>
      <c r="B16" s="1318" t="s">
        <v>565</v>
      </c>
      <c r="C16" s="1253" t="s">
        <v>291</v>
      </c>
      <c r="D16" s="1355">
        <f>H37</f>
        <v>149948.39781818178</v>
      </c>
      <c r="E16" s="148"/>
      <c r="F16" s="1326" t="s">
        <v>566</v>
      </c>
      <c r="G16" s="223" t="s">
        <v>297</v>
      </c>
      <c r="H16" s="1327">
        <f>K79</f>
        <v>1665.2547898587834</v>
      </c>
      <c r="I16" s="37"/>
      <c r="J16" s="35"/>
      <c r="K16" s="34"/>
      <c r="L16" s="35"/>
      <c r="M16" s="37"/>
      <c r="N16" s="37"/>
      <c r="O16" s="37"/>
      <c r="P16" s="37"/>
      <c r="Q16" s="37"/>
      <c r="R16" s="1436"/>
      <c r="S16" s="1437"/>
      <c r="T16" s="1437"/>
      <c r="U16" s="1437"/>
      <c r="V16" s="1437"/>
      <c r="W16" s="1437"/>
      <c r="X16" s="1437"/>
      <c r="Y16" s="1437"/>
      <c r="Z16" s="1437"/>
      <c r="AA16" s="1440"/>
    </row>
    <row r="17" spans="1:26" ht="15" customHeight="1" x14ac:dyDescent="0.35">
      <c r="A17" s="35"/>
      <c r="B17" s="1318" t="s">
        <v>567</v>
      </c>
      <c r="C17" s="1253" t="s">
        <v>291</v>
      </c>
      <c r="D17" s="1355">
        <f>SUM(P37:P42)</f>
        <v>8451</v>
      </c>
      <c r="E17" s="148"/>
      <c r="F17" s="1326" t="s">
        <v>568</v>
      </c>
      <c r="G17" s="223" t="s">
        <v>190</v>
      </c>
      <c r="H17" s="1329">
        <f>G77</f>
        <v>0.33909533077915693</v>
      </c>
      <c r="I17" s="37"/>
      <c r="J17" s="35"/>
      <c r="K17" s="34"/>
      <c r="L17" s="35"/>
      <c r="M17" s="37"/>
      <c r="N17" s="37"/>
      <c r="O17" s="37"/>
      <c r="P17" s="37"/>
      <c r="Q17" s="37"/>
      <c r="R17" s="1436"/>
      <c r="S17" s="1437"/>
      <c r="T17" s="1437"/>
      <c r="U17" s="1437"/>
      <c r="V17" s="1437"/>
      <c r="W17" s="1437"/>
      <c r="X17" s="1437"/>
      <c r="Y17" s="1437"/>
      <c r="Z17" s="1437"/>
    </row>
    <row r="18" spans="1:26" ht="15" customHeight="1" x14ac:dyDescent="0.35">
      <c r="A18" s="35"/>
      <c r="B18" s="1318" t="s">
        <v>1033</v>
      </c>
      <c r="C18" s="1253" t="s">
        <v>291</v>
      </c>
      <c r="D18" s="1355">
        <f>H38+H39</f>
        <v>125829.94379999999</v>
      </c>
      <c r="E18" s="148"/>
      <c r="F18" s="1299" t="s">
        <v>569</v>
      </c>
      <c r="G18" s="1253" t="s">
        <v>298</v>
      </c>
      <c r="H18" s="1319">
        <f>H24*1000000/D41</f>
        <v>1963.7211468049827</v>
      </c>
      <c r="I18" s="37"/>
      <c r="J18" s="35"/>
      <c r="K18" s="34"/>
      <c r="L18" s="35"/>
      <c r="M18" s="37"/>
      <c r="N18" s="37"/>
      <c r="O18" s="37"/>
      <c r="P18" s="37"/>
      <c r="Q18" s="37"/>
      <c r="R18" s="1436"/>
      <c r="S18" s="1437"/>
      <c r="T18" s="1437"/>
      <c r="U18" s="1437"/>
      <c r="V18" s="1437"/>
      <c r="W18" s="1437"/>
      <c r="X18" s="1437"/>
      <c r="Y18" s="1437"/>
      <c r="Z18" s="1437"/>
    </row>
    <row r="19" spans="1:26" ht="15" customHeight="1" x14ac:dyDescent="0.35">
      <c r="A19" s="35"/>
      <c r="B19" s="1318" t="s">
        <v>570</v>
      </c>
      <c r="C19" s="1253" t="s">
        <v>291</v>
      </c>
      <c r="D19" s="1355">
        <f>H40+H41</f>
        <v>43100.1</v>
      </c>
      <c r="E19" s="148"/>
      <c r="F19" s="1299" t="str">
        <f>J78</f>
        <v>Reinvestimento Total Rota (cada 5 anos)</v>
      </c>
      <c r="G19" s="1252" t="s">
        <v>297</v>
      </c>
      <c r="H19" s="1195">
        <f>K78</f>
        <v>25.282419417511168</v>
      </c>
      <c r="I19" s="37"/>
      <c r="J19" s="35"/>
      <c r="K19" s="34"/>
      <c r="L19" s="35"/>
      <c r="M19" s="37"/>
      <c r="N19" s="37"/>
      <c r="O19" s="37"/>
      <c r="P19" s="37"/>
      <c r="Q19" s="37"/>
      <c r="R19" s="934"/>
      <c r="S19" s="935"/>
      <c r="T19" s="935"/>
      <c r="U19" s="935"/>
      <c r="V19" s="935"/>
      <c r="W19" s="935"/>
      <c r="X19" s="935"/>
      <c r="Y19" s="935"/>
      <c r="Z19" s="1426"/>
    </row>
    <row r="20" spans="1:26" ht="15" customHeight="1" x14ac:dyDescent="0.35">
      <c r="A20" s="37"/>
      <c r="B20" s="1318" t="s">
        <v>571</v>
      </c>
      <c r="C20" s="1253" t="s">
        <v>299</v>
      </c>
      <c r="D20" s="1355">
        <f>H42</f>
        <v>75860.420994274711</v>
      </c>
      <c r="E20" s="148"/>
      <c r="F20" s="1330" t="s">
        <v>572</v>
      </c>
      <c r="G20" s="823" t="s">
        <v>297</v>
      </c>
      <c r="H20" s="1331">
        <f>K76</f>
        <v>51.63498927873367</v>
      </c>
      <c r="I20" s="37"/>
      <c r="J20" s="37"/>
      <c r="K20" s="33"/>
      <c r="L20" s="37"/>
      <c r="M20" s="37"/>
      <c r="N20" s="37"/>
      <c r="O20" s="37"/>
      <c r="P20" s="37"/>
      <c r="Q20" s="37"/>
      <c r="R20" s="934"/>
      <c r="S20" s="935"/>
      <c r="T20" s="935"/>
      <c r="U20" s="935"/>
      <c r="V20" s="935"/>
      <c r="W20" s="935"/>
      <c r="X20" s="935"/>
      <c r="Y20" s="935"/>
      <c r="Z20" s="1426"/>
    </row>
    <row r="21" spans="1:26" ht="15" customHeight="1" thickBot="1" x14ac:dyDescent="0.4">
      <c r="A21" s="37"/>
      <c r="B21" s="1321" t="s">
        <v>573</v>
      </c>
      <c r="C21" s="1302" t="s">
        <v>300</v>
      </c>
      <c r="D21" s="1356">
        <f>H43</f>
        <v>18344908.700235866</v>
      </c>
      <c r="E21" s="148"/>
      <c r="F21" s="1332" t="s">
        <v>574</v>
      </c>
      <c r="G21" s="1333" t="s">
        <v>297</v>
      </c>
      <c r="H21" s="1334">
        <v>0</v>
      </c>
      <c r="I21" s="37"/>
      <c r="J21" s="37"/>
      <c r="K21" s="33"/>
      <c r="L21" s="37"/>
      <c r="M21" s="37"/>
      <c r="N21" s="37"/>
      <c r="O21" s="37"/>
      <c r="P21" s="37"/>
      <c r="Q21" s="37"/>
      <c r="R21" s="934"/>
      <c r="S21" s="935"/>
      <c r="T21" s="935"/>
      <c r="U21" s="935"/>
      <c r="V21" s="935"/>
      <c r="W21" s="935"/>
      <c r="X21" s="935"/>
      <c r="Y21" s="935"/>
      <c r="Z21" s="1426"/>
    </row>
    <row r="22" spans="1:26" ht="5.15" customHeight="1" thickTop="1" thickBot="1" x14ac:dyDescent="0.4">
      <c r="A22" s="37"/>
      <c r="B22" s="145"/>
      <c r="C22" s="259"/>
      <c r="D22" s="259"/>
      <c r="E22" s="191"/>
      <c r="F22" s="191"/>
      <c r="G22" s="191"/>
      <c r="H22" s="191"/>
      <c r="I22" s="37"/>
      <c r="J22" s="37"/>
      <c r="K22" s="33"/>
      <c r="L22" s="37"/>
      <c r="M22" s="37"/>
      <c r="N22" s="37"/>
      <c r="O22" s="37"/>
      <c r="P22" s="37"/>
      <c r="Q22" s="37"/>
      <c r="R22" s="934"/>
      <c r="S22" s="935"/>
      <c r="T22" s="935"/>
      <c r="U22" s="935"/>
      <c r="V22" s="935"/>
      <c r="W22" s="935"/>
      <c r="X22" s="935"/>
      <c r="Y22" s="935"/>
      <c r="Z22" s="1426"/>
    </row>
    <row r="23" spans="1:26" ht="20.149999999999999" customHeight="1" thickTop="1" x14ac:dyDescent="0.35">
      <c r="A23" s="37"/>
      <c r="B23" s="1341" t="s">
        <v>575</v>
      </c>
      <c r="C23" s="1342" t="s">
        <v>281</v>
      </c>
      <c r="D23" s="1343" t="s">
        <v>282</v>
      </c>
      <c r="E23" s="191"/>
      <c r="F23" s="1324" t="s">
        <v>900</v>
      </c>
      <c r="G23" s="1325" t="s">
        <v>281</v>
      </c>
      <c r="H23" s="1285" t="s">
        <v>282</v>
      </c>
      <c r="I23" s="37"/>
      <c r="J23" s="37"/>
      <c r="K23" s="33"/>
      <c r="L23" s="37"/>
      <c r="M23" s="37"/>
      <c r="N23" s="37"/>
      <c r="O23" s="37"/>
      <c r="P23" s="37"/>
      <c r="Q23" s="37"/>
      <c r="R23" s="934"/>
      <c r="S23" s="935"/>
      <c r="T23" s="935"/>
      <c r="U23" s="935"/>
      <c r="V23" s="935"/>
      <c r="W23" s="935"/>
      <c r="X23" s="935"/>
      <c r="Y23" s="935"/>
      <c r="Z23" s="1426"/>
    </row>
    <row r="24" spans="1:26" ht="15" customHeight="1" x14ac:dyDescent="0.35">
      <c r="A24" s="35"/>
      <c r="B24" s="1245" t="s">
        <v>576</v>
      </c>
      <c r="C24" s="264" t="s">
        <v>301</v>
      </c>
      <c r="D24" s="1344" t="s">
        <v>5</v>
      </c>
      <c r="E24" s="191"/>
      <c r="F24" s="1326" t="s">
        <v>979</v>
      </c>
      <c r="G24" s="223" t="s">
        <v>297</v>
      </c>
      <c r="H24" s="1307">
        <f>'C-FCL Real'!F11</f>
        <v>1843.9341568498787</v>
      </c>
      <c r="I24" s="37"/>
      <c r="J24" s="35"/>
      <c r="K24" s="34"/>
      <c r="L24" s="35"/>
      <c r="M24" s="37"/>
      <c r="N24" s="37"/>
      <c r="O24" s="37"/>
      <c r="P24" s="37"/>
      <c r="Q24" s="37"/>
      <c r="R24" s="934"/>
      <c r="S24" s="935"/>
      <c r="T24" s="935"/>
      <c r="U24" s="935"/>
      <c r="V24" s="935"/>
      <c r="W24" s="935"/>
      <c r="X24" s="935"/>
      <c r="Y24" s="935"/>
      <c r="Z24" s="1426"/>
    </row>
    <row r="25" spans="1:26" ht="15" customHeight="1" x14ac:dyDescent="0.35">
      <c r="A25" s="37"/>
      <c r="B25" s="1245" t="s">
        <v>577</v>
      </c>
      <c r="C25" s="264" t="s">
        <v>301</v>
      </c>
      <c r="D25" s="1344" t="s">
        <v>5</v>
      </c>
      <c r="E25" s="191"/>
      <c r="F25" s="1299" t="s">
        <v>763</v>
      </c>
      <c r="G25" s="1252" t="s">
        <v>190</v>
      </c>
      <c r="H25" s="1335">
        <f>'C-FCL Real'!C28</f>
        <v>0.10602</v>
      </c>
      <c r="I25" s="37"/>
      <c r="J25" s="37"/>
      <c r="K25" s="33"/>
      <c r="L25" s="37"/>
      <c r="M25" s="37"/>
      <c r="N25" s="37"/>
      <c r="O25" s="37"/>
      <c r="P25" s="37"/>
      <c r="Q25" s="37"/>
      <c r="R25" s="934"/>
      <c r="S25" s="935"/>
      <c r="T25" s="935"/>
      <c r="U25" s="935"/>
      <c r="V25" s="935"/>
      <c r="W25" s="935"/>
      <c r="X25" s="935"/>
      <c r="Y25" s="935"/>
      <c r="Z25" s="1426"/>
    </row>
    <row r="26" spans="1:26" ht="15" customHeight="1" x14ac:dyDescent="0.35">
      <c r="A26" s="37"/>
      <c r="B26" s="1318" t="s">
        <v>977</v>
      </c>
      <c r="C26" s="1252" t="s">
        <v>190</v>
      </c>
      <c r="D26" s="1345">
        <v>0</v>
      </c>
      <c r="E26" s="191"/>
      <c r="F26" s="1318" t="str">
        <f>'C-FCL Real'!J28</f>
        <v>Índice de Retorno do Inv.: Pay Back</v>
      </c>
      <c r="G26" s="1252" t="s">
        <v>302</v>
      </c>
      <c r="H26" s="1336">
        <f>'C-FCL Real'!L28</f>
        <v>25.999999999999972</v>
      </c>
      <c r="I26" s="37"/>
      <c r="J26" s="37"/>
      <c r="K26" s="33"/>
      <c r="L26" s="37"/>
      <c r="M26" s="37"/>
      <c r="N26" s="37"/>
      <c r="O26" s="37"/>
      <c r="P26" s="37"/>
      <c r="Q26" s="37"/>
      <c r="R26" s="934"/>
      <c r="S26" s="935"/>
      <c r="T26" s="935"/>
      <c r="U26" s="935"/>
      <c r="V26" s="935"/>
      <c r="W26" s="935"/>
      <c r="X26" s="935"/>
      <c r="Y26" s="935"/>
      <c r="Z26" s="1426"/>
    </row>
    <row r="27" spans="1:26" ht="15" customHeight="1" x14ac:dyDescent="0.35">
      <c r="A27" s="37"/>
      <c r="B27" s="1346" t="s">
        <v>578</v>
      </c>
      <c r="C27" s="1252" t="s">
        <v>190</v>
      </c>
      <c r="D27" s="1347">
        <v>0</v>
      </c>
      <c r="E27" s="191"/>
      <c r="F27" s="1245" t="str">
        <f>'C-FCL Real'!J26</f>
        <v>Índice de Retorno do Inv.: VPL</v>
      </c>
      <c r="G27" s="223" t="s">
        <v>297</v>
      </c>
      <c r="H27" s="1307">
        <f>'C-FCL Real'!L26</f>
        <v>8.3844042819691822E-13</v>
      </c>
      <c r="I27" s="37"/>
      <c r="J27" s="37"/>
      <c r="K27" s="33"/>
      <c r="L27" s="37"/>
      <c r="M27" s="37"/>
      <c r="N27" s="37"/>
      <c r="O27" s="37"/>
      <c r="P27" s="37"/>
      <c r="Q27" s="37"/>
      <c r="R27" s="934"/>
      <c r="S27" s="935"/>
      <c r="T27" s="935"/>
      <c r="U27" s="935"/>
      <c r="V27" s="935"/>
      <c r="W27" s="935"/>
      <c r="X27" s="935"/>
      <c r="Y27" s="935"/>
      <c r="Z27" s="1426"/>
    </row>
    <row r="28" spans="1:26" ht="15" customHeight="1" x14ac:dyDescent="0.35">
      <c r="A28" s="37"/>
      <c r="B28" s="1326" t="s">
        <v>579</v>
      </c>
      <c r="C28" s="223" t="s">
        <v>303</v>
      </c>
      <c r="D28" s="1306" t="s">
        <v>304</v>
      </c>
      <c r="E28" s="191"/>
      <c r="F28" s="1318" t="str">
        <f>'C-FCL Real'!J27</f>
        <v>Índice de Retorno do Inv.: TIR</v>
      </c>
      <c r="G28" s="1252" t="s">
        <v>190</v>
      </c>
      <c r="H28" s="1337">
        <f>'C-FCL Real'!L27</f>
        <v>4.0634162701280729E-14</v>
      </c>
      <c r="I28" s="37"/>
      <c r="J28" s="37"/>
      <c r="K28" s="33"/>
      <c r="L28" s="37"/>
      <c r="M28" s="37"/>
      <c r="N28" s="37"/>
      <c r="O28" s="37"/>
      <c r="P28" s="37"/>
      <c r="Q28" s="37"/>
      <c r="R28" s="934"/>
      <c r="S28" s="935"/>
      <c r="T28" s="935"/>
      <c r="U28" s="935"/>
      <c r="V28" s="935"/>
      <c r="W28" s="935"/>
      <c r="X28" s="935"/>
      <c r="Y28" s="935"/>
      <c r="Z28" s="1426"/>
    </row>
    <row r="29" spans="1:26" ht="15" customHeight="1" thickBot="1" x14ac:dyDescent="0.4">
      <c r="A29" s="37"/>
      <c r="B29" s="1299" t="s">
        <v>978</v>
      </c>
      <c r="C29" s="1252" t="s">
        <v>285</v>
      </c>
      <c r="D29" s="1348">
        <v>1.5</v>
      </c>
      <c r="E29" s="191"/>
      <c r="F29" s="1338" t="str">
        <f>'C-FCL Real'!N26</f>
        <v>Taxa de Lucratividade do Investimento</v>
      </c>
      <c r="G29" s="1339" t="s">
        <v>190</v>
      </c>
      <c r="H29" s="1340">
        <f>'C-FCL Real'!Q26</f>
        <v>1.0000000000000004</v>
      </c>
      <c r="I29" s="37"/>
      <c r="J29" s="37"/>
      <c r="K29" s="33"/>
      <c r="L29" s="37"/>
      <c r="M29" s="37"/>
      <c r="N29" s="37"/>
      <c r="O29" s="37"/>
      <c r="P29" s="37"/>
      <c r="Q29" s="37"/>
      <c r="R29" s="934"/>
      <c r="S29" s="935"/>
      <c r="T29" s="935"/>
      <c r="U29" s="935"/>
      <c r="V29" s="935"/>
      <c r="W29" s="935"/>
      <c r="X29" s="935"/>
      <c r="Y29" s="935"/>
      <c r="Z29" s="1426"/>
    </row>
    <row r="30" spans="1:26" ht="15" customHeight="1" thickTop="1" x14ac:dyDescent="0.35">
      <c r="A30" s="37"/>
      <c r="B30" s="1299" t="s">
        <v>764</v>
      </c>
      <c r="C30" s="1252" t="s">
        <v>297</v>
      </c>
      <c r="D30" s="1348">
        <v>1.5</v>
      </c>
      <c r="E30" s="191"/>
      <c r="F30" s="191"/>
      <c r="G30" s="191"/>
      <c r="H30" s="191"/>
      <c r="I30" s="37"/>
      <c r="J30" s="37"/>
      <c r="K30" s="33"/>
      <c r="L30" s="37"/>
      <c r="M30" s="37"/>
      <c r="N30" s="37"/>
      <c r="O30" s="37"/>
      <c r="P30" s="37"/>
      <c r="Q30" s="37"/>
      <c r="R30" s="934"/>
      <c r="S30" s="935"/>
      <c r="T30" s="935"/>
      <c r="U30" s="935"/>
      <c r="V30" s="935"/>
      <c r="W30" s="935"/>
      <c r="X30" s="935"/>
      <c r="Y30" s="935"/>
      <c r="Z30" s="1426"/>
    </row>
    <row r="31" spans="1:26" ht="15" customHeight="1" thickBot="1" x14ac:dyDescent="0.4">
      <c r="A31" s="37"/>
      <c r="B31" s="1330" t="s">
        <v>765</v>
      </c>
      <c r="C31" s="823" t="s">
        <v>297</v>
      </c>
      <c r="D31" s="1357">
        <v>1.5</v>
      </c>
      <c r="E31" s="191"/>
      <c r="F31" s="191"/>
      <c r="G31" s="191"/>
      <c r="H31" s="191"/>
      <c r="I31" s="37"/>
      <c r="J31" s="37"/>
      <c r="K31" s="33"/>
      <c r="L31" s="37"/>
      <c r="M31" s="37"/>
      <c r="N31" s="37"/>
      <c r="O31" s="37"/>
      <c r="P31" s="37"/>
      <c r="Q31" s="37"/>
      <c r="R31" s="934"/>
      <c r="S31" s="935"/>
      <c r="T31" s="935"/>
      <c r="U31" s="935"/>
      <c r="V31" s="935"/>
      <c r="W31" s="935"/>
      <c r="X31" s="935"/>
      <c r="Y31" s="935"/>
      <c r="Z31" s="1426"/>
    </row>
    <row r="32" spans="1:26" ht="10.4" customHeight="1" thickTop="1" thickBot="1" x14ac:dyDescent="0.4">
      <c r="A32" s="35"/>
      <c r="B32" s="1361"/>
      <c r="C32" s="1362"/>
      <c r="D32" s="1363"/>
      <c r="E32" s="37"/>
      <c r="I32" s="37"/>
      <c r="J32" s="35"/>
      <c r="K32" s="34"/>
      <c r="L32" s="35"/>
      <c r="M32" s="37"/>
      <c r="N32" s="37"/>
      <c r="O32" s="37"/>
      <c r="P32" s="37"/>
      <c r="Q32" s="37"/>
      <c r="R32" s="934"/>
      <c r="S32" s="935"/>
      <c r="T32" s="935"/>
      <c r="U32" s="935"/>
      <c r="V32" s="935"/>
      <c r="W32" s="935"/>
      <c r="X32" s="935"/>
      <c r="Y32" s="935"/>
      <c r="Z32" s="1426"/>
    </row>
    <row r="33" spans="1:26" ht="18" customHeight="1" thickTop="1" x14ac:dyDescent="0.35">
      <c r="A33" s="37"/>
      <c r="B33" s="1358" t="s">
        <v>659</v>
      </c>
      <c r="C33" s="1359" t="s">
        <v>302</v>
      </c>
      <c r="D33" s="1360">
        <v>25</v>
      </c>
      <c r="E33" s="44"/>
      <c r="F33" s="1351" t="s">
        <v>980</v>
      </c>
      <c r="G33" s="1352" t="s">
        <v>305</v>
      </c>
      <c r="H33" s="1353">
        <f>D8*D33*D34/1000000000</f>
        <v>7.8620310800786051</v>
      </c>
      <c r="I33" s="37"/>
      <c r="J33" s="37"/>
      <c r="K33" s="33"/>
      <c r="L33" s="37"/>
      <c r="M33" s="37"/>
      <c r="N33" s="37"/>
      <c r="O33" s="37"/>
      <c r="P33" s="37"/>
      <c r="Q33" s="37"/>
      <c r="R33" s="934"/>
      <c r="S33" s="935"/>
      <c r="T33" s="935"/>
      <c r="U33" s="935"/>
      <c r="V33" s="935"/>
      <c r="W33" s="935"/>
      <c r="X33" s="935"/>
      <c r="Y33" s="935"/>
      <c r="Z33" s="1426"/>
    </row>
    <row r="34" spans="1:26" ht="18" customHeight="1" thickBot="1" x14ac:dyDescent="0.4">
      <c r="A34" s="37"/>
      <c r="B34" s="1349" t="s">
        <v>580</v>
      </c>
      <c r="C34" s="1350" t="s">
        <v>288</v>
      </c>
      <c r="D34" s="1409">
        <v>334.91080213327388</v>
      </c>
      <c r="E34" s="44"/>
      <c r="F34" s="1354" t="s">
        <v>960</v>
      </c>
      <c r="G34" s="1350" t="s">
        <v>581</v>
      </c>
      <c r="H34" s="1410">
        <f>'C-Calc Tarifa'!H25</f>
        <v>28.486232277811467</v>
      </c>
      <c r="I34" s="37"/>
      <c r="J34" s="37"/>
      <c r="K34" s="33"/>
      <c r="L34" s="37"/>
      <c r="M34" s="37"/>
      <c r="N34" s="37"/>
      <c r="O34" s="37"/>
      <c r="P34" s="37"/>
      <c r="Q34" s="37"/>
      <c r="R34" s="934"/>
      <c r="S34" s="935"/>
      <c r="T34" s="935"/>
      <c r="U34" s="935"/>
      <c r="V34" s="935"/>
      <c r="W34" s="935"/>
      <c r="X34" s="935"/>
      <c r="Y34" s="935"/>
      <c r="Z34" s="1426"/>
    </row>
    <row r="35" spans="1:26" ht="10.4" customHeight="1" thickTop="1" thickBot="1" x14ac:dyDescent="0.4">
      <c r="A35" s="35"/>
      <c r="B35" s="26"/>
      <c r="C35" s="39"/>
      <c r="D35" s="39"/>
      <c r="E35" s="37"/>
      <c r="F35" s="26"/>
      <c r="G35" s="35"/>
      <c r="H35" s="35"/>
      <c r="I35" s="37"/>
      <c r="J35" s="35"/>
      <c r="K35" s="34"/>
      <c r="L35" s="35"/>
      <c r="M35" s="37"/>
      <c r="N35" s="37"/>
      <c r="O35" s="37"/>
      <c r="P35" s="37"/>
      <c r="Q35" s="37"/>
      <c r="R35" s="934"/>
      <c r="S35" s="935"/>
      <c r="T35" s="935"/>
      <c r="U35" s="935"/>
      <c r="V35" s="935"/>
      <c r="W35" s="935"/>
      <c r="X35" s="935"/>
      <c r="Y35" s="935"/>
      <c r="Z35" s="1426"/>
    </row>
    <row r="36" spans="1:26" s="68" customFormat="1" ht="20.149999999999999" customHeight="1" collapsed="1" thickTop="1" x14ac:dyDescent="0.35">
      <c r="A36" s="50"/>
      <c r="B36" s="1324" t="s">
        <v>645</v>
      </c>
      <c r="C36" s="1325" t="s">
        <v>281</v>
      </c>
      <c r="D36" s="1285" t="s">
        <v>282</v>
      </c>
      <c r="E36" s="812"/>
      <c r="F36" s="1324" t="s">
        <v>1059</v>
      </c>
      <c r="G36" s="1325" t="s">
        <v>281</v>
      </c>
      <c r="H36" s="1285" t="s">
        <v>282</v>
      </c>
      <c r="I36" s="813"/>
      <c r="J36" s="1324" t="s">
        <v>1060</v>
      </c>
      <c r="K36" s="1325" t="s">
        <v>281</v>
      </c>
      <c r="L36" s="1285" t="s">
        <v>282</v>
      </c>
      <c r="M36" s="812"/>
      <c r="N36" s="1324" t="s">
        <v>1060</v>
      </c>
      <c r="O36" s="1325" t="s">
        <v>281</v>
      </c>
      <c r="P36" s="1285" t="s">
        <v>282</v>
      </c>
      <c r="Q36" s="266"/>
      <c r="R36" s="942"/>
      <c r="S36" s="943"/>
      <c r="T36" s="943"/>
      <c r="U36" s="943"/>
      <c r="V36" s="943"/>
      <c r="W36" s="943"/>
      <c r="X36" s="943"/>
      <c r="Y36" s="943"/>
      <c r="Z36" s="1427"/>
    </row>
    <row r="37" spans="1:26" ht="17.899999999999999" hidden="1" customHeight="1" outlineLevel="1" x14ac:dyDescent="0.35">
      <c r="A37" s="45"/>
      <c r="B37" s="1318" t="s">
        <v>283</v>
      </c>
      <c r="C37" s="270" t="s">
        <v>284</v>
      </c>
      <c r="D37" s="1364">
        <f>'R-Entrada'!E8</f>
        <v>2500000</v>
      </c>
      <c r="E37" s="148"/>
      <c r="F37" s="1318" t="s">
        <v>905</v>
      </c>
      <c r="G37" s="270" t="s">
        <v>291</v>
      </c>
      <c r="H37" s="1355">
        <f>SUM(L37:L44)+SUM(P37:P42)</f>
        <v>149948.39781818178</v>
      </c>
      <c r="I37" s="148"/>
      <c r="J37" s="1318" t="s">
        <v>910</v>
      </c>
      <c r="K37" s="270" t="s">
        <v>291</v>
      </c>
      <c r="L37" s="1355">
        <f>('R-Resumo Bal. Massa'!F58+'R-Resumo Bal. Massa'!G58)*313</f>
        <v>54694.660062695919</v>
      </c>
      <c r="M37" s="148"/>
      <c r="N37" s="1318" t="s">
        <v>922</v>
      </c>
      <c r="O37" s="270" t="s">
        <v>291</v>
      </c>
      <c r="P37" s="1355">
        <f>'R-Resumo Bal. Massa'!E58*313</f>
        <v>3470.4733542319741</v>
      </c>
      <c r="Q37" s="191"/>
      <c r="R37" s="934"/>
      <c r="S37" s="935"/>
      <c r="T37" s="935"/>
      <c r="U37" s="935"/>
      <c r="V37" s="935"/>
      <c r="W37" s="935"/>
      <c r="X37" s="935"/>
      <c r="Y37" s="935"/>
      <c r="Z37" s="1426"/>
    </row>
    <row r="38" spans="1:26" ht="17.899999999999999" hidden="1" customHeight="1" outlineLevel="1" x14ac:dyDescent="0.35">
      <c r="A38" s="45"/>
      <c r="B38" s="1318" t="s">
        <v>766</v>
      </c>
      <c r="C38" s="1253" t="s">
        <v>767</v>
      </c>
      <c r="D38" s="1365">
        <f>D39*1000*313/D37/365</f>
        <v>1.029041095890411</v>
      </c>
      <c r="E38" s="148"/>
      <c r="F38" s="1318" t="s">
        <v>1034</v>
      </c>
      <c r="G38" s="1253" t="s">
        <v>291</v>
      </c>
      <c r="H38" s="1355">
        <f t="shared" ref="H38:H39" si="1">L49</f>
        <v>0</v>
      </c>
      <c r="I38" s="148"/>
      <c r="J38" s="1318" t="s">
        <v>911</v>
      </c>
      <c r="K38" s="1253" t="s">
        <v>291</v>
      </c>
      <c r="L38" s="1355">
        <f>('R-Resumo Bal. Massa'!F59+'R-Resumo Bal. Massa'!G59)*313</f>
        <v>37158.967523510968</v>
      </c>
      <c r="M38" s="148"/>
      <c r="N38" s="1318" t="s">
        <v>923</v>
      </c>
      <c r="O38" s="1253" t="s">
        <v>291</v>
      </c>
      <c r="P38" s="1355">
        <f>'R-Resumo Bal. Massa'!E59*313</f>
        <v>2357.8025078369906</v>
      </c>
      <c r="Q38" s="191"/>
      <c r="R38" s="934"/>
      <c r="S38" s="935"/>
      <c r="T38" s="935"/>
      <c r="U38" s="935"/>
      <c r="V38" s="935"/>
      <c r="W38" s="935"/>
      <c r="X38" s="935"/>
      <c r="Y38" s="935"/>
      <c r="Z38" s="1426"/>
    </row>
    <row r="39" spans="1:26" ht="17.899999999999999" hidden="1" customHeight="1" outlineLevel="1" x14ac:dyDescent="0.35">
      <c r="A39" s="45"/>
      <c r="B39" s="1318" t="s">
        <v>287</v>
      </c>
      <c r="C39" s="1253" t="s">
        <v>19</v>
      </c>
      <c r="D39" s="1355">
        <f>'R-Entrada'!E14</f>
        <v>3000</v>
      </c>
      <c r="E39" s="148"/>
      <c r="F39" s="1318" t="s">
        <v>1035</v>
      </c>
      <c r="G39" s="1253" t="s">
        <v>291</v>
      </c>
      <c r="H39" s="1355">
        <f t="shared" si="1"/>
        <v>125829.94379999999</v>
      </c>
      <c r="I39" s="148"/>
      <c r="J39" s="1318" t="s">
        <v>912</v>
      </c>
      <c r="K39" s="1253" t="s">
        <v>291</v>
      </c>
      <c r="L39" s="1355">
        <f>('R-Resumo Bal. Massa'!F60+'R-Resumo Bal. Massa'!G60)*313</f>
        <v>19205.7584952978</v>
      </c>
      <c r="M39" s="148"/>
      <c r="N39" s="1318" t="s">
        <v>924</v>
      </c>
      <c r="O39" s="1253" t="s">
        <v>291</v>
      </c>
      <c r="P39" s="1355">
        <f>'R-Resumo Bal. Massa'!E60*313</f>
        <v>1218.6394984326018</v>
      </c>
      <c r="Q39" s="191"/>
      <c r="R39" s="934"/>
      <c r="S39" s="935"/>
      <c r="T39" s="935"/>
      <c r="U39" s="935"/>
      <c r="V39" s="935"/>
      <c r="W39" s="935"/>
      <c r="X39" s="935"/>
      <c r="Y39" s="935"/>
      <c r="Z39" s="1426"/>
    </row>
    <row r="40" spans="1:26" ht="17.899999999999999" hidden="1" customHeight="1" outlineLevel="1" x14ac:dyDescent="0.35">
      <c r="A40" s="45"/>
      <c r="B40" s="1318" t="s">
        <v>306</v>
      </c>
      <c r="C40" s="1253" t="s">
        <v>307</v>
      </c>
      <c r="D40" s="1355">
        <f>D41/12</f>
        <v>78250</v>
      </c>
      <c r="E40" s="148"/>
      <c r="F40" s="1318" t="s">
        <v>906</v>
      </c>
      <c r="G40" s="1253" t="s">
        <v>291</v>
      </c>
      <c r="H40" s="1355">
        <f>L45+L46</f>
        <v>43100.1</v>
      </c>
      <c r="I40" s="148"/>
      <c r="J40" s="1318" t="s">
        <v>913</v>
      </c>
      <c r="K40" s="1253" t="s">
        <v>291</v>
      </c>
      <c r="L40" s="1355">
        <f>('R-Resumo Bal. Massa'!F61+'R-Resumo Bal. Massa'!G61)*313</f>
        <v>10020.395736677117</v>
      </c>
      <c r="M40" s="148"/>
      <c r="N40" s="1318" t="s">
        <v>925</v>
      </c>
      <c r="O40" s="1253" t="s">
        <v>291</v>
      </c>
      <c r="P40" s="1355">
        <f>'R-Resumo Bal. Massa'!E61*313</f>
        <v>635.81191222570533</v>
      </c>
      <c r="Q40" s="191"/>
      <c r="R40" s="934"/>
      <c r="S40" s="935"/>
      <c r="T40" s="935"/>
      <c r="U40" s="935"/>
      <c r="V40" s="935"/>
      <c r="W40" s="935"/>
      <c r="X40" s="935"/>
      <c r="Y40" s="935"/>
      <c r="Z40" s="1426"/>
    </row>
    <row r="41" spans="1:26" ht="17.899999999999999" hidden="1" customHeight="1" outlineLevel="1" x14ac:dyDescent="0.35">
      <c r="A41" s="45"/>
      <c r="B41" s="1318" t="s">
        <v>290</v>
      </c>
      <c r="C41" s="1253" t="s">
        <v>291</v>
      </c>
      <c r="D41" s="1355">
        <f>D39*313</f>
        <v>939000</v>
      </c>
      <c r="E41" s="148"/>
      <c r="F41" s="1318" t="s">
        <v>907</v>
      </c>
      <c r="G41" s="1253" t="s">
        <v>291</v>
      </c>
      <c r="H41" s="1355">
        <f>L47+L48</f>
        <v>0</v>
      </c>
      <c r="I41" s="148"/>
      <c r="J41" s="1318" t="s">
        <v>914</v>
      </c>
      <c r="K41" s="1253" t="s">
        <v>291</v>
      </c>
      <c r="L41" s="1355">
        <f>('R-Resumo Bal. Massa'!F63+'R-Resumo Bal. Massa'!G63)*313</f>
        <v>2505.0989341692793</v>
      </c>
      <c r="M41" s="148"/>
      <c r="N41" s="1318" t="s">
        <v>926</v>
      </c>
      <c r="O41" s="1253" t="s">
        <v>291</v>
      </c>
      <c r="P41" s="1355">
        <f>'R-Resumo Bal. Massa'!E63*313</f>
        <v>158.95297805642633</v>
      </c>
      <c r="Q41" s="191"/>
      <c r="R41" s="934"/>
      <c r="S41" s="935"/>
      <c r="T41" s="935"/>
      <c r="U41" s="935"/>
      <c r="V41" s="935"/>
      <c r="W41" s="935"/>
      <c r="X41" s="935"/>
      <c r="Y41" s="935"/>
      <c r="Z41" s="1426"/>
    </row>
    <row r="42" spans="1:26" ht="17.899999999999999" hidden="1" customHeight="1" outlineLevel="1" x14ac:dyDescent="0.35">
      <c r="A42" s="45"/>
      <c r="B42" s="1318" t="s">
        <v>582</v>
      </c>
      <c r="C42" s="1253" t="s">
        <v>291</v>
      </c>
      <c r="D42" s="1364">
        <f>IF('R-Resumo Bal. Massa'!D13&gt;0,'R-Resumo Bal. Massa'!D13*313,"0")</f>
        <v>140849.99999999997</v>
      </c>
      <c r="E42" s="148"/>
      <c r="F42" s="1318" t="s">
        <v>908</v>
      </c>
      <c r="G42" s="1253" t="s">
        <v>299</v>
      </c>
      <c r="H42" s="1355">
        <f>P43+P44+P45</f>
        <v>75860.420994274711</v>
      </c>
      <c r="I42" s="148"/>
      <c r="J42" s="1318" t="s">
        <v>915</v>
      </c>
      <c r="K42" s="1253" t="s">
        <v>291</v>
      </c>
      <c r="L42" s="1355">
        <f>('R-Resumo Bal. Massa'!F62+'R-Resumo Bal. Massa'!G62)*313</f>
        <v>9602.8792476488998</v>
      </c>
      <c r="M42" s="148"/>
      <c r="N42" s="1318" t="s">
        <v>927</v>
      </c>
      <c r="O42" s="1253" t="s">
        <v>291</v>
      </c>
      <c r="P42" s="1355">
        <f>'R-Resumo Bal. Massa'!E62*313</f>
        <v>609.31974921630092</v>
      </c>
      <c r="Q42" s="191"/>
      <c r="R42" s="934"/>
      <c r="S42" s="935"/>
      <c r="T42" s="935"/>
      <c r="U42" s="935"/>
      <c r="V42" s="935"/>
      <c r="W42" s="935"/>
      <c r="X42" s="935"/>
      <c r="Y42" s="935"/>
      <c r="Z42" s="1426"/>
    </row>
    <row r="43" spans="1:26" ht="17.899999999999999" hidden="1" customHeight="1" outlineLevel="1" x14ac:dyDescent="0.35">
      <c r="A43" s="45"/>
      <c r="B43" s="1318" t="s">
        <v>583</v>
      </c>
      <c r="C43" s="1253" t="s">
        <v>291</v>
      </c>
      <c r="D43" s="1355">
        <f>IF('R-Resumo Bal. Massa'!D14&gt;0,'R-Resumo Bal. Massa'!D14*313,"0")</f>
        <v>46950</v>
      </c>
      <c r="E43" s="148"/>
      <c r="F43" s="1318" t="s">
        <v>909</v>
      </c>
      <c r="G43" s="1252" t="s">
        <v>300</v>
      </c>
      <c r="H43" s="1355">
        <f>P46+P47</f>
        <v>18344908.700235866</v>
      </c>
      <c r="I43" s="148"/>
      <c r="J43" s="1318" t="s">
        <v>916</v>
      </c>
      <c r="K43" s="1253" t="s">
        <v>291</v>
      </c>
      <c r="L43" s="1355">
        <f>('R-Resumo Bal. Massa'!J63)*313</f>
        <v>1719.2354106583077</v>
      </c>
      <c r="M43" s="148"/>
      <c r="N43" s="1318" t="s">
        <v>932</v>
      </c>
      <c r="O43" s="1253" t="s">
        <v>299</v>
      </c>
      <c r="P43" s="1355">
        <f>'R-Resumo Bal. Massa'!I74*313*0.9/1000</f>
        <v>0</v>
      </c>
      <c r="Q43" s="191"/>
      <c r="R43" s="934"/>
      <c r="S43" s="935"/>
      <c r="T43" s="935"/>
      <c r="U43" s="935"/>
      <c r="V43" s="935"/>
      <c r="W43" s="935"/>
      <c r="X43" s="935"/>
      <c r="Y43" s="935"/>
      <c r="Z43" s="1426"/>
    </row>
    <row r="44" spans="1:26" ht="17.899999999999999" hidden="1" customHeight="1" outlineLevel="1" x14ac:dyDescent="0.35">
      <c r="A44" s="45"/>
      <c r="B44" s="1318" t="s">
        <v>584</v>
      </c>
      <c r="C44" s="1253" t="s">
        <v>291</v>
      </c>
      <c r="D44" s="1355">
        <f>IF('R-Resumo Bal. Massa'!D15&gt;0,'R-Resumo Bal. Massa'!D15*313,"0")</f>
        <v>751200</v>
      </c>
      <c r="E44" s="148"/>
      <c r="F44" s="1318"/>
      <c r="G44" s="270"/>
      <c r="H44" s="1355"/>
      <c r="I44" s="148"/>
      <c r="J44" s="1318" t="s">
        <v>917</v>
      </c>
      <c r="K44" s="1253" t="s">
        <v>291</v>
      </c>
      <c r="L44" s="1355">
        <f>('R-Resumo Bal. Massa'!J62)*313</f>
        <v>6590.4024075235084</v>
      </c>
      <c r="M44" s="148"/>
      <c r="N44" s="1318" t="s">
        <v>931</v>
      </c>
      <c r="O44" s="1253" t="s">
        <v>299</v>
      </c>
      <c r="P44" s="1355">
        <f>'R-Resumo Bal. Massa'!J74*313*0.9/1000</f>
        <v>75860.420994274711</v>
      </c>
      <c r="Q44" s="191"/>
      <c r="R44" s="934"/>
      <c r="S44" s="935"/>
      <c r="T44" s="935"/>
      <c r="U44" s="935"/>
      <c r="V44" s="935"/>
      <c r="W44" s="935"/>
      <c r="X44" s="935"/>
      <c r="Y44" s="935"/>
      <c r="Z44" s="1426"/>
    </row>
    <row r="45" spans="1:26" ht="17.899999999999999" hidden="1" customHeight="1" outlineLevel="1" x14ac:dyDescent="0.35">
      <c r="A45" s="45"/>
      <c r="B45" s="1318" t="s">
        <v>559</v>
      </c>
      <c r="C45" s="1253" t="s">
        <v>291</v>
      </c>
      <c r="D45" s="1355">
        <f>'R-Resumo Bal. Massa'!D52*313</f>
        <v>358168.59179999994</v>
      </c>
      <c r="E45" s="148"/>
      <c r="F45" s="1318"/>
      <c r="G45" s="1253"/>
      <c r="H45" s="1355"/>
      <c r="I45" s="148"/>
      <c r="J45" s="1318" t="s">
        <v>918</v>
      </c>
      <c r="K45" s="270" t="s">
        <v>291</v>
      </c>
      <c r="L45" s="1355">
        <f>IF('R-Definição'!I51&gt;0,('R-Definição'!I49-'R-Definição'!O53-'R-Definição'!O55)*'R-Definição'!L50/100*313,0)</f>
        <v>43100.1</v>
      </c>
      <c r="M45" s="148"/>
      <c r="N45" s="1318" t="s">
        <v>930</v>
      </c>
      <c r="O45" s="1253" t="s">
        <v>299</v>
      </c>
      <c r="P45" s="1355">
        <f>'R-Resumo Bal. Massa'!K74*313*0.95/1000</f>
        <v>0</v>
      </c>
      <c r="Q45" s="191"/>
      <c r="R45" s="934"/>
      <c r="S45" s="935"/>
      <c r="T45" s="935"/>
      <c r="U45" s="935"/>
      <c r="V45" s="935"/>
      <c r="W45" s="935"/>
      <c r="X45" s="935"/>
      <c r="Y45" s="935"/>
      <c r="Z45" s="1426"/>
    </row>
    <row r="46" spans="1:26" ht="17.899999999999999" hidden="1" customHeight="1" outlineLevel="1" x14ac:dyDescent="0.35">
      <c r="A46" s="45"/>
      <c r="B46" s="1318" t="s">
        <v>721</v>
      </c>
      <c r="C46" s="1253" t="s">
        <v>190</v>
      </c>
      <c r="D46" s="1366">
        <f>('R-Resumo Bal. Massa'!H50+'R-Resumo Bal. Massa'!H51)/100</f>
        <v>0.61856380000000011</v>
      </c>
      <c r="E46" s="267"/>
      <c r="F46" s="1318"/>
      <c r="G46" s="1253"/>
      <c r="H46" s="1355"/>
      <c r="I46" s="267"/>
      <c r="J46" s="1318" t="s">
        <v>919</v>
      </c>
      <c r="K46" s="1253" t="s">
        <v>291</v>
      </c>
      <c r="L46" s="1355">
        <f>IF('R-Definição'!I52&gt;0,('R-Definição'!I49-'R-Definição'!O53-'R-Definição'!O55)*'R-Definição'!L50/100*313,0)</f>
        <v>0</v>
      </c>
      <c r="M46" s="267"/>
      <c r="N46" s="1318" t="s">
        <v>929</v>
      </c>
      <c r="O46" s="1252" t="s">
        <v>300</v>
      </c>
      <c r="P46" s="1355">
        <f>'R-Resumo Bal. Massa'!I75*313</f>
        <v>15745565.16</v>
      </c>
      <c r="Q46" s="191"/>
      <c r="R46" s="934"/>
      <c r="S46" s="935"/>
      <c r="T46" s="935"/>
      <c r="U46" s="935"/>
      <c r="V46" s="935"/>
      <c r="W46" s="935"/>
      <c r="X46" s="935"/>
      <c r="Y46" s="935"/>
      <c r="Z46" s="1426"/>
    </row>
    <row r="47" spans="1:26" ht="17.899999999999999" hidden="1" customHeight="1" outlineLevel="1" x14ac:dyDescent="0.35">
      <c r="A47" s="45"/>
      <c r="B47" s="1318" t="s">
        <v>560</v>
      </c>
      <c r="C47" s="263" t="s">
        <v>291</v>
      </c>
      <c r="D47" s="1319">
        <f>'R-Fluxo Massa'!AS49*313</f>
        <v>300480</v>
      </c>
      <c r="E47" s="148"/>
      <c r="F47" s="1318"/>
      <c r="G47" s="1253"/>
      <c r="H47" s="1355"/>
      <c r="I47" s="267"/>
      <c r="J47" s="1318" t="s">
        <v>920</v>
      </c>
      <c r="K47" s="1253" t="s">
        <v>291</v>
      </c>
      <c r="L47" s="1355">
        <f>IF('R-Definição'!I51&gt;0,('R-Definição'!I49-'R-Definição'!O53-'R-Definição'!O55)*'R-Definição'!L49/100*313,0)</f>
        <v>0</v>
      </c>
      <c r="M47" s="267"/>
      <c r="N47" s="1318" t="s">
        <v>928</v>
      </c>
      <c r="O47" s="1252" t="s">
        <v>300</v>
      </c>
      <c r="P47" s="1355">
        <f>'R-Resumo Bal. Massa'!K75*313</f>
        <v>2599343.5402358677</v>
      </c>
      <c r="Q47" s="191"/>
      <c r="R47" s="934"/>
      <c r="S47" s="935"/>
      <c r="T47" s="935"/>
      <c r="U47" s="935"/>
      <c r="V47" s="935"/>
      <c r="W47" s="935"/>
      <c r="X47" s="935"/>
      <c r="Y47" s="935"/>
      <c r="Z47" s="1426"/>
    </row>
    <row r="48" spans="1:26" ht="17.899999999999999" hidden="1" customHeight="1" outlineLevel="1" x14ac:dyDescent="0.35">
      <c r="A48" s="45"/>
      <c r="B48" s="1318"/>
      <c r="C48" s="1253"/>
      <c r="D48" s="1355"/>
      <c r="E48" s="148"/>
      <c r="F48" s="1318"/>
      <c r="G48" s="1253"/>
      <c r="H48" s="1355"/>
      <c r="I48" s="267"/>
      <c r="J48" s="1318" t="s">
        <v>921</v>
      </c>
      <c r="K48" s="1253" t="s">
        <v>291</v>
      </c>
      <c r="L48" s="1355">
        <f>IF('R-Definição'!I52&gt;0,('R-Definição'!I49-'R-Definição'!O53-'R-Definição'!O55)*'R-Definição'!L49/100*313,0)</f>
        <v>0</v>
      </c>
      <c r="M48" s="267"/>
      <c r="N48" s="1318"/>
      <c r="O48" s="1253"/>
      <c r="P48" s="1355"/>
      <c r="Q48" s="191"/>
      <c r="R48" s="934"/>
      <c r="S48" s="935"/>
      <c r="T48" s="935"/>
      <c r="U48" s="935"/>
      <c r="V48" s="935"/>
      <c r="W48" s="935"/>
      <c r="X48" s="935"/>
      <c r="Y48" s="935"/>
      <c r="Z48" s="1426"/>
    </row>
    <row r="49" spans="1:26" ht="17.899999999999999" hidden="1" customHeight="1" outlineLevel="1" x14ac:dyDescent="0.35">
      <c r="A49" s="45"/>
      <c r="B49" s="1318"/>
      <c r="C49" s="1253"/>
      <c r="D49" s="1355"/>
      <c r="E49" s="267"/>
      <c r="F49" s="1318"/>
      <c r="G49" s="1253"/>
      <c r="H49" s="1355"/>
      <c r="I49" s="267"/>
      <c r="J49" s="1318" t="s">
        <v>1036</v>
      </c>
      <c r="K49" s="1253" t="s">
        <v>291</v>
      </c>
      <c r="L49" s="1355">
        <f>'R-Resumo Bal. Massa'!I66*313</f>
        <v>0</v>
      </c>
      <c r="M49" s="267"/>
      <c r="N49" s="1318"/>
      <c r="O49" s="1253"/>
      <c r="P49" s="1355"/>
      <c r="Q49" s="191"/>
      <c r="R49" s="934"/>
      <c r="S49" s="935"/>
      <c r="T49" s="935"/>
      <c r="U49" s="935"/>
      <c r="V49" s="935"/>
      <c r="W49" s="935"/>
      <c r="X49" s="935"/>
      <c r="Y49" s="935"/>
      <c r="Z49" s="1426"/>
    </row>
    <row r="50" spans="1:26" ht="17.899999999999999" hidden="1" customHeight="1" outlineLevel="1" thickBot="1" x14ac:dyDescent="0.4">
      <c r="A50" s="35"/>
      <c r="B50" s="1321"/>
      <c r="C50" s="1367"/>
      <c r="D50" s="1356"/>
      <c r="E50" s="148"/>
      <c r="F50" s="1321"/>
      <c r="G50" s="1367"/>
      <c r="H50" s="1356"/>
      <c r="I50" s="148"/>
      <c r="J50" s="1321" t="s">
        <v>1037</v>
      </c>
      <c r="K50" s="1367" t="s">
        <v>291</v>
      </c>
      <c r="L50" s="1356">
        <f>'R-Resumo Bal. Massa'!I67*313</f>
        <v>125829.94379999999</v>
      </c>
      <c r="M50" s="148"/>
      <c r="N50" s="1321"/>
      <c r="O50" s="1367"/>
      <c r="P50" s="1356"/>
      <c r="Q50" s="191"/>
      <c r="R50" s="934"/>
      <c r="S50" s="935"/>
      <c r="T50" s="935"/>
      <c r="U50" s="935"/>
      <c r="V50" s="935"/>
      <c r="W50" s="935"/>
      <c r="X50" s="935"/>
      <c r="Y50" s="935"/>
      <c r="Z50" s="1426"/>
    </row>
    <row r="51" spans="1:26" ht="10.4" customHeight="1" thickBot="1" x14ac:dyDescent="0.4">
      <c r="A51" s="35"/>
      <c r="B51" s="145"/>
      <c r="C51" s="259"/>
      <c r="D51" s="259"/>
      <c r="E51" s="191"/>
      <c r="F51" s="145"/>
      <c r="G51" s="259" t="s">
        <v>3</v>
      </c>
      <c r="H51" s="259" t="s">
        <v>5</v>
      </c>
      <c r="I51" s="191"/>
      <c r="J51" s="191"/>
      <c r="K51" s="105"/>
      <c r="L51" s="191"/>
      <c r="M51" s="191"/>
      <c r="N51" s="191"/>
      <c r="O51" s="191"/>
      <c r="P51" s="191"/>
      <c r="Q51" s="191"/>
      <c r="R51" s="934"/>
      <c r="S51" s="935"/>
      <c r="T51" s="935"/>
      <c r="U51" s="935"/>
      <c r="V51" s="935"/>
      <c r="W51" s="935"/>
      <c r="X51" s="935"/>
      <c r="Y51" s="935"/>
      <c r="Z51" s="1426"/>
    </row>
    <row r="52" spans="1:26" s="817" customFormat="1" ht="30.65" customHeight="1" collapsed="1" thickTop="1" x14ac:dyDescent="0.35">
      <c r="A52" s="814"/>
      <c r="B52" s="1341" t="s">
        <v>602</v>
      </c>
      <c r="C52" s="1395" t="s">
        <v>281</v>
      </c>
      <c r="D52" s="1343" t="s">
        <v>282</v>
      </c>
      <c r="E52" s="815"/>
      <c r="F52" s="1324" t="s">
        <v>598</v>
      </c>
      <c r="G52" s="1387" t="s">
        <v>308</v>
      </c>
      <c r="H52" s="1285" t="s">
        <v>309</v>
      </c>
      <c r="I52" s="816"/>
      <c r="J52" s="1324" t="s">
        <v>598</v>
      </c>
      <c r="K52" s="1325" t="s">
        <v>310</v>
      </c>
      <c r="L52" s="1285" t="s">
        <v>311</v>
      </c>
      <c r="M52" s="816"/>
      <c r="N52" s="1324" t="s">
        <v>598</v>
      </c>
      <c r="O52" s="1325" t="s">
        <v>312</v>
      </c>
      <c r="P52" s="1285" t="s">
        <v>313</v>
      </c>
      <c r="Q52" s="814"/>
      <c r="R52" s="944"/>
      <c r="S52" s="945"/>
      <c r="T52" s="945"/>
      <c r="U52" s="945"/>
      <c r="V52" s="945"/>
      <c r="W52" s="945"/>
      <c r="X52" s="945"/>
      <c r="Y52" s="945"/>
      <c r="Z52" s="1428"/>
    </row>
    <row r="53" spans="1:26" ht="17.899999999999999" hidden="1" customHeight="1" outlineLevel="1" x14ac:dyDescent="0.35">
      <c r="A53" s="45"/>
      <c r="B53" s="1318" t="s">
        <v>585</v>
      </c>
      <c r="C53" s="1253" t="s">
        <v>314</v>
      </c>
      <c r="D53" s="1396">
        <v>5</v>
      </c>
      <c r="E53" s="191"/>
      <c r="F53" s="1021" t="s">
        <v>593</v>
      </c>
      <c r="G53" s="1021" t="str">
        <f>'C-Triagem Man'!L2</f>
        <v>Sim</v>
      </c>
      <c r="H53" s="1021">
        <f>IF('C-Triagem Man'!D2&gt;0,'C-Triagem Man'!H2,0)</f>
        <v>15493.499999999998</v>
      </c>
      <c r="I53" s="635"/>
      <c r="J53" s="1021" t="s">
        <v>593</v>
      </c>
      <c r="K53" s="1443">
        <f>IF('C-Triagem Man'!$E$7="SIM",'C-Triagem Man'!$E$19,IF('C-Triagem Man'!$I$7="SIM",'C-Triagem Man'!$I$19,IF('C-Triagem Man'!$M$7="SIM",'C-Triagem Man'!$M$19,IF('C-Triagem Man'!$Q$7="SIM",'C-Triagem Man'!$Q$19,IF('C-Triagem Man'!$U$7="SIM",'C-Triagem Man'!$U$19,0)))))</f>
        <v>28.522630338158294</v>
      </c>
      <c r="L53" s="1021">
        <f>IF('C-Triagem Man'!$E$7="SIM",'C-Triagem Man'!$E$20,IF('C-Triagem Man'!$I$7="SIM",'C-Triagem Man'!$I$20,IF('C-Triagem Man'!$M$7="SIM",'C-Triagem Man'!$M$20,IF('C-Triagem Man'!$Q$7="SIM",'C-Triagem Man'!$Q$20,IF('C-Triagem Man'!$U$7="SIM",'C-Triagem Man'!$U$20,0)))))</f>
        <v>1840.9417070486525</v>
      </c>
      <c r="M53" s="191"/>
      <c r="N53" s="1021" t="s">
        <v>593</v>
      </c>
      <c r="O53" s="1443">
        <f>IF('C-Triagem Man'!$E$7="SIM",'C-Triagem Man'!$E$43,IF('C-Triagem Man'!$I$7="SIM",'C-Triagem Man'!$I$43,IF('C-Triagem Man'!$M$7="SIM",'C-Triagem Man'!$M$43,IF('C-Triagem Man'!$Q$7="SIM",'C-Triagem Man'!$Q$43,IF('C-Triagem Man'!$U$7="SIM",'C-Triagem Man'!$U$43,0)))))</f>
        <v>13.142369418749997</v>
      </c>
      <c r="P53" s="1021">
        <f>IF('C-Triagem Man'!$E$7="SIM",'C-Triagem Man'!$E$42,IF('C-Triagem Man'!$I$7="SIM",'C-Triagem Man'!$I$42,IF('C-Triagem Man'!$M$7="SIM",'C-Triagem Man'!$M$42,IF('C-Triagem Man'!$Q$7="SIM",'C-Triagem Man'!$Q$42,IF('C-Triagem Man'!$U$7="SIM",'C-Triagem Man'!$U$42,0)))))</f>
        <v>848.25051916932898</v>
      </c>
      <c r="Q53" s="191"/>
      <c r="R53" s="934"/>
      <c r="S53" s="935"/>
      <c r="T53" s="935"/>
      <c r="U53" s="935"/>
      <c r="V53" s="935"/>
      <c r="W53" s="935"/>
      <c r="X53" s="935"/>
      <c r="Y53" s="935"/>
      <c r="Z53" s="1426"/>
    </row>
    <row r="54" spans="1:26" ht="17.899999999999999" hidden="1" customHeight="1" outlineLevel="1" x14ac:dyDescent="0.35">
      <c r="A54" s="45"/>
      <c r="B54" s="1299" t="s">
        <v>586</v>
      </c>
      <c r="C54" s="1252" t="s">
        <v>315</v>
      </c>
      <c r="D54" s="1397">
        <v>4.5</v>
      </c>
      <c r="E54" s="191"/>
      <c r="F54" s="1245" t="s">
        <v>594</v>
      </c>
      <c r="G54" s="272">
        <v>1</v>
      </c>
      <c r="H54" s="1388">
        <v>0.1</v>
      </c>
      <c r="I54" s="635"/>
      <c r="J54" s="1318"/>
      <c r="K54" s="223" t="s">
        <v>316</v>
      </c>
      <c r="L54" s="1379">
        <f>IF(K53&gt;0,K53*1000000/$D$41,0)</f>
        <v>30.375538166302764</v>
      </c>
      <c r="M54" s="191"/>
      <c r="N54" s="1318" t="s">
        <v>317</v>
      </c>
      <c r="O54" s="277">
        <f>IF(H53&gt;0,((P37*D99)+(P38*D100)+(P39*D101)+(P40*D102)+(P41*D104)+(P42*D103))/$D$41,0)</f>
        <v>3.9092163009404386</v>
      </c>
      <c r="P54" s="1300">
        <f>IF(O53&gt;0,O53*1000000/$D$41,0)</f>
        <v>13.996133566293928</v>
      </c>
      <c r="Q54" s="191"/>
      <c r="R54" s="934"/>
      <c r="S54" s="935"/>
      <c r="T54" s="935"/>
      <c r="U54" s="935"/>
      <c r="V54" s="935"/>
      <c r="W54" s="935"/>
      <c r="X54" s="935"/>
      <c r="Y54" s="935"/>
      <c r="Z54" s="1426"/>
    </row>
    <row r="55" spans="1:26" ht="17.899999999999999" hidden="1" customHeight="1" outlineLevel="1" x14ac:dyDescent="0.35">
      <c r="A55" s="45"/>
      <c r="B55" s="1318" t="s">
        <v>987</v>
      </c>
      <c r="C55" s="1408" t="s">
        <v>190</v>
      </c>
      <c r="D55" s="1345">
        <v>0.5</v>
      </c>
      <c r="E55" s="191"/>
      <c r="F55" s="1318" t="s">
        <v>595</v>
      </c>
      <c r="G55" s="263">
        <f>IF('C-Triagem Man'!$E$7="SIM",'C-Triagem Man'!$D$17,IF('C-Triagem Man'!$I$7="SIM",'C-Triagem Man'!$H$17,IF('C-Triagem Man'!$M$7="SIM",'C-Triagem Man'!$L$17,IF('C-Triagem Man'!$Q$7="SIM",'C-Triagem Man'!$P$17,IF('C-Triagem Man'!$U$7="SIM",'C-Triagem Man'!$T$17,"0")))))</f>
        <v>19917.517644988951</v>
      </c>
      <c r="H55" s="1389"/>
      <c r="I55" s="635"/>
      <c r="J55" s="1380" t="s">
        <v>318</v>
      </c>
      <c r="K55" s="270">
        <f>IF('C-Triagem Man'!$E$7="SIM",'C-Triagem Man'!$E$23,IF('C-Triagem Man'!$I$7="SIM",'C-Triagem Man'!$I$23,IF('C-Triagem Man'!$M$7="SIM",'C-Triagem Man'!$M$23,IF('C-Triagem Man'!$Q$7="SIM",'C-Triagem Man'!$Q$23,IF('C-Triagem Man'!$U$7="SIM",'C-Triagem Man'!$U$23,"0")))))</f>
        <v>0.43279104319529516</v>
      </c>
      <c r="L55" s="1381"/>
      <c r="M55" s="191"/>
      <c r="N55" s="1318" t="s">
        <v>319</v>
      </c>
      <c r="O55" s="277">
        <f>IF('C-Triagem Man'!$E$7="SIM",'C-Triagem Man'!$E$44,IF('C-Triagem Man'!$I$7="SIM",'C-Triagem Man'!$I$44,IF('C-Triagem Man'!$M$7="SIM",'C-Triagem Man'!$M$44,IF('C-Triagem Man'!$Q$7="SIM",'C-Triagem Man'!$Q$44,IF('C-Triagem Man'!$U$7="SIM",'C-Triagem Man'!$U$44,0)))))</f>
        <v>3.0282062499999993</v>
      </c>
      <c r="P55" s="1336">
        <f>IF('C-Triagem Man'!$E$7="SIM",'C-Triagem Man'!$E$45,IF('C-Triagem Man'!$I$7="SIM",'C-Triagem Man'!$I$45,IF('C-Triagem Man'!$M$7="SIM",'C-Triagem Man'!$M$45,IF('C-Triagem Man'!$Q$7="SIM",'C-Triagem Man'!$Q$45,IF('C-Triagem Man'!$U$7="SIM",'C-Triagem Man'!$U$45,0)))))</f>
        <v>652.80041105947646</v>
      </c>
      <c r="Q55" s="191"/>
      <c r="R55" s="934"/>
      <c r="S55" s="935"/>
      <c r="T55" s="935"/>
      <c r="U55" s="935"/>
      <c r="V55" s="935"/>
      <c r="W55" s="935"/>
      <c r="X55" s="935"/>
      <c r="Y55" s="935"/>
      <c r="Z55" s="1426"/>
    </row>
    <row r="56" spans="1:26" ht="17.899999999999999" hidden="1" customHeight="1" outlineLevel="1" x14ac:dyDescent="0.35">
      <c r="A56" s="46"/>
      <c r="B56" s="1318" t="s">
        <v>587</v>
      </c>
      <c r="C56" s="1253" t="s">
        <v>768</v>
      </c>
      <c r="D56" s="1396">
        <v>90</v>
      </c>
      <c r="E56" s="191"/>
      <c r="F56" s="1021" t="s">
        <v>320</v>
      </c>
      <c r="G56" s="1021" t="str">
        <f>'C-Triagem Mec'!L2</f>
        <v>Sim</v>
      </c>
      <c r="H56" s="1021">
        <f>IF('C-Triagem Mec'!D2&gt;0,'C-Triagem Mec'!H2,0)</f>
        <v>692982</v>
      </c>
      <c r="I56" s="635"/>
      <c r="J56" s="1021" t="s">
        <v>320</v>
      </c>
      <c r="K56" s="1443">
        <f>IF('C-Triagem Mec'!$E$7="SIM",'C-Triagem Mec'!$E$19,IF('C-Triagem Mec'!$I$7="SIM",'C-Triagem Mec'!$I$19,IF('C-Triagem Mec'!$M$7="SIM",'C-Triagem Mec'!$M$19,IF('C-Triagem Mec'!$Q$7="SIM",'C-Triagem Mec'!$Q$19,IF('C-Triagem Mec'!$U$7="SIM",'C-Triagem Mec'!$U$19,0)))))</f>
        <v>245.13104031884473</v>
      </c>
      <c r="L56" s="1021">
        <f>IF('C-Triagem Mec'!$E$7="SIM",'C-Triagem Mec'!$E$20,IF('C-Triagem Mec'!$I$7="SIM",'C-Triagem Mec'!$I$20,IF('C-Triagem Mec'!$M$7="SIM",'C-Triagem Mec'!$M$20,IF('C-Triagem Mec'!$Q$7="SIM",'C-Triagem Mec'!$Q$20,IF('C-Triagem Mec'!$U$7="SIM",'C-Triagem Mec'!$U$20,0)))))</f>
        <v>353.73363279110384</v>
      </c>
      <c r="M56" s="191"/>
      <c r="N56" s="1021" t="s">
        <v>320</v>
      </c>
      <c r="O56" s="1443">
        <f>IF('C-Triagem Mec'!$E$7="SIM",'C-Triagem Mec'!$E$43,IF('C-Triagem Mec'!$I$7="SIM",'C-Triagem Mec'!$I$43,IF('C-Triagem Mec'!$M$7="SIM",'C-Triagem Mec'!$M$43,IF('C-Triagem Mec'!$Q$7="SIM",'C-Triagem Mec'!$Q$43,IF('C-Triagem Mec'!$U$7="SIM",'C-Triagem Mec'!$U$43,0)))))</f>
        <v>45.975239608448696</v>
      </c>
      <c r="P56" s="1021">
        <f>IF('C-Triagem Mec'!$E$7="SIM",'C-Triagem Mec'!$E$42,IF('C-Triagem Mec'!$I$7="SIM",'C-Triagem Mec'!$I$42,IF('C-Triagem Mec'!$M$7="SIM",'C-Triagem Mec'!$M$42,IF('C-Triagem Mec'!$Q$7="SIM",'C-Triagem Mec'!$Q$42,IF('C-Triagem Mec'!$U$7="SIM",'C-Triagem Mec'!$U$42,0)))))</f>
        <v>66.34406031967454</v>
      </c>
      <c r="Q56" s="191"/>
      <c r="R56" s="934"/>
      <c r="S56" s="935"/>
      <c r="T56" s="935"/>
      <c r="U56" s="935"/>
      <c r="V56" s="935"/>
      <c r="W56" s="935"/>
      <c r="X56" s="935"/>
      <c r="Y56" s="935"/>
      <c r="Z56" s="1426"/>
    </row>
    <row r="57" spans="1:26" ht="17.899999999999999" hidden="1" customHeight="1" outlineLevel="1" x14ac:dyDescent="0.35">
      <c r="A57" s="45"/>
      <c r="B57" s="1318" t="s">
        <v>588</v>
      </c>
      <c r="C57" s="1253" t="s">
        <v>768</v>
      </c>
      <c r="D57" s="1396">
        <v>25</v>
      </c>
      <c r="E57" s="191"/>
      <c r="F57" s="1245" t="s">
        <v>594</v>
      </c>
      <c r="G57" s="272">
        <v>0.45</v>
      </c>
      <c r="H57" s="1388">
        <v>0.2</v>
      </c>
      <c r="I57" s="635"/>
      <c r="J57" s="1318"/>
      <c r="K57" s="223" t="s">
        <v>316</v>
      </c>
      <c r="L57" s="1379">
        <f>IF(K56&gt;0,K56*1000000/$D$41,0)</f>
        <v>261.05542099983467</v>
      </c>
      <c r="M57" s="191"/>
      <c r="N57" s="1318" t="s">
        <v>317</v>
      </c>
      <c r="O57" s="277">
        <f>IF(H56&gt;0,((L37*D99)+(L38*D100)+(L39*D101)+(L40*D102)+(L41*D104)+(L42*D103))/$D$41,0)</f>
        <v>61.609248902821307</v>
      </c>
      <c r="P57" s="1300">
        <f>IF(O56&gt;0,O56*1000000/$D$41,0)</f>
        <v>48.96191651591981</v>
      </c>
      <c r="Q57" s="191"/>
      <c r="R57" s="934"/>
      <c r="S57" s="935"/>
      <c r="T57" s="935"/>
      <c r="U57" s="935"/>
      <c r="V57" s="935"/>
      <c r="W57" s="935"/>
      <c r="X57" s="935"/>
      <c r="Y57" s="935"/>
      <c r="Z57" s="1426"/>
    </row>
    <row r="58" spans="1:26" ht="17.899999999999999" hidden="1" customHeight="1" outlineLevel="1" x14ac:dyDescent="0.35">
      <c r="A58" s="46"/>
      <c r="B58" s="1318" t="s">
        <v>589</v>
      </c>
      <c r="C58" s="1253" t="s">
        <v>768</v>
      </c>
      <c r="D58" s="1396">
        <v>500</v>
      </c>
      <c r="E58" s="191"/>
      <c r="F58" s="1318" t="s">
        <v>595</v>
      </c>
      <c r="G58" s="263">
        <f>IF('C-Triagem Mec'!$E$7="SIM",'C-Triagem Mec'!$D$17,IF('C-Triagem Mec'!$I$7="SIM",'C-Triagem Mec'!$H$17,IF('C-Triagem Mec'!$M$7="SIM",'C-Triagem Mec'!$L$17,IF('C-Triagem Mec'!$Q$7="SIM",'C-Triagem Mec'!$P$17,IF('C-Triagem Mec'!$U$7="SIM",'C-Triagem Mec'!$T$17,"0")))))</f>
        <v>35120.601396951548</v>
      </c>
      <c r="H58" s="1390"/>
      <c r="I58" s="635"/>
      <c r="J58" s="1380" t="s">
        <v>318</v>
      </c>
      <c r="K58" s="270">
        <f>IF('C-Triagem Mec'!$E$7="SIM",'C-Triagem Mec'!$E$23,IF('C-Triagem Mec'!$I$7="SIM",'C-Triagem Mec'!$I$23,IF('C-Triagem Mec'!$M$7="SIM",'C-Triagem Mec'!$M$23,IF('C-Triagem Mec'!$Q$7="SIM",'C-Triagem Mec'!$Q$23,IF('C-Triagem Mec'!$U$7="SIM",'C-Triagem Mec'!$U$23,"0")))))</f>
        <v>4.8486001802959464</v>
      </c>
      <c r="L58" s="1381"/>
      <c r="M58" s="191"/>
      <c r="N58" s="1318" t="s">
        <v>319</v>
      </c>
      <c r="O58" s="277">
        <f>IF('C-Triagem Mec'!$E$7="SIM",'C-Triagem Mec'!$E$44,IF('C-Triagem Mec'!$I$7="SIM",'C-Triagem Mec'!$I$44,IF('C-Triagem Mec'!$M$7="SIM",'C-Triagem Mec'!$M$44,IF('C-Triagem Mec'!$Q$7="SIM",'C-Triagem Mec'!$Q$44,IF('C-Triagem Mec'!$U$7="SIM",'C-Triagem Mec'!$U$44,0)))))</f>
        <v>9.3026718749999997</v>
      </c>
      <c r="P58" s="1336">
        <f>IF('C-Triagem Mec'!$E$7="SIM",'C-Triagem Mec'!$E$45,IF('C-Triagem Mec'!$I$7="SIM",'C-Triagem Mec'!$I$45,IF('C-Triagem Mec'!$M$7="SIM",'C-Triagem Mec'!$M$45,IF('C-Triagem Mec'!$Q$7="SIM",'C-Triagem Mec'!$Q$45,IF('C-Triagem Mec'!$U$7="SIM",'C-Triagem Mec'!$U$45,0)))))</f>
        <v>52.919942701900901</v>
      </c>
      <c r="Q58" s="191"/>
      <c r="R58" s="934"/>
      <c r="S58" s="935"/>
      <c r="T58" s="935"/>
      <c r="U58" s="935"/>
      <c r="V58" s="935"/>
      <c r="W58" s="935"/>
      <c r="X58" s="935"/>
      <c r="Y58" s="935"/>
      <c r="Z58" s="1426"/>
    </row>
    <row r="59" spans="1:26" ht="17.899999999999999" hidden="1" customHeight="1" outlineLevel="1" x14ac:dyDescent="0.35">
      <c r="A59" s="45"/>
      <c r="B59" s="1318" t="s">
        <v>769</v>
      </c>
      <c r="C59" s="2089" t="s">
        <v>784</v>
      </c>
      <c r="D59" s="2090"/>
      <c r="E59" s="191"/>
      <c r="F59" s="1021" t="s">
        <v>596</v>
      </c>
      <c r="G59" s="1021" t="str">
        <f>'C-Produção CDR-TM'!L2</f>
        <v>Sim</v>
      </c>
      <c r="H59" s="1021">
        <f>IF('C-Produção CDR-TM'!D2&gt;0,'C-Produção CDR-TM'!H2,0)</f>
        <v>60847.200000000004</v>
      </c>
      <c r="I59" s="635"/>
      <c r="J59" s="1021" t="s">
        <v>596</v>
      </c>
      <c r="K59" s="1443">
        <f>IF('C-Produção CDR-TM'!$E$7="SIM",'C-Produção CDR-TM'!$E$19,IF('C-Produção CDR-TM'!$I$7="SIM",'C-Produção CDR-TM'!$I$19,IF('C-Produção CDR-TM'!$M$7="SIM",'C-Produção CDR-TM'!$M$19,IF('C-Produção CDR-TM'!$Q$7="SIM",'C-Produção CDR-TM'!$Q$19,IF('C-Produção CDR-TM'!$U$7="SIM",'C-Produção CDR-TM'!$U$19,0)))))</f>
        <v>24.236957281306918</v>
      </c>
      <c r="L59" s="1021">
        <f>IF('C-Produção CDR-TM'!$E$7="SIM",'C-Produção CDR-TM'!$E$20,IF('C-Produção CDR-TM'!$I$7="SIM",'C-Produção CDR-TM'!$I$20,IF('C-Produção CDR-TM'!$M$7="SIM",'C-Produção CDR-TM'!$M$20,IF('C-Produção CDR-TM'!$Q$7="SIM",'C-Produção CDR-TM'!$Q$20,IF('C-Produção CDR-TM'!$U$7="SIM",'C-Produção CDR-TM'!$U$20,0)))))</f>
        <v>398.32493987080619</v>
      </c>
      <c r="M59" s="191"/>
      <c r="N59" s="1021" t="s">
        <v>596</v>
      </c>
      <c r="O59" s="1443">
        <f>IF('C-Produção CDR-TM'!$E$7="SIM",'C-Produção CDR-TM'!$E$43,IF('C-Produção CDR-TM'!$I$7="SIM",'C-Produção CDR-TM'!$I$43,IF('C-Produção CDR-TM'!$M$7="SIM",'C-Produção CDR-TM'!$M$43,IF('C-Produção CDR-TM'!$Q$7="SIM",'C-Produção CDR-TM'!$Q$43,IF('C-Produção CDR-TM'!$U$7="SIM",'C-Produção CDR-TM'!$U$43,0)))))</f>
        <v>3.6341682559378681</v>
      </c>
      <c r="P59" s="1021">
        <f>IF('C-Produção CDR-TM'!$E$7="SIM",'C-Produção CDR-TM'!$E$42,IF('C-Produção CDR-TM'!$I$7="SIM",'C-Produção CDR-TM'!$I$42,IF('C-Produção CDR-TM'!$M$7="SIM",'C-Produção CDR-TM'!$M$42,IF('C-Produção CDR-TM'!$Q$7="SIM",'C-Produção CDR-TM'!$Q$42,IF('C-Produção CDR-TM'!$U$7="SIM",'C-Produção CDR-TM'!$U$42,0)))))</f>
        <v>59.726137865635032</v>
      </c>
      <c r="Q59" s="191"/>
      <c r="R59" s="934"/>
      <c r="S59" s="935"/>
      <c r="T59" s="935"/>
      <c r="U59" s="935"/>
      <c r="V59" s="935"/>
      <c r="W59" s="935"/>
      <c r="X59" s="935"/>
      <c r="Y59" s="935"/>
      <c r="Z59" s="1426"/>
    </row>
    <row r="60" spans="1:26" ht="17.899999999999999" hidden="1" customHeight="1" outlineLevel="1" x14ac:dyDescent="0.35">
      <c r="A60" s="46"/>
      <c r="B60" s="1318" t="s">
        <v>590</v>
      </c>
      <c r="C60" s="1252" t="s">
        <v>321</v>
      </c>
      <c r="D60" s="1396">
        <v>5000</v>
      </c>
      <c r="E60" s="191"/>
      <c r="F60" s="1245" t="s">
        <v>594</v>
      </c>
      <c r="G60" s="272">
        <v>0.3</v>
      </c>
      <c r="H60" s="1388">
        <v>0.2</v>
      </c>
      <c r="I60" s="635"/>
      <c r="J60" s="1318"/>
      <c r="K60" s="223" t="s">
        <v>316</v>
      </c>
      <c r="L60" s="1379">
        <f>IF(K59&gt;0,K59*1000000/$D$41,0)</f>
        <v>25.811456103628242</v>
      </c>
      <c r="M60" s="191"/>
      <c r="N60" s="1318" t="s">
        <v>317</v>
      </c>
      <c r="O60" s="277">
        <f>IF(H59&gt;0,((L45*D110)+(L47*D109))/$D$41,0)</f>
        <v>4.1310000000000002</v>
      </c>
      <c r="P60" s="1298">
        <f>IF(O59&gt;0,O59*1000000/$D$41,0)</f>
        <v>3.8702537336931506</v>
      </c>
      <c r="Q60" s="191"/>
      <c r="R60" s="934"/>
      <c r="S60" s="935"/>
      <c r="T60" s="935"/>
      <c r="U60" s="935"/>
      <c r="V60" s="935"/>
      <c r="W60" s="935"/>
      <c r="X60" s="935"/>
      <c r="Y60" s="935"/>
      <c r="Z60" s="1426"/>
    </row>
    <row r="61" spans="1:26" ht="17.899999999999999" hidden="1" customHeight="1" outlineLevel="1" x14ac:dyDescent="0.35">
      <c r="A61" s="45"/>
      <c r="B61" s="1318" t="s">
        <v>591</v>
      </c>
      <c r="C61" s="1253" t="s">
        <v>768</v>
      </c>
      <c r="D61" s="1396">
        <v>1500</v>
      </c>
      <c r="E61" s="191"/>
      <c r="F61" s="1318" t="s">
        <v>595</v>
      </c>
      <c r="G61" s="263">
        <f>IF('C-Produção CDR-TM'!$E$7="SIM",'C-Produção CDR-TM'!$D$17,IF('C-Produção CDR-TM'!$I$7="SIM",'C-Produção CDR-TM'!$H$17,IF('C-Produção CDR-TM'!$M$7="SIM",'C-Produção CDR-TM'!$L$17,IF('C-Produção CDR-TM'!$Q$7="SIM",'C-Produção CDR-TM'!$P$17,IF('C-Produção CDR-TM'!$U$7="SIM",'C-Produção CDR-TM'!$T$17,"0")))))</f>
        <v>2900</v>
      </c>
      <c r="H61" s="1389"/>
      <c r="I61" s="635"/>
      <c r="J61" s="1380" t="s">
        <v>318</v>
      </c>
      <c r="K61" s="270">
        <f>IF('C-Produção CDR-TM'!$E$7="SIM",'C-Produção CDR-TM'!$E$23,IF('C-Produção CDR-TM'!$I$7="SIM",'C-Produção CDR-TM'!$I$23,IF('C-Produção CDR-TM'!$M$7="SIM",'C-Produção CDR-TM'!$M$23,IF('C-Produção CDR-TM'!$Q$7="SIM",'C-Produção CDR-TM'!$Q$23,IF('C-Produção CDR-TM'!$U$7="SIM",'C-Produção CDR-TM'!$U$23,"0")))))</f>
        <v>0.50223698678994</v>
      </c>
      <c r="L61" s="1381"/>
      <c r="M61" s="191"/>
      <c r="N61" s="1318" t="s">
        <v>319</v>
      </c>
      <c r="O61" s="277">
        <f>IF('C-Produção CDR-TM'!$E$7="SIM",'C-Produção CDR-TM'!$E$44,IF('C-Produção CDR-TM'!$I$7="SIM",'C-Produção CDR-TM'!$I$44,IF('C-Produção CDR-TM'!$M$7="SIM",'C-Produção CDR-TM'!$M$44,IF('C-Produção CDR-TM'!$Q$7="SIM",'C-Produção CDR-TM'!$Q$44,IF('C-Produção CDR-TM'!$U$7="SIM",'C-Produção CDR-TM'!$U$44,0)))))</f>
        <v>0.52331249999999996</v>
      </c>
      <c r="P61" s="1336">
        <f>IF('C-Produção CDR-TM'!$E$7="SIM",'C-Produção CDR-TM'!$E$45,IF('C-Produção CDR-TM'!$I$7="SIM",'C-Produção CDR-TM'!$I$45,IF('C-Produção CDR-TM'!$M$7="SIM",'C-Produção CDR-TM'!$M$45,IF('C-Produção CDR-TM'!$Q$7="SIM",'C-Produção CDR-TM'!$Q$45,IF('C-Produção CDR-TM'!$U$7="SIM",'C-Produção CDR-TM'!$U$45,0)))))</f>
        <v>51.12570103370193</v>
      </c>
      <c r="Q61" s="191"/>
      <c r="R61" s="934"/>
      <c r="S61" s="935"/>
      <c r="T61" s="935"/>
      <c r="U61" s="935"/>
      <c r="V61" s="935"/>
      <c r="W61" s="935"/>
      <c r="X61" s="935"/>
      <c r="Y61" s="935"/>
      <c r="Z61" s="1426"/>
    </row>
    <row r="62" spans="1:26" ht="17.899999999999999" hidden="1" customHeight="1" outlineLevel="1" x14ac:dyDescent="0.35">
      <c r="A62" s="45"/>
      <c r="B62" s="1318" t="s">
        <v>592</v>
      </c>
      <c r="C62" s="1252" t="s">
        <v>190</v>
      </c>
      <c r="D62" s="1345">
        <v>0</v>
      </c>
      <c r="E62" s="191"/>
      <c r="F62" s="1021" t="s">
        <v>484</v>
      </c>
      <c r="G62" s="1021" t="str">
        <f>'C-Produção CDR-TMB'!L2</f>
        <v>Não</v>
      </c>
      <c r="H62" s="1021">
        <f>IF('C-Produção CDR-TMB'!D2&gt;0,'C-Produção CDR-TMB'!H2,0)</f>
        <v>0</v>
      </c>
      <c r="I62" s="635"/>
      <c r="J62" s="1021" t="s">
        <v>599</v>
      </c>
      <c r="K62" s="1021">
        <f>IF('C-Produção CDR-TMB'!$E$7="SIM",'C-Produção CDR-TMB'!$E$19,IF('C-Produção CDR-TMB'!$I$7="SIM",'C-Produção CDR-TMB'!$I$19,IF('C-Produção CDR-TMB'!$M$7="SIM",'C-Produção CDR-TMB'!$M$19,IF('C-Produção CDR-TMB'!$Q$7="SIM",'C-Produção CDR-TMB'!$Q$19,IF('C-Produção CDR-TMB'!$U$7="SIM",'C-Produção CDR-TMB'!$U$19,0)))))</f>
        <v>0</v>
      </c>
      <c r="L62" s="1443">
        <f>IF('C-Produção CDR-TMB'!$E$7="SIM",'C-Produção CDR-TMB'!$E$20,IF('C-Produção CDR-TMB'!$I$7="SIM",'C-Produção CDR-TMB'!$I$20,IF('C-Produção CDR-TMB'!$M$7="SIM",'C-Produção CDR-TMB'!$M$20,IF('C-Produção CDR-TMB'!$Q$7="SIM",'C-Produção CDR-TMB'!$Q$20,IF('C-Produção CDR-TMB'!$U$7="SIM",'C-Produção CDR-TMB'!$U$20,0)))))</f>
        <v>0</v>
      </c>
      <c r="M62" s="191"/>
      <c r="N62" s="1021" t="s">
        <v>599</v>
      </c>
      <c r="O62" s="1021">
        <f>IF('C-Produção CDR-TMB'!$E$7="SIM",'C-Produção CDR-TMB'!$E$43,IF('C-Produção CDR-TMB'!$I$7="SIM",'C-Produção CDR-TMB'!$I$43,IF('C-Produção CDR-TMB'!$M$7="SIM",'C-Produção CDR-TMB'!$M$43,IF('C-Produção CDR-TMB'!$Q$7="SIM",'C-Produção CDR-TMB'!$Q$43,IF('C-Produção CDR-TMB'!$U$7="SIM",'C-Produção CDR-TMB'!$U$43,0)))))</f>
        <v>0</v>
      </c>
      <c r="P62" s="1443">
        <f>IF('C-Produção CDR-TMB'!$E$7="SIM",'C-Produção CDR-TMB'!$E$42,IF('C-Produção CDR-TMB'!$I$7="SIM",'C-Produção CDR-TMB'!$I$42,IF('C-Produção CDR-TMB'!$M$7="SIM",'C-Produção CDR-TMB'!$M$42,IF('C-Produção CDR-TMB'!$Q$7="SIM",'C-Produção CDR-TMB'!$Q$42,IF('C-Produção CDR-TMB'!$U$7="SIM",'C-Produção CDR-TMB'!$U$42,0)))))</f>
        <v>0</v>
      </c>
      <c r="Q62" s="191"/>
      <c r="R62" s="934"/>
      <c r="S62" s="935"/>
      <c r="T62" s="935"/>
      <c r="U62" s="935"/>
      <c r="V62" s="935"/>
      <c r="W62" s="935"/>
      <c r="X62" s="935"/>
      <c r="Y62" s="935"/>
      <c r="Z62" s="1426"/>
    </row>
    <row r="63" spans="1:26" ht="17.899999999999999" hidden="1" customHeight="1" outlineLevel="1" x14ac:dyDescent="0.35">
      <c r="A63" s="45"/>
      <c r="B63" s="1399" t="s">
        <v>603</v>
      </c>
      <c r="C63" s="821" t="s">
        <v>281</v>
      </c>
      <c r="D63" s="1400" t="s">
        <v>282</v>
      </c>
      <c r="E63" s="191"/>
      <c r="F63" s="1245" t="s">
        <v>594</v>
      </c>
      <c r="G63" s="272">
        <v>0.2</v>
      </c>
      <c r="H63" s="1388">
        <v>0.2</v>
      </c>
      <c r="I63" s="635"/>
      <c r="J63" s="1318"/>
      <c r="K63" s="223" t="s">
        <v>316</v>
      </c>
      <c r="L63" s="1379">
        <f>IF(K62&gt;0,K62*1000000/$D$41,0)</f>
        <v>0</v>
      </c>
      <c r="M63" s="191"/>
      <c r="N63" s="1318" t="s">
        <v>317</v>
      </c>
      <c r="O63" s="277">
        <f>IF(H62&gt;0,((L46*D110)+(L48*D109))/$D$41,0)</f>
        <v>0</v>
      </c>
      <c r="P63" s="1300">
        <f>IF(O62&gt;0,O62*1000000/$D$41,0)</f>
        <v>0</v>
      </c>
      <c r="Q63" s="191"/>
      <c r="R63" s="934"/>
      <c r="S63" s="935"/>
      <c r="T63" s="935"/>
      <c r="U63" s="935"/>
      <c r="V63" s="935"/>
      <c r="W63" s="935"/>
      <c r="X63" s="935"/>
      <c r="Y63" s="935"/>
      <c r="Z63" s="1426"/>
    </row>
    <row r="64" spans="1:26" ht="17.899999999999999" hidden="1" customHeight="1" outlineLevel="1" x14ac:dyDescent="0.35">
      <c r="A64" s="45"/>
      <c r="B64" s="1318" t="s">
        <v>604</v>
      </c>
      <c r="C64" s="271" t="s">
        <v>322</v>
      </c>
      <c r="D64" s="1398">
        <v>20000</v>
      </c>
      <c r="E64" s="268"/>
      <c r="F64" s="1318" t="s">
        <v>595</v>
      </c>
      <c r="G64" s="263" t="str">
        <f>IF('C-Produção CDR-TMB'!$E$7="SIM",'C-Produção CDR-TMB'!$D$17,IF('C-Produção CDR-TMB'!$I$7="SIM",'C-Produção CDR-TMB'!$H$17,IF('C-Produção CDR-TMB'!$M$7="SIM",'C-Produção CDR-TMB'!$L$17,IF('C-Produção CDR-TMB'!$Q$7="SIM",'C-Produção CDR-TMB'!$P$17,IF('C-Produção CDR-TMB'!$U$7="SIM",'C-Produção CDR-TMB'!$T$17,"0")))))</f>
        <v>0</v>
      </c>
      <c r="H64" s="1391"/>
      <c r="I64" s="635"/>
      <c r="J64" s="1380" t="s">
        <v>318</v>
      </c>
      <c r="K64" s="270" t="str">
        <f>IF('C-Produção CDR-TMB'!$E$7="SIM",'C-Produção CDR-TMB'!$E$23,IF('C-Produção CDR-TMB'!$I$7="SIM",'C-Produção CDR-TMB'!$I$23,IF('C-Produção CDR-TMB'!$M$7="SIM",'C-Produção CDR-TMB'!$M$23,IF('C-Produção CDR-TMB'!$Q$7="SIM",'C-Produção CDR-TMB'!$Q$23,IF('C-Produção CDR-TMB'!$U$7="SIM",'C-Produção CDR-TMB'!$U$23,"0")))))</f>
        <v>0</v>
      </c>
      <c r="L64" s="1382"/>
      <c r="M64" s="191"/>
      <c r="N64" s="1318" t="s">
        <v>319</v>
      </c>
      <c r="O64" s="1252">
        <f>IF('C-Produção CDR-TMB'!$E$7="SIM",'C-Produção CDR-TMB'!$E$44,IF('C-Produção CDR-TMB'!$I$7="SIM",'C-Produção CDR-TMB'!$I$44,IF('C-Produção CDR-TMB'!$M$7="SIM",'C-Produção CDR-TMB'!$M$44,IF('C-Produção CDR-TMB'!$Q$7="SIM",'C-Produção CDR-TMB'!$Q$44,IF('C-Produção CDR-TMB'!$U$7="SIM",'C-Produção CDR-TMB'!$U$44,0)))))</f>
        <v>0</v>
      </c>
      <c r="P64" s="1355">
        <f>IF('C-Produção CDR-TMB'!$E$7="SIM",'C-Produção CDR-TMB'!$E$45,IF('C-Produção CDR-TMB'!$I$7="SIM",'C-Produção CDR-TMB'!$I$45,IF('C-Produção CDR-TMB'!$M$7="SIM",'C-Produção CDR-TMB'!$M$45,IF('C-Produção CDR-TMB'!$Q$7="SIM",'C-Produção CDR-TMB'!$Q$45,IF('C-Produção CDR-TMB'!$U$7="SIM",'C-Produção CDR-TMB'!$U$45,0)))))</f>
        <v>0</v>
      </c>
      <c r="Q64" s="268"/>
      <c r="R64" s="938"/>
      <c r="S64" s="946"/>
      <c r="T64" s="946"/>
      <c r="U64" s="946"/>
      <c r="V64" s="946"/>
      <c r="W64" s="946"/>
      <c r="X64" s="946"/>
      <c r="Y64" s="946"/>
      <c r="Z64" s="1429"/>
    </row>
    <row r="65" spans="1:26" ht="17.899999999999999" hidden="1" customHeight="1" outlineLevel="1" x14ac:dyDescent="0.35">
      <c r="A65" s="45"/>
      <c r="B65" s="1318" t="s">
        <v>605</v>
      </c>
      <c r="C65" s="1252" t="s">
        <v>322</v>
      </c>
      <c r="D65" s="1398">
        <v>10000</v>
      </c>
      <c r="E65" s="269"/>
      <c r="F65" s="1021" t="s">
        <v>323</v>
      </c>
      <c r="G65" s="1021" t="str">
        <f>'C-Biodigestão'!L2</f>
        <v>Sim</v>
      </c>
      <c r="H65" s="1021">
        <f>IF('C-Biodigestão'!D2&gt;0,'C-Biodigestão'!H2,0)</f>
        <v>322985.95199999999</v>
      </c>
      <c r="I65" s="635"/>
      <c r="J65" s="1021" t="s">
        <v>323</v>
      </c>
      <c r="K65" s="1443">
        <f>IF('C-Biodigestão'!$E$7="SIM",'C-Biodigestão'!$E$19,IF('C-Biodigestão'!$I$7="SIM",'C-Biodigestão'!$I$19,IF('C-Biodigestão'!$M$7="SIM",'C-Biodigestão'!$M$19,IF('C-Biodigestão'!$Q$7="SIM",'C-Biodigestão'!$Q$19,IF('C-Biodigestão'!$U$7="SIM",'C-Biodigestão'!$U$19,0)))))</f>
        <v>343.01724240354127</v>
      </c>
      <c r="L65" s="1021">
        <f>IF('C-Biodigestão'!$E$7="SIM",'C-Biodigestão'!$E$20,IF('C-Biodigestão'!$I$7="SIM",'C-Biodigestão'!$I$20,IF('C-Biodigestão'!$M$7="SIM",'C-Biodigestão'!$M$20,IF('C-Biodigestão'!$Q$7="SIM",'C-Biodigestão'!$Q$20,IF('C-Biodigestão'!$U$7="SIM",'C-Biodigestão'!$U$20,0)))))</f>
        <v>1062.0190763081278</v>
      </c>
      <c r="M65" s="279"/>
      <c r="N65" s="1021" t="s">
        <v>323</v>
      </c>
      <c r="O65" s="1443">
        <f>IF('C-Biodigestão'!$E$7="SIM",'C-Biodigestão'!$E$46,IF('C-Biodigestão'!$I$7="SIM",'C-Biodigestão'!$I$46,IF('C-Biodigestão'!$M$7="SIM",'C-Biodigestão'!$M$46,IF('C-Biodigestão'!$Q$7="SIM",'C-Biodigestão'!$Q$46,IF('C-Biodigestão'!$U$7="SIM",'C-Biodigestão'!$U$46,0)))))</f>
        <v>35.434298802713649</v>
      </c>
      <c r="P65" s="1021">
        <f>IF('C-Biodigestão'!$E$7="SIM",'C-Biodigestão'!$E$45,IF('C-Biodigestão'!$I$7="SIM",'C-Biodigestão'!$I$45,IF('C-Biodigestão'!$M$7="SIM",'C-Biodigestão'!$M$45,IF('C-Biodigestão'!$Q$7="SIM",'C-Biodigestão'!$Q$45,IF('C-Biodigestão'!$U$7="SIM",'C-Biodigestão'!$U$45,0)))))</f>
        <v>109.70848293338048</v>
      </c>
      <c r="Q65" s="191"/>
      <c r="R65" s="934"/>
      <c r="S65" s="935"/>
      <c r="T65" s="935"/>
      <c r="U65" s="935"/>
      <c r="V65" s="935"/>
      <c r="W65" s="935"/>
      <c r="X65" s="935"/>
      <c r="Y65" s="935"/>
      <c r="Z65" s="1426"/>
    </row>
    <row r="66" spans="1:26" ht="17.899999999999999" hidden="1" customHeight="1" outlineLevel="1" x14ac:dyDescent="0.35">
      <c r="A66" s="45"/>
      <c r="B66" s="1318" t="s">
        <v>606</v>
      </c>
      <c r="C66" s="1253" t="s">
        <v>322</v>
      </c>
      <c r="D66" s="1398">
        <v>1500</v>
      </c>
      <c r="E66" s="191"/>
      <c r="F66" s="1245" t="s">
        <v>594</v>
      </c>
      <c r="G66" s="272">
        <v>0.5</v>
      </c>
      <c r="H66" s="1388">
        <v>0.2</v>
      </c>
      <c r="I66" s="819"/>
      <c r="J66" s="1318"/>
      <c r="K66" s="223" t="s">
        <v>316</v>
      </c>
      <c r="L66" s="1379">
        <f>IF(K65&gt;0,K65*1000000/$D$41,0)</f>
        <v>365.30057763955409</v>
      </c>
      <c r="M66" s="280"/>
      <c r="N66" s="1318" t="s">
        <v>317</v>
      </c>
      <c r="O66" s="277">
        <f>IF(H65&gt;0,((P43*D112)+(P46*D115))/$D$41,0)</f>
        <v>19.283705999999999</v>
      </c>
      <c r="P66" s="1300">
        <f>IF(O65&gt;0,O65*1000000/$D$41,0)</f>
        <v>37.736207457629014</v>
      </c>
      <c r="Q66" s="191"/>
      <c r="R66" s="934"/>
      <c r="S66" s="935"/>
      <c r="T66" s="935"/>
      <c r="U66" s="935"/>
      <c r="V66" s="935"/>
      <c r="W66" s="935"/>
      <c r="X66" s="935"/>
      <c r="Y66" s="935"/>
      <c r="Z66" s="1426"/>
    </row>
    <row r="67" spans="1:26" ht="17.899999999999999" hidden="1" customHeight="1" outlineLevel="1" x14ac:dyDescent="0.35">
      <c r="A67" s="39"/>
      <c r="B67" s="1318" t="s">
        <v>770</v>
      </c>
      <c r="C67" s="2089" t="s">
        <v>324</v>
      </c>
      <c r="D67" s="2090"/>
      <c r="E67" s="269"/>
      <c r="F67" s="1318" t="s">
        <v>595</v>
      </c>
      <c r="G67" s="263">
        <f>IF('C-Biodigestão'!$E$7="SIM",'C-Biodigestão'!$D$17,IF('C-Biodigestão'!$I$7="SIM",'C-Biodigestão'!$H$17,IF('C-Biodigestão'!$M$7="SIM",'C-Biodigestão'!$L$17,IF('C-Biodigestão'!$Q$7="SIM",'C-Biodigestão'!$P$17,IF('C-Biodigestão'!$U$7="SIM",'C-Biodigestão'!$T$17,"0")))))</f>
        <v>162759.1198307196</v>
      </c>
      <c r="H67" s="1389"/>
      <c r="I67" s="819"/>
      <c r="J67" s="1380" t="s">
        <v>318</v>
      </c>
      <c r="K67" s="270">
        <f>IF('C-Biodigestão'!$E$7="SIM",'C-Biodigestão'!$E$26,IF('C-Biodigestão'!$I$7="SIM",'C-Biodigestão'!$I$26,IF('C-Biodigestão'!$M$7="SIM",'C-Biodigestão'!$M$26,IF('C-Biodigestão'!$Q$7="SIM",'C-Biodigestão'!$Q$26,IF('C-Biodigestão'!$U$7="SIM",'C-Biodigestão'!$U$26,"0")))))</f>
        <v>5.5957046576412104</v>
      </c>
      <c r="L67" s="1382"/>
      <c r="M67" s="280"/>
      <c r="N67" s="1318" t="s">
        <v>319</v>
      </c>
      <c r="O67" s="277">
        <f>IF('C-Biodigestão'!$E$7="SIM",'C-Biodigestão'!$E$47,IF('C-Biodigestão'!$I$7="SIM",'C-Biodigestão'!$I$47,IF('C-Biodigestão'!$M$7="SIM",'C-Biodigestão'!$M$47,IF('C-Biodigestão'!$Q$7="SIM",'C-Biodigestão'!$Q$47,IF('C-Biodigestão'!$U$7="SIM",'C-Biodigestão'!$U$47,0)))))</f>
        <v>6.6981000000000002</v>
      </c>
      <c r="P67" s="1336">
        <f>IF('C-Biodigestão'!$E$7="SIM",'C-Biodigestão'!$E$48,IF('C-Biodigestão'!$I$7="SIM",'C-Biodigestão'!$I$48,IF('C-Biodigestão'!$M$7="SIM",'C-Biodigestão'!$M$48,IF('C-Biodigestão'!$Q$7="SIM",'C-Biodigestão'!$Q$48,IF('C-Biodigestão'!$U$7="SIM",'C-Biodigestão'!$U$48,0)))))</f>
        <v>88.970429285771687</v>
      </c>
      <c r="Q67" s="191"/>
      <c r="R67" s="947"/>
      <c r="S67" s="948"/>
      <c r="T67" s="948"/>
      <c r="U67" s="948"/>
      <c r="V67" s="948"/>
      <c r="W67" s="948"/>
      <c r="X67" s="948"/>
      <c r="Y67" s="948"/>
      <c r="Z67" s="1430"/>
    </row>
    <row r="68" spans="1:26" ht="17.899999999999999" hidden="1" customHeight="1" outlineLevel="1" x14ac:dyDescent="0.35">
      <c r="A68" s="48"/>
      <c r="B68" s="1318" t="s">
        <v>607</v>
      </c>
      <c r="C68" s="1253" t="s">
        <v>322</v>
      </c>
      <c r="D68" s="1398">
        <v>1250</v>
      </c>
      <c r="E68" s="268"/>
      <c r="F68" s="1021" t="s">
        <v>126</v>
      </c>
      <c r="G68" s="1021" t="str">
        <f>'C-Compostagem'!L2</f>
        <v>Sim</v>
      </c>
      <c r="H68" s="1021">
        <f>IF('C-Compostagem'!D2&gt;0,'C-Compostagem'!H2,0)</f>
        <v>228781.71599999996</v>
      </c>
      <c r="I68" s="635"/>
      <c r="J68" s="1021" t="s">
        <v>126</v>
      </c>
      <c r="K68" s="1443">
        <f>IF('C-Compostagem'!$E$7="SIM",'C-Compostagem'!$E$19,IF('C-Compostagem'!$I$7="SIM",'C-Compostagem'!$I$19,IF('C-Compostagem'!$M$7="SIM",'C-Compostagem'!$M$19,IF('C-Compostagem'!$Q$7="SIM",'C-Compostagem'!$Q$19,IF('C-Compostagem'!$U$7="SIM",'C-Compostagem'!$U$19,0)))))</f>
        <v>79.975123750323903</v>
      </c>
      <c r="L68" s="1021">
        <f>IF('C-Compostagem'!$E$7="SIM",'C-Compostagem'!$E$20,IF('C-Compostagem'!$I$7="SIM",'C-Compostagem'!$I$20,IF('C-Compostagem'!$M$7="SIM",'C-Compostagem'!$M$20,IF('C-Compostagem'!$Q$7="SIM",'C-Compostagem'!$Q$20,IF('C-Compostagem'!$U$7="SIM",'C-Compostagem'!$U$20,0)))))</f>
        <v>349.56955979088787</v>
      </c>
      <c r="M68" s="279"/>
      <c r="N68" s="1021" t="s">
        <v>126</v>
      </c>
      <c r="O68" s="1443">
        <f>IF('C-Compostagem'!$E$7="SIM",'C-Compostagem'!$E$43,IF('C-Compostagem'!$I$7="SIM",'C-Compostagem'!$I$43,IF('C-Compostagem'!$M$7="SIM",'C-Compostagem'!$M$43,IF('C-Compostagem'!$Q$7="SIM",'C-Compostagem'!$Q$43,IF('C-Compostagem'!$U$7="SIM",'C-Compostagem'!$U$43,0)))))</f>
        <v>6.8406673048963196</v>
      </c>
      <c r="P68" s="1021">
        <f>IF('C-Compostagem'!$E$7="SIM",'C-Compostagem'!$E$42,IF('C-Compostagem'!$I$7="SIM",'C-Compostagem'!$I$42,IF('C-Compostagem'!$M$7="SIM",'C-Compostagem'!$M$42,IF('C-Compostagem'!$Q$7="SIM",'C-Compostagem'!$Q$42,IF('C-Compostagem'!$U$7="SIM",'C-Compostagem'!$U$42,0)))))</f>
        <v>29.900410856680175</v>
      </c>
      <c r="Q68" s="103"/>
      <c r="R68" s="949"/>
      <c r="S68" s="950"/>
      <c r="T68" s="950"/>
      <c r="U68" s="950"/>
      <c r="V68" s="950"/>
      <c r="W68" s="950"/>
      <c r="X68" s="950"/>
      <c r="Y68" s="950"/>
      <c r="Z68" s="1431"/>
    </row>
    <row r="69" spans="1:26" ht="17.899999999999999" hidden="1" customHeight="1" outlineLevel="1" x14ac:dyDescent="0.35">
      <c r="A69" s="35"/>
      <c r="B69" s="1318" t="s">
        <v>608</v>
      </c>
      <c r="C69" s="1252" t="s">
        <v>325</v>
      </c>
      <c r="D69" s="1396">
        <v>375</v>
      </c>
      <c r="E69" s="191"/>
      <c r="F69" s="1245" t="s">
        <v>594</v>
      </c>
      <c r="G69" s="272">
        <v>0.2</v>
      </c>
      <c r="H69" s="1388">
        <v>0</v>
      </c>
      <c r="I69" s="819"/>
      <c r="J69" s="1318"/>
      <c r="K69" s="223" t="s">
        <v>316</v>
      </c>
      <c r="L69" s="1379">
        <f>IF(K68&gt;0,K68*1000000/$D$41,0)</f>
        <v>85.170525825691058</v>
      </c>
      <c r="M69" s="280"/>
      <c r="N69" s="1318" t="s">
        <v>317</v>
      </c>
      <c r="O69" s="277">
        <f>IF(H68&gt;0,((L49*D106)+(L50*D107))/$D$41,0)</f>
        <v>0</v>
      </c>
      <c r="P69" s="1300">
        <f>IF(O68&gt;0,O68*1000000/$D$41,0)</f>
        <v>7.2850557027649829</v>
      </c>
      <c r="Q69" s="191"/>
      <c r="R69" s="934"/>
      <c r="S69" s="935"/>
      <c r="T69" s="935"/>
      <c r="U69" s="935"/>
      <c r="V69" s="935"/>
      <c r="W69" s="935"/>
      <c r="X69" s="935"/>
      <c r="Y69" s="935"/>
      <c r="Z69" s="1426"/>
    </row>
    <row r="70" spans="1:26" ht="17.899999999999999" hidden="1" customHeight="1" outlineLevel="1" x14ac:dyDescent="0.35">
      <c r="A70" s="35"/>
      <c r="B70" s="1318" t="s">
        <v>609</v>
      </c>
      <c r="C70" s="1252" t="s">
        <v>940</v>
      </c>
      <c r="D70" s="1396">
        <v>25000</v>
      </c>
      <c r="E70" s="191"/>
      <c r="F70" s="1318" t="s">
        <v>595</v>
      </c>
      <c r="G70" s="263">
        <f>IF('C-Compostagem'!$E$7="SIM",'C-Compostagem'!$D$17,IF('C-Compostagem'!$I$7="SIM",'C-Compostagem'!$H$17,IF('C-Compostagem'!$M$7="SIM",'C-Compostagem'!$L$17,IF('C-Compostagem'!$Q$7="SIM",'C-Compostagem'!$P$17,IF('C-Compostagem'!$U$7="SIM",'C-Compostagem'!$T$17,"0")))))</f>
        <v>44516.409796884007</v>
      </c>
      <c r="H70" s="1392"/>
      <c r="I70" s="819"/>
      <c r="J70" s="1380" t="s">
        <v>318</v>
      </c>
      <c r="K70" s="270">
        <f>IF('C-Compostagem'!$E$7="SIM",'C-Compostagem'!$E$23,IF('C-Compostagem'!$I$7="SIM",'C-Compostagem'!$I$23,IF('C-Compostagem'!$M$7="SIM",'C-Compostagem'!$M$23,IF('C-Compostagem'!$Q$7="SIM",'C-Compostagem'!$Q$23,IF('C-Compostagem'!$U$7="SIM",'C-Compostagem'!$U$23,"0")))))</f>
        <v>4.5774868082574534</v>
      </c>
      <c r="L70" s="1382"/>
      <c r="M70" s="280"/>
      <c r="N70" s="1318" t="s">
        <v>319</v>
      </c>
      <c r="O70" s="277">
        <f>IF('C-Compostagem'!$E$7="SIM",'C-Compostagem'!$E$44,IF('C-Compostagem'!$I$7="SIM",'C-Compostagem'!$I$44,IF('C-Compostagem'!$M$7="SIM",'C-Compostagem'!$M$44,IF('C-Compostagem'!$Q$7="SIM",'C-Compostagem'!$Q$44,IF('C-Compostagem'!$U$7="SIM",'C-Compostagem'!$U$44,0)))))</f>
        <v>0.80435430456000001</v>
      </c>
      <c r="P70" s="1355">
        <f>IF('C-Compostagem'!$E$7="SIM",'C-Compostagem'!$E$45,IF('C-Compostagem'!$I$7="SIM",'C-Compostagem'!$I$45,IF('C-Compostagem'!$M$7="SIM",'C-Compostagem'!$M$45,IF('C-Compostagem'!$Q$7="SIM",'C-Compostagem'!$Q$45,IF('C-Compostagem'!$U$7="SIM",'C-Compostagem'!$U$45,0)))))</f>
        <v>26.384595350864142</v>
      </c>
      <c r="Q70" s="191"/>
      <c r="R70" s="934"/>
      <c r="S70" s="935"/>
      <c r="T70" s="935"/>
      <c r="U70" s="935"/>
      <c r="V70" s="935"/>
      <c r="W70" s="935"/>
      <c r="X70" s="935"/>
      <c r="Y70" s="935"/>
      <c r="Z70" s="1426"/>
    </row>
    <row r="71" spans="1:26" ht="17.899999999999999" hidden="1" customHeight="1" outlineLevel="1" x14ac:dyDescent="0.35">
      <c r="A71" s="35"/>
      <c r="B71" s="1318" t="s">
        <v>610</v>
      </c>
      <c r="C71" s="1253" t="s">
        <v>322</v>
      </c>
      <c r="D71" s="1396">
        <v>100000</v>
      </c>
      <c r="E71" s="191"/>
      <c r="F71" s="1021" t="s">
        <v>62</v>
      </c>
      <c r="G71" s="1021" t="str">
        <f>'C-Incineração'!L2</f>
        <v>Sim</v>
      </c>
      <c r="H71" s="1021">
        <f>IF('C-Incineração'!D2&gt;0,'C-Incineração'!H2,0)</f>
        <v>205663.53600000008</v>
      </c>
      <c r="I71" s="635"/>
      <c r="J71" s="1021" t="s">
        <v>62</v>
      </c>
      <c r="K71" s="1443">
        <f>IF('C-Incineração'!$E$7="SIM",'C-Incineração'!$E$19,IF('C-Incineração'!$I$7="SIM",'C-Incineração'!$I$19,IF('C-Incineração'!$M$7="SIM",'C-Incineração'!$M$19,IF('C-Incineração'!$Q$7="SIM",'C-Incineração'!$Q$19,IF('C-Incineração'!$U$7="SIM",'C-Incineração'!$U$19,0)))))</f>
        <v>891.62250448216832</v>
      </c>
      <c r="L71" s="1021">
        <f>IF('C-Incineração'!$E$7="SIM",'C-Incineração'!$E$20,IF('C-Incineração'!$I$7="SIM",'C-Incineração'!$I$20,IF('C-Incineração'!$M$7="SIM",'C-Incineração'!$M$20,IF('C-Incineração'!$Q$7="SIM",'C-Incineração'!$Q$20,IF('C-Incineração'!$U$7="SIM",'C-Incineração'!$U$20,0)))))</f>
        <v>4335.345593212829</v>
      </c>
      <c r="M71" s="279"/>
      <c r="N71" s="1021" t="s">
        <v>62</v>
      </c>
      <c r="O71" s="1443">
        <f>IF('C-Incineração'!$E$7="SIM",'C-Incineração'!$E$51,IF('C-Incineração'!$I$7="SIM",'C-Incineração'!$I$51,IF('C-Incineração'!$M$7="SIM",'C-Incineração'!$M$51,IF('C-Incineração'!$Q$7="SIM",'C-Incineração'!$Q$51,IF('C-Incineração'!$U$7="SIM",'C-Incineração'!$U$51,0)))))</f>
        <v>67.976981052728263</v>
      </c>
      <c r="P71" s="1021">
        <f>IF('C-Incineração'!$E$7="SIM",'C-Incineração'!$E$50,IF('C-Incineração'!$I$7="SIM",'C-Incineração'!$I$50,IF('C-Incineração'!$M$7="SIM",'C-Incineração'!$M$50,IF('C-Incineração'!$Q$7="SIM",'C-Incineração'!$Q$50,IF('C-Incineração'!$U$7="SIM",'C-Incineração'!$U$50,0)))))</f>
        <v>330.52519846166723</v>
      </c>
      <c r="Q71" s="191"/>
      <c r="R71" s="934"/>
      <c r="S71" s="935"/>
      <c r="T71" s="935"/>
      <c r="U71" s="935"/>
      <c r="V71" s="935"/>
      <c r="W71" s="935"/>
      <c r="X71" s="935"/>
      <c r="Y71" s="935"/>
      <c r="Z71" s="1426"/>
    </row>
    <row r="72" spans="1:26" ht="17.899999999999999" hidden="1" customHeight="1" outlineLevel="1" x14ac:dyDescent="0.35">
      <c r="A72" s="35"/>
      <c r="B72" s="1318" t="s">
        <v>611</v>
      </c>
      <c r="C72" s="1253" t="s">
        <v>326</v>
      </c>
      <c r="D72" s="1398">
        <v>25000</v>
      </c>
      <c r="E72" s="191"/>
      <c r="F72" s="1245" t="s">
        <v>594</v>
      </c>
      <c r="G72" s="272">
        <v>0.2</v>
      </c>
      <c r="H72" s="1388">
        <v>0.2</v>
      </c>
      <c r="I72" s="819"/>
      <c r="J72" s="1318"/>
      <c r="K72" s="223" t="s">
        <v>316</v>
      </c>
      <c r="L72" s="1379">
        <f>IF(K71&gt;0,K71*1000000/$D$41,0)</f>
        <v>949.544733207847</v>
      </c>
      <c r="M72" s="280"/>
      <c r="N72" s="1318" t="s">
        <v>317</v>
      </c>
      <c r="O72" s="277">
        <f>IF(H71&gt;0,((P44*D112))/$D$41,0)</f>
        <v>14.137991133118291</v>
      </c>
      <c r="P72" s="1300">
        <f>IF(O71&gt;0,O71*1000000/$D$41,0)</f>
        <v>72.392951067868225</v>
      </c>
      <c r="Q72" s="191"/>
      <c r="R72" s="934"/>
      <c r="S72" s="935"/>
      <c r="T72" s="935"/>
      <c r="U72" s="935"/>
      <c r="V72" s="935"/>
      <c r="W72" s="935"/>
      <c r="X72" s="935"/>
      <c r="Y72" s="935"/>
      <c r="Z72" s="1426"/>
    </row>
    <row r="73" spans="1:26" ht="17.899999999999999" hidden="1" customHeight="1" outlineLevel="1" x14ac:dyDescent="0.35">
      <c r="A73" s="49"/>
      <c r="B73" s="1318" t="s">
        <v>612</v>
      </c>
      <c r="C73" s="1253" t="s">
        <v>327</v>
      </c>
      <c r="D73" s="1396">
        <v>100</v>
      </c>
      <c r="E73" s="191"/>
      <c r="F73" s="1318" t="s">
        <v>595</v>
      </c>
      <c r="G73" s="263">
        <f>IF('C-Incineração'!$E$7="SIM",'C-Incineração'!$D$17,IF('C-Incineração'!$I$7="SIM",'C-Incineração'!$H$17,IF('C-Incineração'!$M$7="SIM",'C-Incineração'!$L$17,IF('C-Incineração'!$Q$7="SIM",'C-Incineração'!$P$17,IF('C-Incineração'!$U$7="SIM",'C-Incineração'!$T$17,"0")))))</f>
        <v>96000</v>
      </c>
      <c r="H73" s="1393"/>
      <c r="I73" s="819"/>
      <c r="J73" s="1380" t="s">
        <v>318</v>
      </c>
      <c r="K73" s="270">
        <f>IF('C-Incineração'!$E$7="SIM",'C-Incineração'!$E$25,IF('C-Incineração'!$I$7="SIM",'C-Incineração'!$I$25,IF('C-Incineração'!$M$7="SIM",'C-Incineração'!$M$25,IF('C-Incineração'!$Q$7="SIM",'C-Incineração'!$Q$25,IF('C-Incineração'!$U$7="SIM",'C-Incineração'!$U$25,"0")))))</f>
        <v>9.3255997413313203</v>
      </c>
      <c r="L73" s="1382"/>
      <c r="M73" s="280"/>
      <c r="N73" s="1318" t="s">
        <v>319</v>
      </c>
      <c r="O73" s="277">
        <f>IF('C-Incineração'!$E$7="SIM",'C-Incineração'!$E$52,IF('C-Incineração'!$I$7="SIM",'C-Incineração'!$I$52,IF('C-Incineração'!$M$7="SIM",'C-Incineração'!$M$52,IF('C-Incineração'!$Q$7="SIM",'C-Incineração'!$Q$52,IF('C-Incineração'!$U$7="SIM",'C-Incineração'!$U$52,0)))))</f>
        <v>10.729039415136709</v>
      </c>
      <c r="P73" s="1355">
        <f>IF('C-Incineração'!$E$7="SIM",'C-Incineração'!$E$53,IF('C-Incineração'!$I$7="SIM",'C-Incineração'!$I$53,IF('C-Incineração'!$M$7="SIM",'C-Incineração'!$M$53,IF('C-Incineração'!$Q$7="SIM",'C-Incineração'!$Q$53,IF('C-Incineração'!$U$7="SIM",'C-Incineração'!$U$53,0)))))</f>
        <v>278.35727592270672</v>
      </c>
      <c r="Q73" s="191"/>
      <c r="R73" s="934"/>
      <c r="S73" s="935"/>
      <c r="T73" s="935"/>
      <c r="U73" s="935"/>
      <c r="V73" s="935"/>
      <c r="W73" s="935"/>
      <c r="X73" s="935"/>
      <c r="Y73" s="935"/>
      <c r="Z73" s="1426"/>
    </row>
    <row r="74" spans="1:26" ht="17.899999999999999" hidden="1" customHeight="1" outlineLevel="1" x14ac:dyDescent="0.35">
      <c r="A74" s="35"/>
      <c r="B74" s="1318" t="s">
        <v>613</v>
      </c>
      <c r="C74" s="1252" t="s">
        <v>321</v>
      </c>
      <c r="D74" s="1396">
        <v>35</v>
      </c>
      <c r="E74" s="191"/>
      <c r="F74" s="1021" t="s">
        <v>64</v>
      </c>
      <c r="G74" s="1021" t="str">
        <f>'C-Aterro Sanitário'!L2</f>
        <v>Sim</v>
      </c>
      <c r="H74" s="1021">
        <f>IF('C-Aterro Sanitário'!D2&gt;0,'C-Aterro Sanitário'!H2,0)</f>
        <v>358168.59179999999</v>
      </c>
      <c r="I74" s="635"/>
      <c r="J74" s="1021" t="s">
        <v>64</v>
      </c>
      <c r="K74" s="1443">
        <f>IF('C-Aterro Sanitário'!$E$7="SIM",'C-Aterro Sanitário'!$E$18,IF('C-Aterro Sanitário'!$I$7="SIM",'C-Aterro Sanitário'!$I$18,IF('C-Aterro Sanitário'!$M$7="SIM",'C-Aterro Sanitário'!$M$18,IF('C-Aterro Sanitário'!$Q$7="SIM",'C-Aterro Sanitário'!$Q$18,IF('C-Aterro Sanitário'!$U$7="SIM",'C-Aterro Sanitário'!$U$18,0)))))</f>
        <v>52.749291284439984</v>
      </c>
      <c r="L74" s="1021">
        <f>IF('C-Aterro Sanitário'!$E$7="SIM",'C-Aterro Sanitário'!$E$19,IF('C-Aterro Sanitário'!$I$7="SIM",'C-Aterro Sanitário'!$I$19,IF('C-Aterro Sanitário'!$M$7="SIM",'C-Aterro Sanitário'!$M$19,IF('C-Aterro Sanitário'!$Q$7="SIM",'C-Aterro Sanitário'!$Q$19,IF('C-Aterro Sanitário'!$U$7="SIM",'C-Aterro Sanitário'!$U$19,0)))))</f>
        <v>147.2750333002258</v>
      </c>
      <c r="M74" s="279"/>
      <c r="N74" s="1021" t="s">
        <v>64</v>
      </c>
      <c r="O74" s="1443">
        <f>IF('C-Aterro Sanitário'!$E$7="SIM",'C-Aterro Sanitário'!$E$46,IF('C-Aterro Sanitário'!$I$7="SIM",'C-Aterro Sanitário'!$I$46,IF('C-Aterro Sanitário'!$M$7="SIM",'C-Aterro Sanitário'!$M$46,IF('C-Aterro Sanitário'!$Q$7="SIM",'C-Aterro Sanitário'!$Q$46,IF('C-Aterro Sanitário'!$U$7="SIM",'C-Aterro Sanitário'!$U$46,0)))))</f>
        <v>17.185478882639131</v>
      </c>
      <c r="P74" s="1021">
        <f>IF('C-Aterro Sanitário'!$E$7="SIM",'C-Aterro Sanitário'!$E$45,IF('C-Aterro Sanitário'!$I$7="SIM",'C-Aterro Sanitário'!$I$45,IF('C-Aterro Sanitário'!$M$7="SIM",'C-Aterro Sanitário'!$M$45,IF('C-Aterro Sanitário'!$Q$7="SIM",'C-Aterro Sanitário'!$Q$45,IF('C-Aterro Sanitário'!$U$7="SIM",'C-Aterro Sanitário'!$U$45,0)))))</f>
        <v>47.981535165527411</v>
      </c>
      <c r="Q74" s="191"/>
      <c r="R74" s="934"/>
      <c r="S74" s="935"/>
      <c r="T74" s="935"/>
      <c r="U74" s="935"/>
      <c r="V74" s="935"/>
      <c r="W74" s="935"/>
      <c r="X74" s="935"/>
      <c r="Y74" s="935"/>
      <c r="Z74" s="1426"/>
    </row>
    <row r="75" spans="1:26" ht="17.899999999999999" hidden="1" customHeight="1" outlineLevel="1" x14ac:dyDescent="0.35">
      <c r="A75" s="49"/>
      <c r="B75" s="1318" t="s">
        <v>614</v>
      </c>
      <c r="C75" s="1252" t="s">
        <v>328</v>
      </c>
      <c r="D75" s="1396">
        <v>3</v>
      </c>
      <c r="E75" s="191"/>
      <c r="F75" s="1245" t="s">
        <v>594</v>
      </c>
      <c r="G75" s="272">
        <v>1</v>
      </c>
      <c r="H75" s="1434">
        <v>0</v>
      </c>
      <c r="I75" s="819"/>
      <c r="J75" s="1318"/>
      <c r="K75" s="223" t="s">
        <v>316</v>
      </c>
      <c r="L75" s="1379">
        <f>IF(K74&gt;0,K74*1000000/$D$41,0)</f>
        <v>56.176029056911588</v>
      </c>
      <c r="M75" s="280"/>
      <c r="N75" s="1318" t="s">
        <v>317</v>
      </c>
      <c r="O75" s="277">
        <f>IF(H74&gt;0,((P45*D112+P47*D115))/$D$41,0)</f>
        <v>3.1834345806935547</v>
      </c>
      <c r="P75" s="1300">
        <f>IF(O74&gt;0,O74*1000000/$D$41,0)</f>
        <v>18.301894443705148</v>
      </c>
      <c r="Q75" s="191"/>
      <c r="R75" s="934"/>
      <c r="S75" s="935"/>
      <c r="T75" s="935"/>
      <c r="U75" s="935"/>
      <c r="V75" s="935"/>
      <c r="W75" s="935"/>
      <c r="X75" s="935"/>
      <c r="Y75" s="935"/>
      <c r="Z75" s="1426"/>
    </row>
    <row r="76" spans="1:26" ht="17.899999999999999" hidden="1" customHeight="1" outlineLevel="1" x14ac:dyDescent="0.35">
      <c r="A76" s="49"/>
      <c r="B76" s="1318" t="s">
        <v>615</v>
      </c>
      <c r="C76" s="1253" t="s">
        <v>933</v>
      </c>
      <c r="D76" s="1396">
        <v>150</v>
      </c>
      <c r="E76" s="191"/>
      <c r="F76" s="1245" t="s">
        <v>329</v>
      </c>
      <c r="G76" s="262">
        <f>IF('C-Aterro Sanitário'!$E$7="SIM",'C-Aterro Sanitário'!$D$17*10000,IF('C-Aterro Sanitário'!$I$7="SIM",'C-Aterro Sanitário'!$H$17*10000,IF('C-Aterro Sanitário'!$M$7="SIM",'C-Aterro Sanitário'!$L$17*10000,IF('C-Aterro Sanitário'!$Q$7="SIM",'C-Aterro Sanitário'!$P$17*10000,IF('C-Aterro Sanitário'!$U$7="SIM",'C-Aterro Sanitário'!$T$17*10000,"0")))))</f>
        <v>360375</v>
      </c>
      <c r="H76" s="1392"/>
      <c r="I76" s="819"/>
      <c r="J76" s="1380" t="s">
        <v>600</v>
      </c>
      <c r="K76" s="277">
        <f>IF('C-Aterro Sanitário'!$E$7="SIM",'C-Aterro Sanitário'!$E$21+'C-Aterro Sanitário'!$E$22,IF('C-Aterro Sanitário'!$I$7="SIM",'C-Aterro Sanitário'!$I$21+'C-Aterro Sanitário'!$I$22,IF('C-Aterro Sanitário'!$M$7="SIM",'C-Aterro Sanitário'!$M$21+'C-Aterro Sanitário'!$M$22,IF('C-Aterro Sanitário'!$Q$7="SIM",'C-Aterro Sanitário'!$Q$21+'C-Aterro Sanitário'!$Q$22,IF('C-Aterro Sanitário'!$U$7="SIM",'C-Aterro Sanitário'!$U$21+'C-Aterro Sanitário'!$U$22,0)))))</f>
        <v>51.63498927873367</v>
      </c>
      <c r="L76" s="1355">
        <f>IF(K74&gt;0,K76*1000000/(H74*20),0)</f>
        <v>7.2081961485286312</v>
      </c>
      <c r="M76" s="280"/>
      <c r="N76" s="1318" t="s">
        <v>319</v>
      </c>
      <c r="O76" s="277">
        <f>IF('C-Aterro Sanitário'!$E$7="SIM",'C-Aterro Sanitário'!$E$47,IF('C-Aterro Sanitário'!$I$7="SIM",'C-Aterro Sanitário'!$I$47,IF('C-Aterro Sanitário'!$M$7="SIM",'C-Aterro Sanitário'!$M$47,IF('C-Aterro Sanitário'!$Q$7="SIM",'C-Aterro Sanitário'!$Q$47,IF('C-Aterro Sanitário'!$U$7="SIM",'C-Aterro Sanitário'!$U$47,0)))))</f>
        <v>4.8808040299939375</v>
      </c>
      <c r="P76" s="1355">
        <f>IF('C-Aterro Sanitário'!$E$7="SIM",'C-Aterro Sanitário'!$E$48,IF('C-Aterro Sanitário'!$I$7="SIM",'C-Aterro Sanitário'!$I$48,IF('C-Aterro Sanitário'!$M$7="SIM",'C-Aterro Sanitário'!$M$48,IF('C-Aterro Sanitário'!$Q$7="SIM",'C-Aterro Sanitário'!$Q$48,IF('C-Aterro Sanitário'!$U$7="SIM",'C-Aterro Sanitário'!$U$48,0)))))</f>
        <v>34.354421728625724</v>
      </c>
      <c r="Q76" s="191"/>
      <c r="R76" s="934"/>
      <c r="S76" s="935"/>
      <c r="T76" s="935"/>
      <c r="U76" s="935"/>
      <c r="V76" s="935"/>
      <c r="W76" s="935"/>
      <c r="X76" s="935"/>
      <c r="Y76" s="935"/>
      <c r="Z76" s="1426"/>
    </row>
    <row r="77" spans="1:26" ht="17.899999999999999" hidden="1" customHeight="1" outlineLevel="1" x14ac:dyDescent="0.35">
      <c r="A77" s="49"/>
      <c r="B77" s="1318" t="s">
        <v>616</v>
      </c>
      <c r="C77" s="1253" t="s">
        <v>933</v>
      </c>
      <c r="D77" s="1396">
        <f>0.3+0.15</f>
        <v>0.44999999999999996</v>
      </c>
      <c r="E77" s="191"/>
      <c r="F77" s="1245" t="s">
        <v>330</v>
      </c>
      <c r="G77" s="274">
        <f>IF(K79&lt;&gt;0,(G54*K53+G57*K56+G60*K59+G63*K62+G66*K65+G69*K68+G72*K71+G75*K74)/K79,0)</f>
        <v>0.33909533077915693</v>
      </c>
      <c r="H77" s="1394"/>
      <c r="I77" s="819"/>
      <c r="J77" s="1245"/>
      <c r="K77" s="275"/>
      <c r="L77" s="1368"/>
      <c r="M77" s="280"/>
      <c r="N77" s="1318"/>
      <c r="O77" s="1251"/>
      <c r="P77" s="1369"/>
      <c r="Q77" s="191"/>
      <c r="R77" s="934"/>
      <c r="S77" s="935"/>
      <c r="T77" s="935"/>
      <c r="U77" s="935"/>
      <c r="V77" s="935"/>
      <c r="W77" s="935"/>
      <c r="X77" s="935"/>
      <c r="Y77" s="935"/>
      <c r="Z77" s="1426"/>
    </row>
    <row r="78" spans="1:26" ht="17.899999999999999" hidden="1" customHeight="1" outlineLevel="1" x14ac:dyDescent="0.35">
      <c r="A78" s="35"/>
      <c r="B78" s="1318" t="s">
        <v>617</v>
      </c>
      <c r="C78" s="1253" t="s">
        <v>933</v>
      </c>
      <c r="D78" s="1396">
        <v>100</v>
      </c>
      <c r="E78" s="191"/>
      <c r="F78" s="1245" t="s">
        <v>597</v>
      </c>
      <c r="G78" s="262">
        <f>G55+G58+G61+G64+G67+G70+G73</f>
        <v>361213.64866954408</v>
      </c>
      <c r="H78" s="1392"/>
      <c r="I78" s="819"/>
      <c r="J78" s="1383" t="s">
        <v>331</v>
      </c>
      <c r="K78" s="278">
        <f>K55+K58+K61+K64+K67+K70+K73</f>
        <v>25.282419417511168</v>
      </c>
      <c r="L78" s="1319" t="s">
        <v>332</v>
      </c>
      <c r="M78" s="280"/>
      <c r="N78" s="1318"/>
      <c r="O78" s="1251"/>
      <c r="P78" s="1369"/>
      <c r="Q78" s="191"/>
      <c r="R78" s="934"/>
      <c r="S78" s="935"/>
      <c r="T78" s="935"/>
      <c r="U78" s="935"/>
      <c r="V78" s="935"/>
      <c r="W78" s="935"/>
      <c r="X78" s="935"/>
      <c r="Y78" s="935"/>
      <c r="Z78" s="1426"/>
    </row>
    <row r="79" spans="1:26" ht="17.899999999999999" hidden="1" customHeight="1" outlineLevel="1" thickBot="1" x14ac:dyDescent="0.4">
      <c r="A79" s="35"/>
      <c r="B79" s="1321" t="s">
        <v>618</v>
      </c>
      <c r="C79" s="1302" t="s">
        <v>321</v>
      </c>
      <c r="D79" s="1401">
        <v>15</v>
      </c>
      <c r="E79" s="191"/>
      <c r="F79" s="2087" t="s">
        <v>619</v>
      </c>
      <c r="G79" s="2088"/>
      <c r="H79" s="1372">
        <f>'R-Resumo Bal. Massa'!D16*313</f>
        <v>939000</v>
      </c>
      <c r="I79" s="635"/>
      <c r="J79" s="1370" t="s">
        <v>333</v>
      </c>
      <c r="K79" s="1371">
        <f>K53+K56+K59+K62+K65+K68+K71+K74</f>
        <v>1665.2547898587834</v>
      </c>
      <c r="L79" s="1372">
        <f>K79*1000000/H79</f>
        <v>1773.4342809997695</v>
      </c>
      <c r="M79" s="279"/>
      <c r="N79" s="1370" t="s">
        <v>601</v>
      </c>
      <c r="O79" s="1371">
        <f>O53+O56+O59+O62+O65+O68+O71+O74</f>
        <v>190.1892033261139</v>
      </c>
      <c r="P79" s="1372">
        <f>O79*1000000/H79</f>
        <v>202.54441248787424</v>
      </c>
      <c r="Q79" s="191"/>
      <c r="R79" s="934"/>
      <c r="S79" s="935"/>
      <c r="T79" s="935"/>
      <c r="U79" s="935"/>
      <c r="V79" s="935"/>
      <c r="W79" s="935"/>
      <c r="X79" s="935"/>
      <c r="Y79" s="935"/>
      <c r="Z79" s="1426"/>
    </row>
    <row r="80" spans="1:26" ht="10.4" customHeight="1" thickBot="1" x14ac:dyDescent="0.4">
      <c r="A80" s="35"/>
      <c r="B80" s="145"/>
      <c r="C80" s="259"/>
      <c r="D80" s="259"/>
      <c r="E80" s="191"/>
      <c r="F80" s="145"/>
      <c r="G80" s="191"/>
      <c r="H80" s="191"/>
      <c r="I80" s="191"/>
      <c r="J80" s="191"/>
      <c r="K80" s="105"/>
      <c r="L80" s="191"/>
      <c r="M80" s="191"/>
      <c r="N80" s="191"/>
      <c r="O80" s="191"/>
      <c r="P80" s="191"/>
      <c r="Q80" s="191"/>
      <c r="R80" s="934"/>
      <c r="S80" s="935"/>
      <c r="T80" s="935"/>
      <c r="U80" s="935"/>
      <c r="V80" s="935"/>
      <c r="W80" s="935"/>
      <c r="X80" s="935"/>
      <c r="Y80" s="935"/>
      <c r="Z80" s="1426"/>
    </row>
    <row r="81" spans="1:26" s="817" customFormat="1" ht="20.149999999999999" customHeight="1" collapsed="1" thickTop="1" x14ac:dyDescent="0.35">
      <c r="A81" s="43"/>
      <c r="B81" s="1341" t="s">
        <v>334</v>
      </c>
      <c r="C81" s="1342" t="s">
        <v>281</v>
      </c>
      <c r="D81" s="1343" t="s">
        <v>282</v>
      </c>
      <c r="E81" s="681"/>
      <c r="F81" s="1324" t="s">
        <v>335</v>
      </c>
      <c r="G81" s="1325" t="s">
        <v>281</v>
      </c>
      <c r="H81" s="1285" t="s">
        <v>282</v>
      </c>
      <c r="I81" s="822"/>
      <c r="J81" s="1313" t="s">
        <v>635</v>
      </c>
      <c r="K81" s="1314" t="s">
        <v>281</v>
      </c>
      <c r="L81" s="1315" t="s">
        <v>282</v>
      </c>
      <c r="M81" s="822"/>
      <c r="N81" s="1324" t="s">
        <v>1061</v>
      </c>
      <c r="O81" s="1325" t="s">
        <v>281</v>
      </c>
      <c r="P81" s="1285" t="s">
        <v>282</v>
      </c>
      <c r="Q81" s="43"/>
      <c r="R81" s="951"/>
      <c r="S81" s="952"/>
      <c r="T81" s="952"/>
      <c r="U81" s="952"/>
      <c r="V81" s="952"/>
      <c r="W81" s="952"/>
      <c r="X81" s="952"/>
      <c r="Y81" s="952"/>
      <c r="Z81" s="1432"/>
    </row>
    <row r="82" spans="1:26" ht="17.899999999999999" hidden="1" customHeight="1" outlineLevel="1" x14ac:dyDescent="0.35">
      <c r="A82" s="37"/>
      <c r="B82" s="1318" t="s">
        <v>620</v>
      </c>
      <c r="C82" s="473" t="s">
        <v>336</v>
      </c>
      <c r="D82" s="1402">
        <v>450</v>
      </c>
      <c r="E82" s="279"/>
      <c r="F82" s="1318" t="s">
        <v>722</v>
      </c>
      <c r="G82" s="1252" t="s">
        <v>285</v>
      </c>
      <c r="H82" s="1374">
        <f>((L37)*D99+(L38)*D100+(L39)*D101+(L40)*D102+(L41+L43)*D103+(L42+L44)*D104)/1000000</f>
        <v>69.525023780313461</v>
      </c>
      <c r="I82" s="478"/>
      <c r="J82" s="1318" t="s">
        <v>630</v>
      </c>
      <c r="K82" s="1252" t="s">
        <v>285</v>
      </c>
      <c r="L82" s="1374">
        <f t="shared" ref="L82:L84" si="2">D82*D42/1000000</f>
        <v>63.382499999999986</v>
      </c>
      <c r="M82" s="279"/>
      <c r="N82" s="1318" t="s">
        <v>640</v>
      </c>
      <c r="O82" s="473" t="s">
        <v>337</v>
      </c>
      <c r="P82" s="1416">
        <f>IF(AND(O59&lt;&gt;0,O62&lt;&gt;0),(O59+O62)*1000000/(H40+H41),IF(AND(O59&lt;&gt;0,O62=0),O59*1000000/(H40+H41),IF(AND(O62&lt;&gt;0,O59=0),O62*1000000/(H41+H40),0)))</f>
        <v>84.319253457367111</v>
      </c>
      <c r="Q82" s="461"/>
      <c r="R82" s="953"/>
      <c r="S82" s="935"/>
      <c r="T82" s="935"/>
      <c r="U82" s="935"/>
      <c r="V82" s="935"/>
      <c r="W82" s="935"/>
      <c r="X82" s="935"/>
      <c r="Y82" s="935"/>
      <c r="Z82" s="1426"/>
    </row>
    <row r="83" spans="1:26" ht="17.899999999999999" hidden="1" customHeight="1" outlineLevel="1" x14ac:dyDescent="0.35">
      <c r="A83" s="37"/>
      <c r="B83" s="1318" t="s">
        <v>621</v>
      </c>
      <c r="C83" s="473" t="s">
        <v>336</v>
      </c>
      <c r="D83" s="1402">
        <v>450</v>
      </c>
      <c r="E83" s="461"/>
      <c r="F83" s="1318" t="s">
        <v>625</v>
      </c>
      <c r="G83" s="1252" t="s">
        <v>285</v>
      </c>
      <c r="H83" s="1374">
        <f>((L45+L46)*D110+(L47+L48)*D109)/1000000</f>
        <v>3.8790089999999999</v>
      </c>
      <c r="I83" s="148"/>
      <c r="J83" s="1318" t="s">
        <v>631</v>
      </c>
      <c r="K83" s="1252" t="s">
        <v>285</v>
      </c>
      <c r="L83" s="1374">
        <f t="shared" si="2"/>
        <v>21.127500000000001</v>
      </c>
      <c r="M83" s="461"/>
      <c r="N83" s="1318" t="s">
        <v>1038</v>
      </c>
      <c r="O83" s="473" t="s">
        <v>338</v>
      </c>
      <c r="P83" s="1416">
        <f>IF(O68&lt;&gt;0,O68*1000000/(H38+H39),0)</f>
        <v>54.364383375782133</v>
      </c>
      <c r="Q83" s="461"/>
      <c r="R83" s="953"/>
      <c r="S83" s="935"/>
      <c r="T83" s="935"/>
      <c r="U83" s="935"/>
      <c r="V83" s="935"/>
      <c r="W83" s="935"/>
      <c r="X83" s="935"/>
      <c r="Y83" s="935"/>
      <c r="Z83" s="1426"/>
    </row>
    <row r="84" spans="1:26" ht="17.899999999999999" hidden="1" customHeight="1" outlineLevel="1" x14ac:dyDescent="0.35">
      <c r="A84" s="37"/>
      <c r="B84" s="1318" t="s">
        <v>622</v>
      </c>
      <c r="C84" s="473" t="s">
        <v>336</v>
      </c>
      <c r="D84" s="1402">
        <v>150</v>
      </c>
      <c r="E84" s="461"/>
      <c r="F84" s="1318" t="s">
        <v>723</v>
      </c>
      <c r="G84" s="1252" t="s">
        <v>285</v>
      </c>
      <c r="H84" s="1374">
        <f>(L49*D106+L50*D107)/1000000</f>
        <v>0</v>
      </c>
      <c r="I84" s="148"/>
      <c r="J84" s="1318" t="s">
        <v>632</v>
      </c>
      <c r="K84" s="1252" t="s">
        <v>285</v>
      </c>
      <c r="L84" s="1374">
        <f t="shared" si="2"/>
        <v>112.68</v>
      </c>
      <c r="M84" s="461"/>
      <c r="N84" s="1318" t="s">
        <v>724</v>
      </c>
      <c r="O84" s="473" t="s">
        <v>339</v>
      </c>
      <c r="P84" s="1416">
        <f>IF(O53&lt;&gt;0,O53*1000000/(SUM(P37:P42)),0)</f>
        <v>1555.1259518104364</v>
      </c>
      <c r="Q84" s="461"/>
      <c r="R84" s="953"/>
      <c r="S84" s="935"/>
      <c r="T84" s="935"/>
      <c r="U84" s="935"/>
      <c r="V84" s="935"/>
      <c r="W84" s="935"/>
      <c r="X84" s="935"/>
      <c r="Y84" s="935"/>
      <c r="Z84" s="1426"/>
    </row>
    <row r="85" spans="1:26" ht="17.899999999999999" hidden="1" customHeight="1" outlineLevel="1" x14ac:dyDescent="0.35">
      <c r="A85" s="37"/>
      <c r="B85" s="1435" t="str">
        <f>IF('R-Definição'!$O$120="Sim","Custo Operação Estação Transbordo Coleta Mistos/Rejeitos","")</f>
        <v>Custo Operação Estação Transbordo Coleta Mistos/Rejeitos</v>
      </c>
      <c r="C85" s="469" t="str">
        <f>IF('R-Definição'!$O$120="Sim","R$/t","")</f>
        <v>R$/t</v>
      </c>
      <c r="D85" s="1398">
        <v>10</v>
      </c>
      <c r="E85" s="461"/>
      <c r="F85" s="1318" t="s">
        <v>626</v>
      </c>
      <c r="G85" s="1252" t="s">
        <v>285</v>
      </c>
      <c r="H85" s="1374">
        <f>P44*D112/1000000</f>
        <v>13.275573673998075</v>
      </c>
      <c r="I85" s="148"/>
      <c r="J85" s="1318" t="s">
        <v>633</v>
      </c>
      <c r="K85" s="1252" t="s">
        <v>285</v>
      </c>
      <c r="L85" s="1374">
        <f>IF('R-Definição'!O120="Sim",D85*D44/1000000,0)</f>
        <v>7.5119999999999996</v>
      </c>
      <c r="M85" s="461"/>
      <c r="N85" s="1318" t="s">
        <v>725</v>
      </c>
      <c r="O85" s="473" t="s">
        <v>339</v>
      </c>
      <c r="P85" s="1416">
        <f>IF(O56&lt;&gt;0,O56*1000000/(SUM(L37:L42)),0)</f>
        <v>345.19117679018484</v>
      </c>
      <c r="Q85" s="461"/>
      <c r="R85" s="953"/>
      <c r="S85" s="935"/>
      <c r="T85" s="935"/>
      <c r="U85" s="935"/>
      <c r="V85" s="935"/>
      <c r="W85" s="935"/>
      <c r="X85" s="935"/>
      <c r="Y85" s="935"/>
      <c r="Z85" s="1426"/>
    </row>
    <row r="86" spans="1:26" ht="17.899999999999999" hidden="1" customHeight="1" outlineLevel="1" x14ac:dyDescent="0.35">
      <c r="A86" s="37"/>
      <c r="B86" s="1318"/>
      <c r="C86" s="1252"/>
      <c r="D86" s="1403"/>
      <c r="E86" s="461"/>
      <c r="F86" s="1318" t="s">
        <v>627</v>
      </c>
      <c r="G86" s="1252" t="s">
        <v>285</v>
      </c>
      <c r="H86" s="1374">
        <f>P43*D112/1000000</f>
        <v>0</v>
      </c>
      <c r="I86" s="148"/>
      <c r="J86" s="1318"/>
      <c r="K86" s="1252"/>
      <c r="L86" s="1374"/>
      <c r="M86" s="461"/>
      <c r="N86" s="1318" t="s">
        <v>641</v>
      </c>
      <c r="O86" s="1252" t="s">
        <v>325</v>
      </c>
      <c r="P86" s="1416">
        <f>IF(AND(O65&lt;&gt;0,'R-Definição'!$J$65="Sim"),O65*1000000/P43,0)</f>
        <v>0</v>
      </c>
      <c r="Q86" s="461"/>
      <c r="R86" s="953"/>
      <c r="S86" s="935"/>
      <c r="T86" s="935"/>
      <c r="U86" s="935"/>
      <c r="V86" s="935"/>
      <c r="W86" s="935"/>
      <c r="X86" s="935"/>
      <c r="Y86" s="935"/>
      <c r="Z86" s="1426"/>
    </row>
    <row r="87" spans="1:26" ht="17.899999999999999" hidden="1" customHeight="1" outlineLevel="1" x14ac:dyDescent="0.35">
      <c r="A87" s="37"/>
      <c r="B87" s="1318"/>
      <c r="C87" s="1252"/>
      <c r="D87" s="1403"/>
      <c r="E87" s="461"/>
      <c r="F87" s="1318" t="s">
        <v>628</v>
      </c>
      <c r="G87" s="1252" t="s">
        <v>285</v>
      </c>
      <c r="H87" s="1374">
        <f>P45*D113/1000000</f>
        <v>0</v>
      </c>
      <c r="I87" s="148"/>
      <c r="J87" s="1318"/>
      <c r="K87" s="1252"/>
      <c r="L87" s="1374"/>
      <c r="M87" s="461"/>
      <c r="N87" s="1318" t="s">
        <v>642</v>
      </c>
      <c r="O87" s="1252" t="s">
        <v>325</v>
      </c>
      <c r="P87" s="1416">
        <f>IF(O71&lt;&gt;0,O71*1000000/P44,0)</f>
        <v>896.07967055519748</v>
      </c>
      <c r="Q87" s="461"/>
      <c r="R87" s="953"/>
      <c r="S87" s="935"/>
      <c r="T87" s="935"/>
      <c r="U87" s="935"/>
      <c r="V87" s="935"/>
      <c r="W87" s="935"/>
      <c r="X87" s="935"/>
      <c r="Y87" s="935"/>
      <c r="Z87" s="1426"/>
    </row>
    <row r="88" spans="1:26" ht="17.899999999999999" hidden="1" customHeight="1" outlineLevel="1" x14ac:dyDescent="0.35">
      <c r="A88" s="37"/>
      <c r="B88" s="1318" t="s">
        <v>964</v>
      </c>
      <c r="C88" s="1252" t="s">
        <v>336</v>
      </c>
      <c r="D88" s="1398">
        <v>50</v>
      </c>
      <c r="E88" s="461"/>
      <c r="F88" s="1318" t="s">
        <v>832</v>
      </c>
      <c r="G88" s="1252" t="s">
        <v>285</v>
      </c>
      <c r="H88" s="1374">
        <f t="shared" ref="H88:H89" si="3">P46*D115/1000000</f>
        <v>18.107399934</v>
      </c>
      <c r="I88" s="148"/>
      <c r="J88" s="1318"/>
      <c r="K88" s="1252"/>
      <c r="L88" s="1374"/>
      <c r="M88" s="461"/>
      <c r="N88" s="1318" t="s">
        <v>643</v>
      </c>
      <c r="O88" s="1252" t="s">
        <v>325</v>
      </c>
      <c r="P88" s="1416">
        <f>IF(AND(O74&lt;&gt;0,'R-Definição'!$J$123="Sim"),O74*1000000/P45,0)</f>
        <v>0</v>
      </c>
      <c r="Q88" s="461"/>
      <c r="R88" s="953"/>
      <c r="S88" s="935"/>
      <c r="T88" s="935"/>
      <c r="U88" s="935"/>
      <c r="V88" s="935"/>
      <c r="W88" s="935"/>
      <c r="X88" s="935"/>
      <c r="Y88" s="935"/>
      <c r="Z88" s="1426"/>
    </row>
    <row r="89" spans="1:26" ht="17.899999999999999" hidden="1" customHeight="1" outlineLevel="1" x14ac:dyDescent="0.35">
      <c r="A89" s="37"/>
      <c r="B89" s="1318" t="str">
        <f>IF('R-Definição'!$E$121="Existente","Custo para Disposição Aterro Sanitário","Custo calculado na Aba 'Aterro Sanitário'")</f>
        <v>Custo calculado na Aba 'Aterro Sanitário'</v>
      </c>
      <c r="C89" s="1252" t="s">
        <v>336</v>
      </c>
      <c r="D89" s="1398">
        <v>100</v>
      </c>
      <c r="E89" s="461"/>
      <c r="F89" s="1318" t="s">
        <v>833</v>
      </c>
      <c r="G89" s="1252" t="s">
        <v>285</v>
      </c>
      <c r="H89" s="1374">
        <f t="shared" si="3"/>
        <v>2.9892450712712475</v>
      </c>
      <c r="I89" s="148"/>
      <c r="J89" s="1299"/>
      <c r="K89" s="1252"/>
      <c r="L89" s="1375"/>
      <c r="M89" s="461"/>
      <c r="N89" s="1318" t="s">
        <v>644</v>
      </c>
      <c r="O89" s="473" t="s">
        <v>340</v>
      </c>
      <c r="P89" s="1416">
        <f>IF(AND(O65&lt;&gt;0,'R-Definição'!$J$65="Não"),O65*1000000/P46,0)</f>
        <v>2.2504304191462663</v>
      </c>
      <c r="Q89" s="461"/>
      <c r="R89" s="953"/>
      <c r="S89" s="935"/>
      <c r="T89" s="935"/>
      <c r="U89" s="935"/>
      <c r="V89" s="935"/>
      <c r="W89" s="935"/>
      <c r="X89" s="935"/>
      <c r="Y89" s="935"/>
      <c r="Z89" s="1426"/>
    </row>
    <row r="90" spans="1:26" ht="17.899999999999999" hidden="1" customHeight="1" outlineLevel="1" thickBot="1" x14ac:dyDescent="0.4">
      <c r="A90" s="37"/>
      <c r="B90" s="1318" t="s">
        <v>962</v>
      </c>
      <c r="C90" s="1252" t="s">
        <v>336</v>
      </c>
      <c r="D90" s="1398">
        <v>250</v>
      </c>
      <c r="E90" s="461"/>
      <c r="F90" s="1384" t="s">
        <v>961</v>
      </c>
      <c r="G90" s="825" t="s">
        <v>285</v>
      </c>
      <c r="H90" s="1385">
        <f>((P37)*D99+(P38)*D100+(P39)*D101+(P40)*D102+(P41)*D103+(P42)*D104)/1000000</f>
        <v>4.0220401880877734</v>
      </c>
      <c r="I90" s="148"/>
      <c r="J90" s="1299"/>
      <c r="K90" s="1252"/>
      <c r="L90" s="1375"/>
      <c r="M90" s="461"/>
      <c r="N90" s="1321" t="s">
        <v>483</v>
      </c>
      <c r="O90" s="1373" t="s">
        <v>340</v>
      </c>
      <c r="P90" s="1412">
        <f>IF(AND(O74&lt;&gt;0,'R-Definição'!$J$124="Sim"),O74*1000000/P47,0)</f>
        <v>6.6114688638192476</v>
      </c>
      <c r="Q90" s="461"/>
      <c r="R90" s="953"/>
      <c r="S90" s="935"/>
      <c r="T90" s="935"/>
      <c r="U90" s="935"/>
      <c r="V90" s="935"/>
      <c r="W90" s="935"/>
      <c r="X90" s="935"/>
      <c r="Y90" s="935"/>
      <c r="Z90" s="1426"/>
    </row>
    <row r="91" spans="1:26" ht="17.899999999999999" hidden="1" customHeight="1" outlineLevel="1" thickTop="1" x14ac:dyDescent="0.35">
      <c r="A91" s="37"/>
      <c r="B91" s="1318"/>
      <c r="C91" s="1252"/>
      <c r="D91" s="1403"/>
      <c r="E91" s="461"/>
      <c r="F91" s="1386" t="s">
        <v>838</v>
      </c>
      <c r="G91" s="265" t="s">
        <v>285</v>
      </c>
      <c r="H91" s="1377">
        <f>SUM(H82:H89)</f>
        <v>107.77625145958278</v>
      </c>
      <c r="I91" s="268"/>
      <c r="J91" s="1376" t="s">
        <v>562</v>
      </c>
      <c r="K91" s="265" t="s">
        <v>285</v>
      </c>
      <c r="L91" s="1377">
        <f>SUM(L82:L85)</f>
        <v>204.702</v>
      </c>
      <c r="M91" s="461"/>
      <c r="N91" s="268"/>
      <c r="O91" s="461"/>
      <c r="P91" s="461"/>
      <c r="Q91" s="461"/>
      <c r="R91" s="953"/>
      <c r="S91" s="935"/>
      <c r="T91" s="935"/>
      <c r="U91" s="935"/>
      <c r="V91" s="935"/>
      <c r="W91" s="935"/>
      <c r="X91" s="935"/>
      <c r="Y91" s="935"/>
      <c r="Z91" s="1426"/>
    </row>
    <row r="92" spans="1:26" ht="17.899999999999999" hidden="1" customHeight="1" outlineLevel="1" x14ac:dyDescent="0.35">
      <c r="A92" s="37"/>
      <c r="B92" s="1318"/>
      <c r="C92" s="1252"/>
      <c r="D92" s="1403"/>
      <c r="E92" s="461"/>
      <c r="F92" s="1299" t="s">
        <v>341</v>
      </c>
      <c r="G92" s="1252" t="s">
        <v>336</v>
      </c>
      <c r="H92" s="1355">
        <f>H91*1000000/D41</f>
        <v>114.77769058528517</v>
      </c>
      <c r="I92" s="148"/>
      <c r="J92" s="1318" t="s">
        <v>634</v>
      </c>
      <c r="K92" s="1252" t="s">
        <v>336</v>
      </c>
      <c r="L92" s="1355">
        <f>L91*1000000/D41</f>
        <v>218</v>
      </c>
      <c r="M92" s="461"/>
      <c r="N92" s="461"/>
      <c r="O92" s="461"/>
      <c r="P92" s="461"/>
      <c r="Q92" s="461"/>
      <c r="R92" s="953"/>
      <c r="S92" s="935"/>
      <c r="T92" s="935"/>
      <c r="U92" s="935"/>
      <c r="V92" s="935"/>
      <c r="W92" s="935"/>
      <c r="X92" s="935"/>
      <c r="Y92" s="935"/>
      <c r="Z92" s="1426"/>
    </row>
    <row r="93" spans="1:26" ht="17.899999999999999" hidden="1" customHeight="1" outlineLevel="1" thickBot="1" x14ac:dyDescent="0.4">
      <c r="A93" s="37"/>
      <c r="B93" s="1321"/>
      <c r="C93" s="1373"/>
      <c r="D93" s="1404"/>
      <c r="E93" s="461"/>
      <c r="F93" s="1301" t="s">
        <v>834</v>
      </c>
      <c r="G93" s="1302" t="s">
        <v>939</v>
      </c>
      <c r="H93" s="1378">
        <f>H92*($D$7*30/$D$6)</f>
        <v>4.1319968610702658</v>
      </c>
      <c r="I93" s="148"/>
      <c r="J93" s="1321" t="s">
        <v>835</v>
      </c>
      <c r="K93" s="1302" t="s">
        <v>292</v>
      </c>
      <c r="L93" s="1378">
        <f>L92*($D$7*30/$D$6)</f>
        <v>7.847999999999999</v>
      </c>
      <c r="M93" s="461"/>
      <c r="N93" s="461"/>
      <c r="O93" s="461"/>
      <c r="P93" s="461"/>
      <c r="Q93" s="461"/>
      <c r="R93" s="953"/>
      <c r="S93" s="935"/>
      <c r="T93" s="935"/>
      <c r="U93" s="935"/>
      <c r="V93" s="935"/>
      <c r="W93" s="935"/>
      <c r="X93" s="935"/>
      <c r="Y93" s="935"/>
      <c r="Z93" s="1426"/>
    </row>
    <row r="94" spans="1:26" ht="10.4" hidden="1" customHeight="1" outlineLevel="1" thickTop="1" thickBot="1" x14ac:dyDescent="0.4">
      <c r="A94" s="37"/>
      <c r="B94" s="818"/>
      <c r="C94" s="461"/>
      <c r="D94" s="461"/>
      <c r="E94" s="461"/>
      <c r="F94" s="818"/>
      <c r="G94" s="148"/>
      <c r="H94" s="148"/>
      <c r="I94" s="148"/>
      <c r="J94" s="148"/>
      <c r="K94" s="247"/>
      <c r="L94" s="148"/>
      <c r="M94" s="461"/>
      <c r="N94" s="461"/>
      <c r="O94" s="461"/>
      <c r="P94" s="461"/>
      <c r="Q94" s="461"/>
      <c r="R94" s="953"/>
      <c r="S94" s="935"/>
      <c r="T94" s="935"/>
      <c r="U94" s="935"/>
      <c r="V94" s="935"/>
      <c r="W94" s="935"/>
      <c r="X94" s="935"/>
      <c r="Y94" s="935"/>
      <c r="Z94" s="1426"/>
    </row>
    <row r="95" spans="1:26" s="817" customFormat="1" ht="20.149999999999999" hidden="1" customHeight="1" outlineLevel="1" thickTop="1" thickBot="1" x14ac:dyDescent="0.4">
      <c r="A95" s="43"/>
      <c r="B95" s="2080" t="s">
        <v>901</v>
      </c>
      <c r="C95" s="2081"/>
      <c r="D95" s="2081"/>
      <c r="E95" s="2081"/>
      <c r="F95" s="2081"/>
      <c r="G95" s="2081"/>
      <c r="H95" s="2081"/>
      <c r="I95" s="2081"/>
      <c r="J95" s="2081"/>
      <c r="K95" s="2081"/>
      <c r="L95" s="2082"/>
      <c r="M95" s="43"/>
      <c r="N95" s="43"/>
      <c r="O95" s="43"/>
      <c r="P95" s="43"/>
      <c r="Q95" s="43"/>
      <c r="R95" s="951"/>
      <c r="S95" s="952"/>
      <c r="T95" s="952"/>
      <c r="U95" s="952"/>
      <c r="V95" s="952"/>
      <c r="W95" s="952"/>
      <c r="X95" s="952"/>
      <c r="Y95" s="952"/>
      <c r="Z95" s="1432"/>
    </row>
    <row r="96" spans="1:26" ht="10.4" hidden="1" customHeight="1" outlineLevel="1" thickTop="1" thickBot="1" x14ac:dyDescent="0.4">
      <c r="A96" s="37"/>
      <c r="B96" s="818"/>
      <c r="C96" s="461"/>
      <c r="D96" s="461"/>
      <c r="E96" s="461"/>
      <c r="F96" s="105"/>
      <c r="G96" s="105"/>
      <c r="H96" s="105"/>
      <c r="I96" s="105"/>
      <c r="J96" s="105"/>
      <c r="K96" s="105"/>
      <c r="L96" s="105"/>
      <c r="M96" s="461"/>
      <c r="N96" s="461"/>
      <c r="O96" s="461"/>
      <c r="P96" s="461"/>
      <c r="Q96" s="461"/>
      <c r="R96" s="953"/>
      <c r="S96" s="935"/>
      <c r="T96" s="935"/>
      <c r="U96" s="935"/>
      <c r="V96" s="935"/>
      <c r="W96" s="935"/>
      <c r="X96" s="935"/>
      <c r="Y96" s="935"/>
      <c r="Z96" s="1426"/>
    </row>
    <row r="97" spans="1:26" s="817" customFormat="1" ht="20.149999999999999" hidden="1" customHeight="1" outlineLevel="1" thickTop="1" x14ac:dyDescent="0.35">
      <c r="A97" s="43"/>
      <c r="B97" s="1341" t="s">
        <v>623</v>
      </c>
      <c r="C97" s="1342" t="s">
        <v>281</v>
      </c>
      <c r="D97" s="1343" t="s">
        <v>282</v>
      </c>
      <c r="E97" s="43"/>
      <c r="F97" s="1324" t="s">
        <v>639</v>
      </c>
      <c r="G97" s="1325" t="s">
        <v>281</v>
      </c>
      <c r="H97" s="1285" t="s">
        <v>282</v>
      </c>
      <c r="I97" s="812"/>
      <c r="J97" s="1324" t="s">
        <v>636</v>
      </c>
      <c r="K97" s="1325" t="s">
        <v>281</v>
      </c>
      <c r="L97" s="1285" t="s">
        <v>282</v>
      </c>
      <c r="M97" s="43"/>
      <c r="N97" s="43"/>
      <c r="O97" s="43"/>
      <c r="P97" s="43"/>
      <c r="Q97" s="43"/>
      <c r="R97" s="951"/>
      <c r="S97" s="952"/>
      <c r="T97" s="952"/>
      <c r="U97" s="952"/>
      <c r="V97" s="952"/>
      <c r="W97" s="952"/>
      <c r="X97" s="952"/>
      <c r="Y97" s="952"/>
      <c r="Z97" s="1432"/>
    </row>
    <row r="98" spans="1:26" ht="17.899999999999999" hidden="1" customHeight="1" outlineLevel="1" x14ac:dyDescent="0.35">
      <c r="A98" s="37"/>
      <c r="B98" s="1318"/>
      <c r="C98" s="1252"/>
      <c r="D98" s="1403"/>
      <c r="E98" s="461"/>
      <c r="F98" s="1245" t="s">
        <v>629</v>
      </c>
      <c r="G98" s="223" t="s">
        <v>285</v>
      </c>
      <c r="H98" s="1405">
        <f>O79+H9</f>
        <v>241.7273188341139</v>
      </c>
      <c r="I98" s="148"/>
      <c r="J98" s="1245" t="s">
        <v>637</v>
      </c>
      <c r="K98" s="223" t="s">
        <v>285</v>
      </c>
      <c r="L98" s="1405">
        <f>H98+L91</f>
        <v>446.42931883411393</v>
      </c>
      <c r="M98" s="461"/>
      <c r="N98" s="461"/>
      <c r="O98" s="461"/>
      <c r="P98" s="461"/>
      <c r="Q98" s="461"/>
      <c r="R98" s="953"/>
      <c r="S98" s="935"/>
      <c r="T98" s="935"/>
      <c r="U98" s="935"/>
      <c r="V98" s="935"/>
      <c r="W98" s="935"/>
      <c r="X98" s="935"/>
      <c r="Y98" s="935"/>
      <c r="Z98" s="1426"/>
    </row>
    <row r="99" spans="1:26" ht="17.899999999999999" hidden="1" customHeight="1" outlineLevel="1" x14ac:dyDescent="0.35">
      <c r="A99" s="37"/>
      <c r="B99" s="1318" t="s">
        <v>941</v>
      </c>
      <c r="C99" s="473" t="s">
        <v>336</v>
      </c>
      <c r="D99" s="1413">
        <v>400</v>
      </c>
      <c r="E99" s="461"/>
      <c r="F99" s="1318" t="s">
        <v>629</v>
      </c>
      <c r="G99" s="1252" t="s">
        <v>336</v>
      </c>
      <c r="H99" s="1414">
        <f>H98*1000000/D41</f>
        <v>257.43058448787423</v>
      </c>
      <c r="I99" s="148"/>
      <c r="J99" s="1318" t="s">
        <v>638</v>
      </c>
      <c r="K99" s="1252" t="s">
        <v>336</v>
      </c>
      <c r="L99" s="1414">
        <f>L98*1000000/D41</f>
        <v>475.43058448787428</v>
      </c>
      <c r="M99" s="461"/>
      <c r="N99" s="461"/>
      <c r="O99" s="461"/>
      <c r="P99" s="461"/>
      <c r="Q99" s="461"/>
      <c r="R99" s="953"/>
      <c r="S99" s="935"/>
      <c r="T99" s="935"/>
      <c r="U99" s="935"/>
      <c r="V99" s="935"/>
      <c r="W99" s="935"/>
      <c r="X99" s="935"/>
      <c r="Y99" s="935"/>
      <c r="Z99" s="1426"/>
    </row>
    <row r="100" spans="1:26" ht="17.899999999999999" hidden="1" customHeight="1" outlineLevel="1" thickBot="1" x14ac:dyDescent="0.4">
      <c r="A100" s="37"/>
      <c r="B100" s="1318" t="s">
        <v>942</v>
      </c>
      <c r="C100" s="473" t="s">
        <v>336</v>
      </c>
      <c r="D100" s="1413">
        <v>500</v>
      </c>
      <c r="E100" s="461"/>
      <c r="F100" s="1321" t="s">
        <v>836</v>
      </c>
      <c r="G100" s="1302" t="s">
        <v>939</v>
      </c>
      <c r="H100" s="1415">
        <f>H99*($D$7*30/$D$6)</f>
        <v>9.267501041563472</v>
      </c>
      <c r="I100" s="148"/>
      <c r="J100" s="1321" t="s">
        <v>837</v>
      </c>
      <c r="K100" s="1302" t="s">
        <v>292</v>
      </c>
      <c r="L100" s="1415">
        <f>L99*($D$7*30/$D$6)</f>
        <v>17.115501041563473</v>
      </c>
      <c r="M100" s="461"/>
      <c r="N100" s="461"/>
      <c r="O100" s="461"/>
      <c r="P100" s="461"/>
      <c r="Q100" s="461"/>
      <c r="R100" s="953"/>
      <c r="S100" s="935"/>
      <c r="T100" s="935"/>
      <c r="U100" s="935"/>
      <c r="V100" s="935"/>
      <c r="W100" s="935"/>
      <c r="X100" s="935"/>
      <c r="Y100" s="935"/>
      <c r="Z100" s="1426"/>
    </row>
    <row r="101" spans="1:26" ht="17.899999999999999" hidden="1" customHeight="1" outlineLevel="1" thickTop="1" x14ac:dyDescent="0.35">
      <c r="A101" s="37"/>
      <c r="B101" s="1318" t="s">
        <v>943</v>
      </c>
      <c r="C101" s="473" t="s">
        <v>336</v>
      </c>
      <c r="D101" s="1413">
        <v>650</v>
      </c>
      <c r="E101" s="461"/>
      <c r="F101" s="148"/>
      <c r="G101" s="148"/>
      <c r="H101" s="148"/>
      <c r="I101" s="148"/>
      <c r="J101" s="148"/>
      <c r="K101" s="247"/>
      <c r="L101" s="148"/>
      <c r="M101" s="461"/>
      <c r="N101" s="461"/>
      <c r="O101" s="461"/>
      <c r="P101" s="461"/>
      <c r="Q101" s="461"/>
      <c r="R101" s="953"/>
      <c r="S101" s="935"/>
      <c r="T101" s="935"/>
      <c r="U101" s="935"/>
      <c r="V101" s="935"/>
      <c r="W101" s="935"/>
      <c r="X101" s="935"/>
      <c r="Y101" s="935"/>
      <c r="Z101" s="1426"/>
    </row>
    <row r="102" spans="1:26" ht="17.899999999999999" hidden="1" customHeight="1" outlineLevel="1" x14ac:dyDescent="0.35">
      <c r="A102" s="37"/>
      <c r="B102" s="1318" t="s">
        <v>624</v>
      </c>
      <c r="C102" s="263" t="s">
        <v>336</v>
      </c>
      <c r="D102" s="1413">
        <v>150</v>
      </c>
      <c r="E102" s="461"/>
      <c r="F102" s="145"/>
      <c r="G102" s="461"/>
      <c r="H102" s="461"/>
      <c r="I102" s="461"/>
      <c r="J102" s="461"/>
      <c r="K102" s="105"/>
      <c r="L102" s="461"/>
      <c r="M102" s="461"/>
      <c r="N102" s="461"/>
      <c r="O102" s="461"/>
      <c r="P102" s="461"/>
      <c r="Q102" s="461"/>
      <c r="R102" s="953"/>
      <c r="S102" s="935"/>
      <c r="T102" s="935"/>
      <c r="U102" s="935"/>
      <c r="V102" s="935"/>
      <c r="W102" s="935"/>
      <c r="X102" s="935"/>
      <c r="Y102" s="935"/>
      <c r="Z102" s="1426"/>
    </row>
    <row r="103" spans="1:26" ht="17.899999999999999" hidden="1" customHeight="1" outlineLevel="1" x14ac:dyDescent="0.35">
      <c r="A103" s="37"/>
      <c r="B103" s="1318" t="s">
        <v>944</v>
      </c>
      <c r="C103" s="1252" t="s">
        <v>336</v>
      </c>
      <c r="D103" s="1396">
        <v>120</v>
      </c>
      <c r="E103" s="461"/>
      <c r="F103" s="145"/>
      <c r="G103" s="461"/>
      <c r="H103" s="461"/>
      <c r="I103" s="461"/>
      <c r="J103" s="461"/>
      <c r="K103" s="105"/>
      <c r="L103" s="461"/>
      <c r="M103" s="461"/>
      <c r="N103" s="461"/>
      <c r="O103" s="461"/>
      <c r="P103" s="461"/>
      <c r="Q103" s="461"/>
      <c r="R103" s="953"/>
      <c r="S103" s="935"/>
      <c r="T103" s="935"/>
      <c r="U103" s="935"/>
      <c r="V103" s="935"/>
      <c r="W103" s="935"/>
      <c r="X103" s="935"/>
      <c r="Y103" s="935"/>
      <c r="Z103" s="1426"/>
    </row>
    <row r="104" spans="1:26" ht="17.899999999999999" hidden="1" customHeight="1" outlineLevel="1" x14ac:dyDescent="0.35">
      <c r="A104" s="37"/>
      <c r="B104" s="1318" t="s">
        <v>945</v>
      </c>
      <c r="C104" s="1252" t="s">
        <v>336</v>
      </c>
      <c r="D104" s="1413">
        <v>900</v>
      </c>
      <c r="E104" s="461"/>
      <c r="F104" s="145"/>
      <c r="G104" s="461"/>
      <c r="H104" s="461"/>
      <c r="I104" s="461"/>
      <c r="J104" s="461"/>
      <c r="K104" s="105"/>
      <c r="L104" s="461"/>
      <c r="M104" s="461"/>
      <c r="N104" s="461"/>
      <c r="O104" s="461"/>
      <c r="P104" s="461"/>
      <c r="Q104" s="461"/>
      <c r="R104" s="953"/>
      <c r="S104" s="935"/>
      <c r="T104" s="935"/>
      <c r="U104" s="935"/>
      <c r="V104" s="935"/>
      <c r="W104" s="935"/>
      <c r="X104" s="935"/>
      <c r="Y104" s="935"/>
      <c r="Z104" s="1426"/>
    </row>
    <row r="105" spans="1:26" ht="17.899999999999999" hidden="1" customHeight="1" outlineLevel="1" x14ac:dyDescent="0.35">
      <c r="A105" s="37"/>
      <c r="B105" s="1318"/>
      <c r="C105" s="1252"/>
      <c r="D105" s="1403"/>
      <c r="E105" s="461"/>
      <c r="F105" s="145"/>
      <c r="G105" s="461"/>
      <c r="H105" s="461"/>
      <c r="I105" s="461"/>
      <c r="J105" s="461"/>
      <c r="K105" s="105"/>
      <c r="L105" s="461"/>
      <c r="M105" s="461"/>
      <c r="N105" s="461"/>
      <c r="O105" s="461"/>
      <c r="P105" s="461"/>
      <c r="Q105" s="461"/>
      <c r="R105" s="953"/>
      <c r="S105" s="935"/>
      <c r="T105" s="935"/>
      <c r="U105" s="935"/>
      <c r="V105" s="935"/>
      <c r="W105" s="935"/>
      <c r="X105" s="935"/>
      <c r="Y105" s="935"/>
      <c r="Z105" s="1426"/>
    </row>
    <row r="106" spans="1:26" ht="17.899999999999999" hidden="1" customHeight="1" outlineLevel="1" x14ac:dyDescent="0.35">
      <c r="A106" s="37"/>
      <c r="B106" s="1318" t="s">
        <v>1039</v>
      </c>
      <c r="C106" s="1252" t="s">
        <v>336</v>
      </c>
      <c r="D106" s="1396">
        <v>25</v>
      </c>
      <c r="E106" s="461"/>
      <c r="F106" s="145"/>
      <c r="G106" s="461"/>
      <c r="H106" s="461"/>
      <c r="I106" s="461"/>
      <c r="J106" s="461"/>
      <c r="K106" s="105"/>
      <c r="L106" s="461"/>
      <c r="M106" s="461"/>
      <c r="N106" s="461"/>
      <c r="O106" s="461"/>
      <c r="P106" s="461"/>
      <c r="Q106" s="461"/>
      <c r="R106" s="953"/>
      <c r="S106" s="935"/>
      <c r="T106" s="935"/>
      <c r="U106" s="935"/>
      <c r="V106" s="935"/>
      <c r="W106" s="935"/>
      <c r="X106" s="935"/>
      <c r="Y106" s="935"/>
      <c r="Z106" s="1426"/>
    </row>
    <row r="107" spans="1:26" ht="17.899999999999999" hidden="1" customHeight="1" outlineLevel="1" x14ac:dyDescent="0.35">
      <c r="A107" s="37"/>
      <c r="B107" s="1318" t="s">
        <v>1040</v>
      </c>
      <c r="C107" s="1252" t="s">
        <v>336</v>
      </c>
      <c r="D107" s="1396">
        <v>0</v>
      </c>
      <c r="E107" s="461"/>
      <c r="F107" s="145"/>
      <c r="G107" s="461"/>
      <c r="H107" s="461"/>
      <c r="I107" s="461"/>
      <c r="J107" s="461"/>
      <c r="K107" s="105"/>
      <c r="L107" s="461"/>
      <c r="M107" s="461"/>
      <c r="N107" s="461"/>
      <c r="O107" s="461"/>
      <c r="P107" s="461"/>
      <c r="Q107" s="461"/>
      <c r="R107" s="953"/>
      <c r="S107" s="935"/>
      <c r="T107" s="935"/>
      <c r="U107" s="935"/>
      <c r="V107" s="935"/>
      <c r="W107" s="935"/>
      <c r="X107" s="935"/>
      <c r="Y107" s="935"/>
      <c r="Z107" s="1426"/>
    </row>
    <row r="108" spans="1:26" ht="17.899999999999999" hidden="1" customHeight="1" outlineLevel="1" x14ac:dyDescent="0.35">
      <c r="A108" s="37"/>
      <c r="B108" s="1318"/>
      <c r="C108" s="1252"/>
      <c r="D108" s="1403"/>
      <c r="E108" s="461"/>
      <c r="F108" s="145"/>
      <c r="G108" s="461"/>
      <c r="H108" s="461"/>
      <c r="I108" s="461"/>
      <c r="J108" s="461"/>
      <c r="K108" s="105"/>
      <c r="L108" s="461"/>
      <c r="M108" s="461"/>
      <c r="N108" s="461"/>
      <c r="O108" s="461"/>
      <c r="P108" s="461"/>
      <c r="Q108" s="461"/>
      <c r="R108" s="953"/>
      <c r="S108" s="935"/>
      <c r="T108" s="935"/>
      <c r="U108" s="935"/>
      <c r="V108" s="935"/>
      <c r="W108" s="935"/>
      <c r="X108" s="935"/>
      <c r="Y108" s="935"/>
      <c r="Z108" s="1426"/>
    </row>
    <row r="109" spans="1:26" ht="17.899999999999999" hidden="1" customHeight="1" outlineLevel="1" x14ac:dyDescent="0.35">
      <c r="A109" s="37"/>
      <c r="B109" s="1318" t="s">
        <v>946</v>
      </c>
      <c r="C109" s="1252" t="s">
        <v>336</v>
      </c>
      <c r="D109" s="1396">
        <f>D110*1.4</f>
        <v>125.99999999999999</v>
      </c>
      <c r="E109" s="461"/>
      <c r="F109" s="145"/>
      <c r="G109" s="461"/>
      <c r="H109" s="461"/>
      <c r="I109" s="461"/>
      <c r="J109" s="461"/>
      <c r="K109" s="105"/>
      <c r="L109" s="461"/>
      <c r="M109" s="461"/>
      <c r="N109" s="461"/>
      <c r="O109" s="461"/>
      <c r="P109" s="461"/>
      <c r="Q109" s="461"/>
      <c r="R109" s="953"/>
      <c r="S109" s="935"/>
      <c r="T109" s="935"/>
      <c r="U109" s="935"/>
      <c r="V109" s="935"/>
      <c r="W109" s="935"/>
      <c r="X109" s="935"/>
      <c r="Y109" s="935"/>
      <c r="Z109" s="1426"/>
    </row>
    <row r="110" spans="1:26" ht="17.899999999999999" hidden="1" customHeight="1" outlineLevel="1" x14ac:dyDescent="0.35">
      <c r="A110" s="37"/>
      <c r="B110" s="1318" t="s">
        <v>947</v>
      </c>
      <c r="C110" s="1252" t="s">
        <v>336</v>
      </c>
      <c r="D110" s="1396">
        <v>90</v>
      </c>
      <c r="E110" s="461"/>
      <c r="F110" s="145"/>
      <c r="G110" s="461"/>
      <c r="H110" s="461"/>
      <c r="I110" s="461"/>
      <c r="J110" s="461"/>
      <c r="K110" s="105"/>
      <c r="L110" s="461"/>
      <c r="M110" s="461"/>
      <c r="N110" s="461"/>
      <c r="O110" s="461"/>
      <c r="P110" s="461"/>
      <c r="Q110" s="461"/>
      <c r="R110" s="953"/>
      <c r="S110" s="935"/>
      <c r="T110" s="935"/>
      <c r="U110" s="935"/>
      <c r="V110" s="935"/>
      <c r="W110" s="935"/>
      <c r="X110" s="935"/>
      <c r="Y110" s="935"/>
      <c r="Z110" s="1426"/>
    </row>
    <row r="111" spans="1:26" ht="17.899999999999999" hidden="1" customHeight="1" outlineLevel="1" x14ac:dyDescent="0.35">
      <c r="A111" s="37"/>
      <c r="B111" s="1318"/>
      <c r="C111" s="1252"/>
      <c r="D111" s="1403"/>
      <c r="E111" s="461"/>
      <c r="F111" s="145"/>
      <c r="G111" s="461"/>
      <c r="H111" s="461"/>
      <c r="I111" s="461"/>
      <c r="J111" s="461"/>
      <c r="K111" s="105"/>
      <c r="L111" s="461"/>
      <c r="M111" s="461"/>
      <c r="N111" s="461"/>
      <c r="O111" s="461"/>
      <c r="P111" s="461"/>
      <c r="Q111" s="461"/>
      <c r="R111" s="953"/>
      <c r="S111" s="935"/>
      <c r="T111" s="935"/>
      <c r="U111" s="935"/>
      <c r="V111" s="935"/>
      <c r="W111" s="935"/>
      <c r="X111" s="935"/>
      <c r="Y111" s="935"/>
      <c r="Z111" s="1426"/>
    </row>
    <row r="112" spans="1:26" ht="17.899999999999999" hidden="1" customHeight="1" outlineLevel="1" x14ac:dyDescent="0.35">
      <c r="A112" s="37"/>
      <c r="B112" s="1318" t="s">
        <v>948</v>
      </c>
      <c r="C112" s="1252" t="s">
        <v>325</v>
      </c>
      <c r="D112" s="1396">
        <v>175</v>
      </c>
      <c r="E112" s="461"/>
      <c r="F112" s="145"/>
      <c r="G112" s="461"/>
      <c r="H112" s="461"/>
      <c r="I112" s="461"/>
      <c r="J112" s="461"/>
      <c r="K112" s="105"/>
      <c r="L112" s="461"/>
      <c r="M112" s="461"/>
      <c r="N112" s="461"/>
      <c r="O112" s="461"/>
      <c r="P112" s="461"/>
      <c r="Q112" s="461"/>
      <c r="R112" s="953"/>
      <c r="S112" s="935"/>
      <c r="T112" s="935"/>
      <c r="U112" s="935"/>
      <c r="V112" s="935"/>
      <c r="W112" s="935"/>
      <c r="X112" s="935"/>
      <c r="Y112" s="935"/>
      <c r="Z112" s="1426"/>
    </row>
    <row r="113" spans="1:26" ht="17.899999999999999" hidden="1" customHeight="1" outlineLevel="1" x14ac:dyDescent="0.35">
      <c r="A113" s="37"/>
      <c r="B113" s="1318" t="s">
        <v>949</v>
      </c>
      <c r="C113" s="1252" t="s">
        <v>325</v>
      </c>
      <c r="D113" s="1396">
        <v>175</v>
      </c>
      <c r="E113" s="461"/>
      <c r="F113" s="145"/>
      <c r="G113" s="461"/>
      <c r="H113" s="461"/>
      <c r="I113" s="461"/>
      <c r="J113" s="461"/>
      <c r="K113" s="105"/>
      <c r="L113" s="461"/>
      <c r="M113" s="461"/>
      <c r="N113" s="461"/>
      <c r="O113" s="461"/>
      <c r="P113" s="461"/>
      <c r="Q113" s="461"/>
      <c r="R113" s="953"/>
      <c r="S113" s="935"/>
      <c r="T113" s="935"/>
      <c r="U113" s="935"/>
      <c r="V113" s="935"/>
      <c r="W113" s="935"/>
      <c r="X113" s="935"/>
      <c r="Y113" s="935"/>
      <c r="Z113" s="1426"/>
    </row>
    <row r="114" spans="1:26" ht="17.899999999999999" hidden="1" customHeight="1" outlineLevel="1" x14ac:dyDescent="0.35">
      <c r="A114" s="37"/>
      <c r="B114" s="1318"/>
      <c r="C114" s="1252"/>
      <c r="D114" s="1403"/>
      <c r="E114" s="461"/>
      <c r="F114" s="145"/>
      <c r="G114" s="461"/>
      <c r="H114" s="461"/>
      <c r="I114" s="461"/>
      <c r="J114" s="461"/>
      <c r="K114" s="105"/>
      <c r="L114" s="461"/>
      <c r="M114" s="461"/>
      <c r="N114" s="461"/>
      <c r="O114" s="461"/>
      <c r="P114" s="461"/>
      <c r="Q114" s="461"/>
      <c r="R114" s="953"/>
      <c r="S114" s="935"/>
      <c r="T114" s="935"/>
      <c r="U114" s="935"/>
      <c r="V114" s="935"/>
      <c r="W114" s="935"/>
      <c r="X114" s="935"/>
      <c r="Y114" s="935"/>
      <c r="Z114" s="1426"/>
    </row>
    <row r="115" spans="1:26" ht="17.899999999999999" hidden="1" customHeight="1" outlineLevel="1" x14ac:dyDescent="0.35">
      <c r="A115" s="37"/>
      <c r="B115" s="1318" t="s">
        <v>963</v>
      </c>
      <c r="C115" s="1252" t="s">
        <v>340</v>
      </c>
      <c r="D115" s="1396">
        <v>1.1499999999999999</v>
      </c>
      <c r="E115" s="461"/>
      <c r="F115" s="145"/>
      <c r="G115" s="461"/>
      <c r="H115" s="461"/>
      <c r="I115" s="461"/>
      <c r="J115" s="461"/>
      <c r="K115" s="105"/>
      <c r="L115" s="461"/>
      <c r="M115" s="461"/>
      <c r="N115" s="461"/>
      <c r="O115" s="461"/>
      <c r="P115" s="461"/>
      <c r="Q115" s="461"/>
      <c r="R115" s="953"/>
      <c r="S115" s="935"/>
      <c r="T115" s="935"/>
      <c r="U115" s="935"/>
      <c r="V115" s="935"/>
      <c r="W115" s="935"/>
      <c r="X115" s="935"/>
      <c r="Y115" s="935"/>
      <c r="Z115" s="1426"/>
    </row>
    <row r="116" spans="1:26" ht="17.899999999999999" hidden="1" customHeight="1" outlineLevel="1" thickBot="1" x14ac:dyDescent="0.4">
      <c r="A116" s="37"/>
      <c r="B116" s="1321" t="s">
        <v>950</v>
      </c>
      <c r="C116" s="1302" t="s">
        <v>340</v>
      </c>
      <c r="D116" s="1401">
        <v>1.1499999999999999</v>
      </c>
      <c r="E116" s="461"/>
      <c r="F116" s="145"/>
      <c r="G116" s="461"/>
      <c r="H116" s="461"/>
      <c r="I116" s="461"/>
      <c r="J116" s="461"/>
      <c r="K116" s="105"/>
      <c r="L116" s="461"/>
      <c r="M116" s="461"/>
      <c r="N116" s="461"/>
      <c r="O116" s="461"/>
      <c r="P116" s="461"/>
      <c r="Q116" s="461"/>
      <c r="R116" s="953"/>
      <c r="S116" s="935"/>
      <c r="T116" s="935"/>
      <c r="U116" s="935"/>
      <c r="V116" s="935"/>
      <c r="W116" s="935"/>
      <c r="X116" s="935"/>
      <c r="Y116" s="935"/>
      <c r="Z116" s="1426"/>
    </row>
    <row r="117" spans="1:26" ht="18" customHeight="1" x14ac:dyDescent="0.35">
      <c r="B117" s="82"/>
      <c r="C117" s="82"/>
      <c r="D117" s="82"/>
      <c r="E117" s="82"/>
      <c r="F117" s="82"/>
      <c r="G117" s="82"/>
      <c r="H117" s="82"/>
      <c r="I117" s="82"/>
      <c r="J117" s="82"/>
      <c r="K117" s="229"/>
      <c r="L117" s="82"/>
      <c r="M117" s="82"/>
      <c r="N117" s="82"/>
      <c r="O117" s="82"/>
      <c r="P117" s="82"/>
      <c r="Q117" s="82"/>
      <c r="R117" s="954"/>
    </row>
  </sheetData>
  <sheetProtection algorithmName="SHA-512" hashValue="WVAifUOXltFKSbLUJ96aRnZH3D1iBqcu5TIE/l8IKL2NmT3+HSRVHu6hZJl1ZGHvuAwtUrdQVbpgLpcybzeXkg==" saltValue="M7MxoHHHOkcq22PWAb8ILw==" spinCount="100000" sheet="1" formatRows="0" sort="0" autoFilter="0"/>
  <mergeCells count="8">
    <mergeCell ref="B95:L95"/>
    <mergeCell ref="G2:H2"/>
    <mergeCell ref="G3:H3"/>
    <mergeCell ref="F79:G79"/>
    <mergeCell ref="C59:D59"/>
    <mergeCell ref="C67:D67"/>
    <mergeCell ref="C3:D3"/>
    <mergeCell ref="C2:D2"/>
  </mergeCells>
  <conditionalFormatting sqref="F21">
    <cfRule type="expression" dxfId="546" priority="80">
      <formula>$D$24="Sim"</formula>
    </cfRule>
  </conditionalFormatting>
  <conditionalFormatting sqref="F21">
    <cfRule type="expression" dxfId="545" priority="81">
      <formula>$D$24="Não"</formula>
    </cfRule>
  </conditionalFormatting>
  <conditionalFormatting sqref="G21">
    <cfRule type="expression" dxfId="544" priority="82">
      <formula>$D$24="Sim"</formula>
    </cfRule>
  </conditionalFormatting>
  <conditionalFormatting sqref="G21">
    <cfRule type="expression" dxfId="543" priority="83">
      <formula>$D$24="Não"</formula>
    </cfRule>
  </conditionalFormatting>
  <conditionalFormatting sqref="H21">
    <cfRule type="expression" dxfId="542" priority="78">
      <formula>$D$24="Sim"</formula>
    </cfRule>
  </conditionalFormatting>
  <conditionalFormatting sqref="H21">
    <cfRule type="expression" dxfId="541" priority="79">
      <formula>$D$24="Não"</formula>
    </cfRule>
  </conditionalFormatting>
  <dataValidations count="1">
    <dataValidation type="list" allowBlank="1" showErrorMessage="1" sqref="D24:D25" xr:uid="{00000000-0002-0000-0700-000000000000}">
      <formula1>$G$1:$H$1</formula1>
    </dataValidation>
  </dataValidations>
  <pageMargins left="0.511811024" right="0.511811024" top="0.78740157499999996" bottom="0.78740157499999996" header="0" footer="0"/>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7" id="{44D1F664-A8DF-429F-9927-6E327F9E0BCF}">
            <xm:f>'R-Definição'!$E$121="Novo"</xm:f>
            <x14:dxf>
              <font>
                <color theme="0"/>
              </font>
              <fill>
                <patternFill>
                  <fgColor theme="0"/>
                  <bgColor theme="0"/>
                </patternFill>
              </fill>
            </x14:dxf>
          </x14:cfRule>
          <xm:sqref>D89</xm:sqref>
        </x14:conditionalFormatting>
        <x14:conditionalFormatting xmlns:xm="http://schemas.microsoft.com/office/excel/2006/main">
          <x14:cfRule type="expression" priority="75" id="{4E71E07F-21EC-48CA-912C-5D2C337C4921}">
            <xm:f>'R-Definição'!$O$120="Não"</xm:f>
            <x14:dxf>
              <font>
                <color theme="0"/>
              </font>
              <fill>
                <patternFill>
                  <bgColor theme="0"/>
                </patternFill>
              </fill>
            </x14:dxf>
          </x14:cfRule>
          <x14:cfRule type="expression" priority="76" id="{25B0FA59-5FC4-40C1-8F3F-DE3CCB052AC2}">
            <xm:f>'R-Definição'!$O$120="Sim"</xm:f>
            <x14:dxf>
              <font>
                <color theme="1"/>
              </font>
              <fill>
                <patternFill>
                  <fgColor theme="0"/>
                  <bgColor theme="9" tint="0.59996337778862885"/>
                </patternFill>
              </fill>
            </x14:dxf>
          </x14:cfRule>
          <xm:sqref>D85</xm:sqref>
        </x14:conditionalFormatting>
        <x14:conditionalFormatting xmlns:xm="http://schemas.microsoft.com/office/excel/2006/main">
          <x14:cfRule type="expression" priority="70" id="{62C51CFD-D34F-41A2-A504-80A65B2878FA}">
            <xm:f>AND('C-Incineração'!$L$2="Sim",'C-Incineração'!$D$2&gt;'C-Incineração'!$D$11,'C-Incineração'!$D$2&lt;'C-Incineração'!$V$11)</xm:f>
            <x14:dxf>
              <font>
                <color theme="0"/>
              </font>
              <fill>
                <patternFill>
                  <bgColor theme="9" tint="-0.499984740745262"/>
                </patternFill>
              </fill>
            </x14:dxf>
          </x14:cfRule>
          <x14:cfRule type="expression" priority="73" id="{87335FA5-6859-4D00-9F75-2008ED579D78}">
            <xm:f>AND('C-Incineração'!$L$2="Sim",'C-Incineração'!$D$2&lt;'C-Incineração'!$D$11)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74" id="{42967DF4-F8B0-4F39-BB51-A16F944667DB}">
            <xm:f>AND('C-Incineração'!$L$2="Sim",'C-Incineração'!$D$2&gt;'C-Incineração'!$V$11)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F71:H71</xm:sqref>
        </x14:conditionalFormatting>
        <x14:conditionalFormatting xmlns:xm="http://schemas.microsoft.com/office/excel/2006/main">
          <x14:cfRule type="expression" priority="67" id="{44E07936-3EB3-4C5E-96F2-6EA00DDEF825}">
            <xm:f>AND('C-Aterro Sanitário'!$L$2="Sim",'C-Aterro Sanitário'!$D$2&gt;'C-Aterro Sanitário'!$D$11,'C-Aterro Sanitário'!$D$2&lt;'C-Aterro Sanitário'!$V$11)</xm:f>
            <x14:dxf>
              <font>
                <color theme="0"/>
              </font>
              <fill>
                <patternFill>
                  <bgColor theme="9" tint="-0.499984740745262"/>
                </patternFill>
              </fill>
            </x14:dxf>
          </x14:cfRule>
          <x14:cfRule type="expression" priority="68" id="{36247E30-33F2-4316-858C-24E188A30D93}">
            <xm:f>AND('C-Aterro Sanitário'!$L$2="Sim",'C-Aterro Sanitário'!$D$2&lt;'C-Aterro Sanitário'!$D$11)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69" id="{A9AC2CF3-0086-4D70-ABDC-F290CCE092A0}">
            <xm:f>AND('C-Aterro Sanitário'!$L$2="Sim",'C-Aterro Sanitário'!$D$2&gt;'C-Aterro Sanitário'!$V$11)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F74:H74</xm:sqref>
        </x14:conditionalFormatting>
        <x14:conditionalFormatting xmlns:xm="http://schemas.microsoft.com/office/excel/2006/main">
          <x14:cfRule type="expression" priority="64" id="{0072DF9C-40FE-4438-8CE0-F391D02E4565}">
            <xm:f>AND('C-Compostagem'!$L$2="Sim",'C-Compostagem'!$D$2&gt;'C-Compostagem'!$D$11,'C-Compostagem'!$D$2&lt;'C-Compostagem'!$V$11)</xm:f>
            <x14:dxf>
              <font>
                <color theme="0"/>
              </font>
              <fill>
                <patternFill>
                  <bgColor theme="9" tint="-0.499984740745262"/>
                </patternFill>
              </fill>
            </x14:dxf>
          </x14:cfRule>
          <x14:cfRule type="expression" priority="65" id="{5C15EE4B-D7D2-42DB-829F-AC0BA1C62052}">
            <xm:f>AND('C-Compostagem'!$L$2="Sim",'C-Compostagem'!$D$2&lt;'C-Compostagem'!$D$11)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66" id="{64C9AB3D-0A69-4BC5-B833-395039ECF68F}">
            <xm:f>AND('C-Compostagem'!$L$2="Sim",'C-Compostagem'!$D$2&gt;'C-Compostagem'!$V$11)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F68:H68</xm:sqref>
        </x14:conditionalFormatting>
        <x14:conditionalFormatting xmlns:xm="http://schemas.microsoft.com/office/excel/2006/main">
          <x14:cfRule type="expression" priority="61" id="{62D91397-1A68-4E58-8A96-E196F945A9FF}">
            <xm:f>AND('C-Biodigestão'!$L$2="Sim",'C-Biodigestão'!$D$2&gt;'C-Biodigestão'!$D$11,'C-Biodigestão'!$D$2&lt;'C-Biodigestão'!$V$11)</xm:f>
            <x14:dxf>
              <font>
                <color theme="0"/>
              </font>
              <fill>
                <patternFill>
                  <bgColor theme="9" tint="-0.499984740745262"/>
                </patternFill>
              </fill>
            </x14:dxf>
          </x14:cfRule>
          <x14:cfRule type="expression" priority="62" id="{16752D51-4DEE-4ABD-B459-0C8300C21628}">
            <xm:f>AND('C-Biodigestão'!$L$2="Sim",'C-Biodigestão'!$D$2&lt;'C-Biodigestão'!$D$11)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63" id="{56ADFCC1-7CF7-4847-9B81-9A9FA47F2957}">
            <xm:f>AND('C-Biodigestão'!$L$2="Sim",'C-Biodigestão'!$D$2&gt;'C-Biodigestão'!$V$11)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F65:H65 J65:L65 N65:P65</xm:sqref>
        </x14:conditionalFormatting>
        <x14:conditionalFormatting xmlns:xm="http://schemas.microsoft.com/office/excel/2006/main">
          <x14:cfRule type="expression" priority="58" id="{DD9DB42E-3881-4155-947A-7D36F3FA007F}">
            <xm:f>AND('C-Produção CDR-TMB'!$L$2="Sim",'C-Produção CDR-TMB'!$D$2&gt;'C-Produção CDR-TMB'!$D$11,'C-Produção CDR-TMB'!$D$2&lt;'C-Produção CDR-TMB'!$V$11)</xm:f>
            <x14:dxf>
              <font>
                <color theme="0"/>
              </font>
              <fill>
                <patternFill>
                  <bgColor theme="9" tint="-0.499984740745262"/>
                </patternFill>
              </fill>
            </x14:dxf>
          </x14:cfRule>
          <x14:cfRule type="expression" priority="59" id="{855C2184-B3CB-4C92-B1E2-5D8C1CF8CA66}">
            <xm:f>AND('C-Produção CDR-TMB'!$L$2="Sim",'C-Produção CDR-TMB'!$D$2&lt;'C-Produção CDR-TMB'!$D$11)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60" id="{F2B11AF7-F105-44B8-A203-DEB0D3D0420E}">
            <xm:f>AND('C-Produção CDR-TMB'!$L$2="Sim",'C-Produção CDR-TMB'!$D$2&gt;'C-Produção CDR-TMB'!$V$11)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F62:H62</xm:sqref>
        </x14:conditionalFormatting>
        <x14:conditionalFormatting xmlns:xm="http://schemas.microsoft.com/office/excel/2006/main">
          <x14:cfRule type="expression" priority="55" id="{DA68CBBD-CC3D-4101-97AF-8FB710A66B51}">
            <xm:f>AND('C-Produção CDR-TM'!$L$2="Sim",'C-Produção CDR-TM'!$D$2&gt;'C-Produção CDR-TM'!$D$11,'C-Produção CDR-TM'!$D$2&lt;'C-Produção CDR-TM'!$V$11)</xm:f>
            <x14:dxf>
              <font>
                <color theme="0"/>
              </font>
              <fill>
                <patternFill>
                  <bgColor theme="9" tint="-0.499984740745262"/>
                </patternFill>
              </fill>
            </x14:dxf>
          </x14:cfRule>
          <x14:cfRule type="expression" priority="56" id="{15120D03-E321-41E6-BEBF-0BF632D68297}">
            <xm:f>AND('C-Produção CDR-TM'!$L$2="Sim",'C-Produção CDR-TM'!$D$2&lt;'C-Produção CDR-TM'!$D$11)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57" id="{745B93D2-EBBA-47F1-9ED2-CCAB74E666C7}">
            <xm:f>AND('C-Produção CDR-TM'!$L$2="Sim",'C-Produção CDR-TM'!$D$2&gt;'C-Produção CDR-TM'!$V$11)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F59:H59</xm:sqref>
        </x14:conditionalFormatting>
        <x14:conditionalFormatting xmlns:xm="http://schemas.microsoft.com/office/excel/2006/main">
          <x14:cfRule type="expression" priority="52" id="{8492DC40-3E9B-4FE3-86B3-2149AC2DFDB2}">
            <xm:f>AND('C-Triagem Mec'!$L$2="Sim",'C-Triagem Mec'!$D$2&gt;'C-Triagem Mec'!$D$11,'C-Triagem Mec'!$D$2&lt;'C-Triagem Mec'!$V$11)</xm:f>
            <x14:dxf>
              <font>
                <color theme="0"/>
              </font>
              <fill>
                <patternFill>
                  <bgColor theme="9" tint="-0.499984740745262"/>
                </patternFill>
              </fill>
            </x14:dxf>
          </x14:cfRule>
          <x14:cfRule type="expression" priority="53" id="{CB59B2CA-9320-41F1-ACC5-FAB6AF7FE353}">
            <xm:f>AND('C-Triagem Mec'!$L$2="Sim",'C-Triagem Mec'!$D$2&lt;'C-Triagem Mec'!$D$11)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54" id="{04584D22-7FA9-42AD-BB23-58AEC1898A59}">
            <xm:f>AND('C-Triagem Mec'!$L$2="Sim",'C-Triagem Mec'!$D$2&gt;'C-Triagem Mec'!$V$11)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F56:H56</xm:sqref>
        </x14:conditionalFormatting>
        <x14:conditionalFormatting xmlns:xm="http://schemas.microsoft.com/office/excel/2006/main">
          <x14:cfRule type="expression" priority="49" id="{B96A3A79-48BC-4035-B041-02AD8F220C2D}">
            <xm:f>AND('C-Triagem Man'!$L$2="Sim",'C-Triagem Man'!$D$2&gt;'C-Triagem Man'!$D$11,'C-Triagem Man'!$D$2&lt;'C-Triagem Man'!$V$11)</xm:f>
            <x14:dxf>
              <font>
                <color theme="0"/>
              </font>
              <fill>
                <patternFill>
                  <bgColor theme="9" tint="-0.499984740745262"/>
                </patternFill>
              </fill>
            </x14:dxf>
          </x14:cfRule>
          <x14:cfRule type="expression" priority="50" id="{AE7089B8-1D2E-4765-8DC8-6383D1FBDB9B}">
            <xm:f>AND('C-Triagem Man'!$L$2="Sim",'C-Triagem Man'!$D$2&lt;'C-Triagem Man'!$D$11)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51" id="{1631F034-074A-4C83-BD83-9D15B630B765}">
            <xm:f>AND('C-Triagem Man'!$L$2="Sim",'C-Triagem Man'!$D$2&gt;'C-Triagem Man'!$V$11)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F53:H53</xm:sqref>
        </x14:conditionalFormatting>
        <x14:conditionalFormatting xmlns:xm="http://schemas.microsoft.com/office/excel/2006/main">
          <x14:cfRule type="expression" priority="46" id="{76B3E0A3-97C8-43CB-987C-FA964B899637}">
            <xm:f>AND('C-Triagem Man'!$L$2="Sim",'C-Triagem Man'!$D$2&gt;'C-Triagem Man'!$D$11,'C-Triagem Man'!$D$2&lt;'C-Triagem Man'!$V$11)</xm:f>
            <x14:dxf>
              <font>
                <color theme="0"/>
              </font>
              <fill>
                <patternFill>
                  <bgColor theme="9" tint="-0.499984740745262"/>
                </patternFill>
              </fill>
            </x14:dxf>
          </x14:cfRule>
          <x14:cfRule type="expression" priority="47" id="{A0324EF2-54A6-4594-B640-B4DC32AC0EFD}">
            <xm:f>AND('C-Triagem Man'!$L$2="Sim",'C-Triagem Man'!$D$2&lt;'C-Triagem Man'!$D$11)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48" id="{3AC6007E-B921-4A01-821F-5785CB47882A}">
            <xm:f>AND('C-Triagem Man'!$L$2="Sim",'C-Triagem Man'!$D$2&gt;'C-Triagem Man'!$V$11)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J53:L53</xm:sqref>
        </x14:conditionalFormatting>
        <x14:conditionalFormatting xmlns:xm="http://schemas.microsoft.com/office/excel/2006/main">
          <x14:cfRule type="expression" priority="43" id="{C9BEBD8E-5973-42DA-A071-A2E043161071}">
            <xm:f>AND('C-Triagem Mec'!$L$2="Sim",'C-Triagem Mec'!$D$2&gt;'C-Triagem Mec'!$D$11,'C-Triagem Mec'!$D$2&lt;'C-Triagem Mec'!$V$11)</xm:f>
            <x14:dxf>
              <font>
                <color theme="0"/>
              </font>
              <fill>
                <patternFill>
                  <bgColor theme="9" tint="-0.499984740745262"/>
                </patternFill>
              </fill>
            </x14:dxf>
          </x14:cfRule>
          <x14:cfRule type="expression" priority="44" id="{E76FAED3-D5B6-4F49-BADA-31212A513CF2}">
            <xm:f>AND('C-Triagem Mec'!$L$2="Sim",'C-Triagem Mec'!$D$2&lt;'C-Triagem Mec'!$D$11)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45" id="{9423A82B-11E9-46A5-B0F1-2537F70F6A92}">
            <xm:f>AND('C-Triagem Mec'!$L$2="Sim",'C-Triagem Mec'!$D$2&gt;'C-Triagem Mec'!$V$11)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J56:L56</xm:sqref>
        </x14:conditionalFormatting>
        <x14:conditionalFormatting xmlns:xm="http://schemas.microsoft.com/office/excel/2006/main">
          <x14:cfRule type="expression" priority="40" id="{F9BC2333-D81F-4911-8720-21AEB4666DCA}">
            <xm:f>AND('C-Produção CDR-TM'!$L$2="Sim",'C-Produção CDR-TM'!$D$2&gt;'C-Produção CDR-TM'!$D$11,'C-Produção CDR-TM'!$D$2&lt;'C-Produção CDR-TM'!$V$11)</xm:f>
            <x14:dxf>
              <font>
                <color theme="0"/>
              </font>
              <fill>
                <patternFill>
                  <bgColor theme="9" tint="-0.499984740745262"/>
                </patternFill>
              </fill>
            </x14:dxf>
          </x14:cfRule>
          <x14:cfRule type="expression" priority="41" id="{8C014553-7AF6-4530-9A28-531960312C23}">
            <xm:f>AND('C-Produção CDR-TM'!$L$2="Sim",'C-Produção CDR-TM'!$D$2&lt;'C-Produção CDR-TM'!$D$11)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42" id="{72FA7438-8BA3-4EC1-8E75-E600C7FA1645}">
            <xm:f>AND('C-Produção CDR-TM'!$L$2="Sim",'C-Produção CDR-TM'!$D$2&gt;'C-Produção CDR-TM'!$V$11)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J59:L59</xm:sqref>
        </x14:conditionalFormatting>
        <x14:conditionalFormatting xmlns:xm="http://schemas.microsoft.com/office/excel/2006/main">
          <x14:cfRule type="expression" priority="37" id="{9D9F6D36-F68F-4FF5-8941-0F0E79F78750}">
            <xm:f>AND('C-Produção CDR-TMB'!$L$2="Sim",'C-Produção CDR-TMB'!$D$2&gt;'C-Produção CDR-TMB'!$D$11,'C-Produção CDR-TMB'!$D$2&lt;'C-Produção CDR-TMB'!$V$11)</xm:f>
            <x14:dxf>
              <font>
                <color theme="0"/>
              </font>
              <fill>
                <patternFill>
                  <bgColor theme="9" tint="-0.499984740745262"/>
                </patternFill>
              </fill>
            </x14:dxf>
          </x14:cfRule>
          <x14:cfRule type="expression" priority="38" id="{2108DCAB-9653-441D-88CA-457CC153500C}">
            <xm:f>AND('C-Produção CDR-TMB'!$L$2="Sim",'C-Produção CDR-TMB'!$D$2&lt;'C-Produção CDR-TMB'!$D$11)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39" id="{2A25DE3F-59DD-45DA-9266-8096DE35C00C}">
            <xm:f>AND('C-Produção CDR-TMB'!$L$2="Sim",'C-Produção CDR-TMB'!$D$2&gt;'C-Produção CDR-TMB'!$V$11)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J62:L62</xm:sqref>
        </x14:conditionalFormatting>
        <x14:conditionalFormatting xmlns:xm="http://schemas.microsoft.com/office/excel/2006/main">
          <x14:cfRule type="expression" priority="31" id="{07B7CBCC-B158-4E41-9255-D8EE2EA8D2A1}">
            <xm:f>AND('C-Compostagem'!$L$2="Sim",'C-Compostagem'!$D$2&gt;'C-Compostagem'!$D$11,'C-Compostagem'!$D$2&lt;'C-Compostagem'!$V$11)</xm:f>
            <x14:dxf>
              <font>
                <color theme="0"/>
              </font>
              <fill>
                <patternFill>
                  <bgColor theme="9" tint="-0.499984740745262"/>
                </patternFill>
              </fill>
            </x14:dxf>
          </x14:cfRule>
          <x14:cfRule type="expression" priority="32" id="{3BD9A93C-D1C7-41A9-B875-E1A12A160902}">
            <xm:f>AND('C-Compostagem'!$L$2="Sim",'C-Compostagem'!$D$2&lt;'C-Compostagem'!$D$11)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33" id="{D322F8BD-744A-450C-81AC-C0D2963EB6F5}">
            <xm:f>AND('C-Compostagem'!$L$2="Sim",'C-Compostagem'!$D$2&gt;'C-Compostagem'!$V$11)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J68:L68</xm:sqref>
        </x14:conditionalFormatting>
        <x14:conditionalFormatting xmlns:xm="http://schemas.microsoft.com/office/excel/2006/main">
          <x14:cfRule type="expression" priority="28" id="{321D8826-C33C-43F5-A318-6D34FFA0B1B7}">
            <xm:f>AND('C-Incineração'!$L$2="Sim",'C-Incineração'!$D$2&gt;'C-Incineração'!$D$11,'C-Incineração'!$D$2&lt;'C-Incineração'!$V$11)</xm:f>
            <x14:dxf>
              <font>
                <color theme="0"/>
              </font>
              <fill>
                <patternFill>
                  <bgColor theme="9" tint="-0.499984740745262"/>
                </patternFill>
              </fill>
            </x14:dxf>
          </x14:cfRule>
          <x14:cfRule type="expression" priority="29" id="{2EEB3B7A-17B6-48BB-A6C0-60C1536CCB37}">
            <xm:f>AND('C-Incineração'!$L$2="Sim",'C-Incineração'!$D$2&lt;'C-Incineração'!$D$11)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30" id="{452DA476-62DA-4802-B46D-64CB37860E15}">
            <xm:f>AND('C-Incineração'!$L$2="Sim",'C-Incineração'!$D$2&gt;'C-Incineração'!$V$11)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J71:L71</xm:sqref>
        </x14:conditionalFormatting>
        <x14:conditionalFormatting xmlns:xm="http://schemas.microsoft.com/office/excel/2006/main">
          <x14:cfRule type="expression" priority="25" id="{EAF2150E-8A0D-459B-A646-3FB9E36A38F2}">
            <xm:f>AND('C-Aterro Sanitário'!$L$2="Sim",'C-Aterro Sanitário'!$D$2&gt;'C-Aterro Sanitário'!$D$11,'C-Aterro Sanitário'!$D$2&lt;'C-Aterro Sanitário'!$V$11)</xm:f>
            <x14:dxf>
              <font>
                <color theme="0"/>
              </font>
              <fill>
                <patternFill>
                  <bgColor theme="9" tint="-0.499984740745262"/>
                </patternFill>
              </fill>
            </x14:dxf>
          </x14:cfRule>
          <x14:cfRule type="expression" priority="26" id="{CA92068E-14AE-43F3-A512-AA36147F5096}">
            <xm:f>AND('C-Aterro Sanitário'!$L$2="Sim",'C-Aterro Sanitário'!$D$2&lt;'C-Aterro Sanitário'!$D$11)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27" id="{E8F20F52-EB47-4720-91C0-55D4E7A9763C}">
            <xm:f>AND('C-Aterro Sanitário'!$L$2="Sim",'C-Aterro Sanitário'!$D$2&gt;'C-Aterro Sanitário'!$V$11)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J74:L74</xm:sqref>
        </x14:conditionalFormatting>
        <x14:conditionalFormatting xmlns:xm="http://schemas.microsoft.com/office/excel/2006/main">
          <x14:cfRule type="expression" priority="22" id="{98F0D65B-04FC-4EB0-94C8-C400C0FF56B1}">
            <xm:f>AND('C-Triagem Man'!$L$2="Sim",'C-Triagem Man'!$D$2&gt;'C-Triagem Man'!$D$11,'C-Triagem Man'!$D$2&lt;'C-Triagem Man'!$V$11)</xm:f>
            <x14:dxf>
              <font>
                <color theme="0"/>
              </font>
              <fill>
                <patternFill>
                  <bgColor theme="9" tint="-0.499984740745262"/>
                </patternFill>
              </fill>
            </x14:dxf>
          </x14:cfRule>
          <x14:cfRule type="expression" priority="23" id="{9A3C8FD0-C2E4-4F47-8D72-1879DCDFBF3C}">
            <xm:f>AND('C-Triagem Man'!$L$2="Sim",'C-Triagem Man'!$D$2&lt;'C-Triagem Man'!$D$11)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24" id="{1FD1D6C4-B6B9-47D6-B82F-5FE84B5F2281}">
            <xm:f>AND('C-Triagem Man'!$L$2="Sim",'C-Triagem Man'!$D$2&gt;'C-Triagem Man'!$V$11)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N53:P53</xm:sqref>
        </x14:conditionalFormatting>
        <x14:conditionalFormatting xmlns:xm="http://schemas.microsoft.com/office/excel/2006/main">
          <x14:cfRule type="expression" priority="19" id="{633FD487-DD70-46F8-BBF7-7D232BE53F2B}">
            <xm:f>AND('C-Triagem Mec'!$L$2="Sim",'C-Triagem Mec'!$D$2&gt;'C-Triagem Mec'!$D$11,'C-Triagem Mec'!$D$2&lt;'C-Triagem Mec'!$V$11)</xm:f>
            <x14:dxf>
              <font>
                <color theme="0"/>
              </font>
              <fill>
                <patternFill>
                  <bgColor theme="9" tint="-0.499984740745262"/>
                </patternFill>
              </fill>
            </x14:dxf>
          </x14:cfRule>
          <x14:cfRule type="expression" priority="20" id="{95DA0CC7-79E8-4981-AE31-8FBE1B0B3C3B}">
            <xm:f>AND('C-Triagem Mec'!$L$2="Sim",'C-Triagem Mec'!$D$2&lt;'C-Triagem Mec'!$D$11)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21" id="{7A42856D-5701-41EA-804E-2CAD559DE664}">
            <xm:f>AND('C-Triagem Mec'!$L$2="Sim",'C-Triagem Mec'!$D$2&gt;'C-Triagem Mec'!$V$11)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N56:P56</xm:sqref>
        </x14:conditionalFormatting>
        <x14:conditionalFormatting xmlns:xm="http://schemas.microsoft.com/office/excel/2006/main">
          <x14:cfRule type="expression" priority="16" id="{0C503357-70FD-4D8B-8A7F-B16B9216685D}">
            <xm:f>AND('C-Produção CDR-TM'!$L$2="Sim",'C-Produção CDR-TM'!$D$2&gt;'C-Produção CDR-TM'!$D$11,'C-Produção CDR-TM'!$D$2&lt;'C-Produção CDR-TM'!$V$11)</xm:f>
            <x14:dxf>
              <font>
                <color theme="0"/>
              </font>
              <fill>
                <patternFill>
                  <bgColor theme="9" tint="-0.499984740745262"/>
                </patternFill>
              </fill>
            </x14:dxf>
          </x14:cfRule>
          <x14:cfRule type="expression" priority="17" id="{508A4F5E-7709-4203-96D6-7C73951146FF}">
            <xm:f>AND('C-Produção CDR-TM'!$L$2="Sim",'C-Produção CDR-TM'!$D$2&lt;'C-Produção CDR-TM'!$D$11)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18" id="{3660E09C-6FC6-43B5-9FAC-E49158C757C9}">
            <xm:f>AND('C-Produção CDR-TM'!$L$2="Sim",'C-Produção CDR-TM'!$D$2&gt;'C-Produção CDR-TM'!$V$11)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N59:P59</xm:sqref>
        </x14:conditionalFormatting>
        <x14:conditionalFormatting xmlns:xm="http://schemas.microsoft.com/office/excel/2006/main">
          <x14:cfRule type="expression" priority="13" id="{540259D9-60A8-49C6-ADF4-5435A7D4E5E1}">
            <xm:f>AND('C-Produção CDR-TMB'!$L$2="Sim",'C-Produção CDR-TMB'!$D$2&gt;'C-Produção CDR-TMB'!$D$11,'C-Produção CDR-TMB'!$D$2&lt;'C-Produção CDR-TMB'!$V$11)</xm:f>
            <x14:dxf>
              <font>
                <color theme="0"/>
              </font>
              <fill>
                <patternFill>
                  <bgColor theme="9" tint="-0.499984740745262"/>
                </patternFill>
              </fill>
            </x14:dxf>
          </x14:cfRule>
          <x14:cfRule type="expression" priority="14" id="{B3D00323-48AC-4B67-9AF8-833029FC6822}">
            <xm:f>AND('C-Produção CDR-TMB'!$L$2="Sim",'C-Produção CDR-TMB'!$D$2&lt;'C-Produção CDR-TMB'!$D$11)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15" id="{D4DB9845-B71D-4C4C-8AA0-007B5DDE5A75}">
            <xm:f>AND('C-Produção CDR-TMB'!$L$2="Sim",'C-Produção CDR-TMB'!$D$2&gt;'C-Produção CDR-TMB'!$V$11)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N62:P62</xm:sqref>
        </x14:conditionalFormatting>
        <x14:conditionalFormatting xmlns:xm="http://schemas.microsoft.com/office/excel/2006/main">
          <x14:cfRule type="expression" priority="7" id="{CD6FD957-1E51-4452-905C-E5BE15CFA1DE}">
            <xm:f>AND('C-Compostagem'!$L$2="Sim",'C-Compostagem'!$D$2&gt;'C-Compostagem'!$D$11,'C-Compostagem'!$D$2&lt;'C-Compostagem'!$V$11)</xm:f>
            <x14:dxf>
              <font>
                <color theme="0"/>
              </font>
              <fill>
                <patternFill>
                  <bgColor theme="9" tint="-0.499984740745262"/>
                </patternFill>
              </fill>
            </x14:dxf>
          </x14:cfRule>
          <x14:cfRule type="expression" priority="8" id="{77E7E316-DC8B-4563-848D-EC026AC5E3B4}">
            <xm:f>AND('C-Compostagem'!$L$2="Sim",'C-Compostagem'!$D$2&lt;'C-Compostagem'!$D$11)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9" id="{A20237FA-D343-426A-A239-D943150EEE9C}">
            <xm:f>AND('C-Compostagem'!$L$2="Sim",'C-Compostagem'!$D$2&gt;'C-Compostagem'!$V$11)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N68:P68</xm:sqref>
        </x14:conditionalFormatting>
        <x14:conditionalFormatting xmlns:xm="http://schemas.microsoft.com/office/excel/2006/main">
          <x14:cfRule type="expression" priority="4" id="{C7996A0A-7305-4F46-9888-A5BE4149062E}">
            <xm:f>AND('C-Incineração'!$L$2="Sim",'C-Incineração'!$D$2&gt;'C-Incineração'!$D$11,'C-Incineração'!$D$2&lt;'C-Incineração'!$V$11)</xm:f>
            <x14:dxf>
              <font>
                <color theme="0"/>
              </font>
              <fill>
                <patternFill>
                  <bgColor theme="9" tint="-0.499984740745262"/>
                </patternFill>
              </fill>
            </x14:dxf>
          </x14:cfRule>
          <x14:cfRule type="expression" priority="5" id="{34B30F7B-62F3-4203-B732-65A264B3A61C}">
            <xm:f>AND('C-Incineração'!$L$2="Sim",'C-Incineração'!$D$2&lt;'C-Incineração'!$D$11)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6" id="{8CA82EB1-2119-40B2-B54F-02AA6BD5DF44}">
            <xm:f>AND('C-Incineração'!$L$2="Sim",'C-Incineração'!$D$2&gt;'C-Incineração'!$V$11)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N71:P71</xm:sqref>
        </x14:conditionalFormatting>
        <x14:conditionalFormatting xmlns:xm="http://schemas.microsoft.com/office/excel/2006/main">
          <x14:cfRule type="expression" priority="1" id="{2F5E4CCE-EE4C-4DA2-84C1-6C1D66F16C04}">
            <xm:f>AND('C-Aterro Sanitário'!$L$2="Sim",'C-Aterro Sanitário'!$D$2&gt;'C-Aterro Sanitário'!$D$11,'C-Aterro Sanitário'!$D$2&lt;'C-Aterro Sanitário'!$V$11)</xm:f>
            <x14:dxf>
              <font>
                <color theme="0"/>
              </font>
              <fill>
                <patternFill>
                  <bgColor theme="9" tint="-0.499984740745262"/>
                </patternFill>
              </fill>
            </x14:dxf>
          </x14:cfRule>
          <x14:cfRule type="expression" priority="2" id="{F00A9561-9F9A-4687-AC2B-42E4B71C87D8}">
            <xm:f>AND('C-Aterro Sanitário'!$L$2="Sim",'C-Aterro Sanitário'!$D$2&lt;'C-Aterro Sanitário'!$D$11)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3" id="{1E3BE9E6-3ECB-416C-8798-77B844C74D35}">
            <xm:f>AND('C-Aterro Sanitário'!$L$2="Sim",'C-Aterro Sanitário'!$D$2&gt;'C-Aterro Sanitário'!$V$11)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N74:P74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ErrorMessage="1" xr:uid="{00000000-0002-0000-0700-000001000000}">
          <x14:formula1>
            <xm:f>'C-FCL Real'!$F$16:$G$16</xm:f>
          </x14:formula1>
          <xm:sqref>D28</xm:sqref>
        </x14:dataValidation>
        <x14:dataValidation type="list" allowBlank="1" showErrorMessage="1" xr:uid="{00000000-0002-0000-0700-000002000000}">
          <x14:formula1>
            <xm:f>'C-Triagem Man'!$L$3:$M$3</xm:f>
          </x14:formula1>
          <xm:sqref>C67</xm:sqref>
        </x14:dataValidation>
        <x14:dataValidation type="list" allowBlank="1" showErrorMessage="1" xr:uid="{00000000-0002-0000-0700-000003000000}">
          <x14:formula1>
            <xm:f>'C-Incineração'!$L$1:$M$1</xm:f>
          </x14:formula1>
          <xm:sqref>C59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9" tint="0.59999389629810485"/>
    <outlinePr summaryBelow="0" summaryRight="0"/>
  </sheetPr>
  <dimension ref="A1:AB103"/>
  <sheetViews>
    <sheetView topLeftCell="B1" zoomScale="75" zoomScaleNormal="75" workbookViewId="0">
      <selection activeCell="B2" sqref="B2:M3"/>
    </sheetView>
  </sheetViews>
  <sheetFormatPr defaultColWidth="14.453125" defaultRowHeight="15" customHeight="1" outlineLevelRow="1" outlineLevelCol="1" x14ac:dyDescent="0.35"/>
  <cols>
    <col min="1" max="1" width="1" style="68" customWidth="1"/>
    <col min="2" max="2" width="65.7265625" style="70" customWidth="1"/>
    <col min="3" max="3" width="20.7265625" style="71" customWidth="1"/>
    <col min="4" max="4" width="18.26953125" style="70" customWidth="1"/>
    <col min="5" max="5" width="3.26953125" style="70" customWidth="1"/>
    <col min="6" max="7" width="30.7265625" style="70" customWidth="1"/>
    <col min="8" max="8" width="18.26953125" style="70" customWidth="1"/>
    <col min="9" max="9" width="3.453125" style="70" customWidth="1"/>
    <col min="10" max="13" width="18.26953125" style="70" customWidth="1"/>
    <col min="14" max="14" width="5" style="70" customWidth="1" collapsed="1"/>
    <col min="15" max="15" width="18.26953125" style="70" hidden="1" customWidth="1" outlineLevel="1"/>
    <col min="16" max="16" width="3.453125" style="70" hidden="1" customWidth="1" outlineLevel="1"/>
    <col min="17" max="17" width="18.26953125" style="70" hidden="1" customWidth="1" outlineLevel="1"/>
    <col min="18" max="18" width="3.453125" style="70" hidden="1" customWidth="1" outlineLevel="1"/>
    <col min="19" max="19" width="18.26953125" style="70" hidden="1" customWidth="1" outlineLevel="1"/>
    <col min="20" max="21" width="23.26953125" style="70" hidden="1" customWidth="1" outlineLevel="1"/>
    <col min="22" max="22" width="28.453125" style="70" hidden="1" customWidth="1" outlineLevel="1"/>
    <col min="23" max="23" width="23.26953125" style="71" hidden="1" customWidth="1" outlineLevel="1"/>
    <col min="24" max="24" width="28.453125" style="70" hidden="1" customWidth="1" outlineLevel="1"/>
    <col min="25" max="25" width="21.7265625" style="71" hidden="1" customWidth="1" outlineLevel="1"/>
    <col min="26" max="26" width="11.26953125" style="70" hidden="1" customWidth="1" outlineLevel="1"/>
    <col min="27" max="27" width="8.7265625" style="70" hidden="1" customWidth="1" outlineLevel="1"/>
    <col min="28" max="16384" width="14.453125" style="68"/>
  </cols>
  <sheetData>
    <row r="1" spans="1:28" ht="5.15" customHeight="1" x14ac:dyDescent="0.35"/>
    <row r="2" spans="1:28" s="260" customFormat="1" ht="17.899999999999999" customHeight="1" x14ac:dyDescent="0.35">
      <c r="A2" s="421"/>
      <c r="B2" s="2148" t="s">
        <v>995</v>
      </c>
      <c r="C2" s="2148"/>
      <c r="D2" s="2148"/>
      <c r="E2" s="2148"/>
      <c r="F2" s="2148"/>
      <c r="G2" s="2148"/>
      <c r="H2" s="2148"/>
      <c r="I2" s="2148"/>
      <c r="J2" s="2148"/>
      <c r="K2" s="2148"/>
      <c r="L2" s="2148"/>
      <c r="M2" s="2148"/>
      <c r="N2" s="412"/>
      <c r="O2" s="2147" t="s">
        <v>647</v>
      </c>
      <c r="P2" s="2147"/>
      <c r="Q2" s="2147"/>
      <c r="R2" s="2147"/>
      <c r="S2" s="2147"/>
      <c r="T2" s="2147"/>
      <c r="U2" s="2147"/>
      <c r="V2" s="2147"/>
      <c r="W2" s="2147"/>
      <c r="X2" s="2147"/>
      <c r="Y2" s="2147"/>
      <c r="Z2" s="2147"/>
      <c r="AA2" s="2147"/>
      <c r="AB2" s="427"/>
    </row>
    <row r="3" spans="1:28" s="858" customFormat="1" ht="17.899999999999999" customHeight="1" x14ac:dyDescent="0.35">
      <c r="A3" s="856"/>
      <c r="B3" s="2148"/>
      <c r="C3" s="2148"/>
      <c r="D3" s="2148"/>
      <c r="E3" s="2148"/>
      <c r="F3" s="2148"/>
      <c r="G3" s="2148"/>
      <c r="H3" s="2148"/>
      <c r="I3" s="2148"/>
      <c r="J3" s="2148"/>
      <c r="K3" s="2148"/>
      <c r="L3" s="2148"/>
      <c r="M3" s="2148"/>
      <c r="N3" s="857"/>
      <c r="O3" s="2147"/>
      <c r="P3" s="2147"/>
      <c r="Q3" s="2147"/>
      <c r="R3" s="2147"/>
      <c r="S3" s="2147"/>
      <c r="T3" s="2147"/>
      <c r="U3" s="2147"/>
      <c r="V3" s="2147"/>
      <c r="W3" s="2147"/>
      <c r="X3" s="2147"/>
      <c r="Y3" s="2147"/>
      <c r="Z3" s="2147"/>
      <c r="AA3" s="2147"/>
      <c r="AB3" s="427"/>
    </row>
    <row r="4" spans="1:28" s="260" customFormat="1" ht="7.5" customHeight="1" thickBot="1" x14ac:dyDescent="0.4">
      <c r="A4" s="412"/>
      <c r="B4" s="412"/>
      <c r="C4" s="413"/>
      <c r="D4" s="412"/>
      <c r="E4" s="412"/>
      <c r="F4" s="412"/>
      <c r="G4" s="412"/>
      <c r="H4" s="413"/>
      <c r="I4" s="412"/>
      <c r="J4" s="413"/>
      <c r="K4" s="413"/>
      <c r="L4" s="413"/>
      <c r="M4" s="413"/>
      <c r="N4" s="412"/>
      <c r="O4" s="412"/>
      <c r="P4" s="412"/>
      <c r="Q4" s="412"/>
      <c r="R4" s="412"/>
      <c r="S4" s="412"/>
      <c r="T4" s="412"/>
      <c r="U4" s="412"/>
      <c r="V4" s="412"/>
      <c r="W4" s="416"/>
      <c r="X4" s="412"/>
      <c r="Y4" s="413"/>
      <c r="Z4" s="412"/>
      <c r="AA4" s="412"/>
      <c r="AB4" s="427"/>
    </row>
    <row r="5" spans="1:28" s="260" customFormat="1" ht="20.149999999999999" customHeight="1" thickTop="1" x14ac:dyDescent="0.35">
      <c r="A5" s="412"/>
      <c r="B5" s="1295" t="s">
        <v>975</v>
      </c>
      <c r="C5" s="1296" t="s">
        <v>342</v>
      </c>
      <c r="D5" s="1297" t="s">
        <v>282</v>
      </c>
      <c r="E5" s="412"/>
      <c r="F5" s="1310" t="s">
        <v>976</v>
      </c>
      <c r="G5" s="1296" t="s">
        <v>343</v>
      </c>
      <c r="H5" s="1297" t="s">
        <v>344</v>
      </c>
      <c r="I5" s="412"/>
      <c r="J5" s="2163" t="s">
        <v>345</v>
      </c>
      <c r="K5" s="2161" t="s">
        <v>346</v>
      </c>
      <c r="L5" s="412"/>
      <c r="M5" s="413"/>
      <c r="N5" s="412"/>
      <c r="O5" s="2155" t="s">
        <v>892</v>
      </c>
      <c r="P5" s="412"/>
      <c r="Q5" s="2155" t="s">
        <v>893</v>
      </c>
      <c r="R5" s="412"/>
      <c r="S5" s="2155" t="s">
        <v>894</v>
      </c>
      <c r="T5" s="412"/>
      <c r="U5" s="2155" t="s">
        <v>895</v>
      </c>
      <c r="V5" s="412"/>
      <c r="W5" s="2155" t="s">
        <v>896</v>
      </c>
      <c r="X5" s="412"/>
      <c r="Y5" s="2155" t="s">
        <v>902</v>
      </c>
      <c r="Z5" s="412"/>
      <c r="AA5" s="412"/>
      <c r="AB5" s="427"/>
    </row>
    <row r="6" spans="1:28" s="260" customFormat="1" ht="20.149999999999999" customHeight="1" outlineLevel="1" x14ac:dyDescent="0.35">
      <c r="A6" s="412"/>
      <c r="B6" s="1509" t="s">
        <v>648</v>
      </c>
      <c r="C6" s="1468" t="s">
        <v>285</v>
      </c>
      <c r="D6" s="1485">
        <f>D7*D8/1000000</f>
        <v>314.48124320314417</v>
      </c>
      <c r="E6" s="417"/>
      <c r="F6" s="1505" t="s">
        <v>997</v>
      </c>
      <c r="G6" s="1452">
        <f>J7*(1-K7)</f>
        <v>666666.66666666674</v>
      </c>
      <c r="H6" s="1499">
        <f>G6/$G$11</f>
        <v>0.66664666726664856</v>
      </c>
      <c r="I6" s="412"/>
      <c r="J6" s="2164"/>
      <c r="K6" s="2162"/>
      <c r="L6" s="412"/>
      <c r="M6" s="422"/>
      <c r="N6" s="414"/>
      <c r="O6" s="2156"/>
      <c r="P6" s="412"/>
      <c r="Q6" s="2156"/>
      <c r="R6" s="412"/>
      <c r="S6" s="2156"/>
      <c r="T6" s="412"/>
      <c r="U6" s="2156"/>
      <c r="V6" s="412"/>
      <c r="W6" s="2156"/>
      <c r="X6" s="412"/>
      <c r="Y6" s="2156"/>
      <c r="Z6" s="412"/>
      <c r="AA6" s="412"/>
      <c r="AB6" s="427"/>
    </row>
    <row r="7" spans="1:28" s="260" customFormat="1" ht="20.149999999999999" customHeight="1" outlineLevel="1" x14ac:dyDescent="0.35">
      <c r="A7" s="412"/>
      <c r="B7" s="1505" t="s">
        <v>649</v>
      </c>
      <c r="C7" s="1466" t="s">
        <v>336</v>
      </c>
      <c r="D7" s="1486">
        <f>'R&amp;C-Painel de Controle'!D34</f>
        <v>334.91080213327388</v>
      </c>
      <c r="E7" s="417"/>
      <c r="F7" s="1505" t="s">
        <v>998</v>
      </c>
      <c r="G7" s="1452">
        <f>J7*K7</f>
        <v>166666.66666666669</v>
      </c>
      <c r="H7" s="1499">
        <f>G7/$G$11</f>
        <v>0.16666166681666214</v>
      </c>
      <c r="I7" s="412"/>
      <c r="J7" s="2159">
        <f>'R&amp;C-Painel de Controle'!D6/3</f>
        <v>833333.33333333337</v>
      </c>
      <c r="K7" s="2157">
        <v>0.2</v>
      </c>
      <c r="L7" s="412"/>
      <c r="M7" s="422"/>
      <c r="N7" s="414"/>
      <c r="O7" s="1417">
        <v>0.01</v>
      </c>
      <c r="P7" s="1292" t="s">
        <v>903</v>
      </c>
      <c r="Q7" s="1417">
        <v>0.01</v>
      </c>
      <c r="R7" s="1292" t="s">
        <v>903</v>
      </c>
      <c r="S7" s="1417">
        <v>2.5000000000000001E-2</v>
      </c>
      <c r="T7" s="1292" t="s">
        <v>891</v>
      </c>
      <c r="U7" s="1417">
        <v>2.5000000000000001E-2</v>
      </c>
      <c r="V7" s="1292" t="s">
        <v>891</v>
      </c>
      <c r="W7" s="1417">
        <v>2.5000000000000001E-2</v>
      </c>
      <c r="X7" s="1292" t="s">
        <v>891</v>
      </c>
      <c r="Y7" s="1417">
        <v>0.05</v>
      </c>
      <c r="Z7" s="1292" t="s">
        <v>891</v>
      </c>
      <c r="AA7" s="412"/>
      <c r="AB7" s="427"/>
    </row>
    <row r="8" spans="1:28" s="260" customFormat="1" ht="20.149999999999999" customHeight="1" outlineLevel="1" thickBot="1" x14ac:dyDescent="0.4">
      <c r="A8" s="412"/>
      <c r="B8" s="1505" t="s">
        <v>650</v>
      </c>
      <c r="C8" s="1466" t="s">
        <v>291</v>
      </c>
      <c r="D8" s="1486">
        <f>'R&amp;C-Painel de Controle'!D8</f>
        <v>939000</v>
      </c>
      <c r="E8" s="417"/>
      <c r="F8" s="1505" t="s">
        <v>999</v>
      </c>
      <c r="G8" s="1500">
        <f>J7/5</f>
        <v>166666.66666666669</v>
      </c>
      <c r="H8" s="1499">
        <f>G8/$G$11</f>
        <v>0.16666166681666214</v>
      </c>
      <c r="I8" s="412"/>
      <c r="J8" s="2160"/>
      <c r="K8" s="2158"/>
      <c r="L8" s="412"/>
      <c r="M8" s="422"/>
      <c r="N8" s="414"/>
      <c r="O8" s="1294">
        <f>(O12-O10)/O10</f>
        <v>-2.3282365894410123E-16</v>
      </c>
      <c r="P8" s="414"/>
      <c r="Q8" s="1294">
        <f>(Q12-Q10)/Q10</f>
        <v>-5.3557084324975159E-3</v>
      </c>
      <c r="R8" s="414"/>
      <c r="S8" s="1294">
        <f>(S12-S10)/S10</f>
        <v>-5.3557084324973988E-3</v>
      </c>
      <c r="T8" s="412"/>
      <c r="U8" s="1294">
        <f>(U12-U10)/U10</f>
        <v>-5.3557084324975168E-3</v>
      </c>
      <c r="V8" s="412"/>
      <c r="W8" s="1294">
        <f>(W12-W10)/W10</f>
        <v>-5.3557084324975168E-3</v>
      </c>
      <c r="X8" s="412"/>
      <c r="Y8" s="1448" t="s">
        <v>332</v>
      </c>
      <c r="Z8" s="412"/>
      <c r="AA8" s="412"/>
      <c r="AB8" s="427"/>
    </row>
    <row r="9" spans="1:28" s="260" customFormat="1" ht="20.149999999999999" customHeight="1" outlineLevel="1" thickTop="1" x14ac:dyDescent="0.35">
      <c r="A9" s="412"/>
      <c r="B9" s="1509" t="s">
        <v>651</v>
      </c>
      <c r="C9" s="1468" t="s">
        <v>996</v>
      </c>
      <c r="D9" s="1487">
        <v>155</v>
      </c>
      <c r="E9" s="417"/>
      <c r="F9" s="1505" t="s">
        <v>1000</v>
      </c>
      <c r="G9" s="1500">
        <v>25</v>
      </c>
      <c r="H9" s="1499">
        <f>G9/$G$11</f>
        <v>2.4999250022499319E-5</v>
      </c>
      <c r="I9" s="412"/>
      <c r="J9" s="1451"/>
      <c r="K9" s="416"/>
      <c r="L9" s="413"/>
      <c r="M9" s="422"/>
      <c r="N9" s="414"/>
      <c r="O9" s="959" t="s">
        <v>347</v>
      </c>
      <c r="P9" s="414"/>
      <c r="Q9" s="959" t="s">
        <v>347</v>
      </c>
      <c r="R9" s="414"/>
      <c r="S9" s="959" t="s">
        <v>347</v>
      </c>
      <c r="T9" s="428"/>
      <c r="U9" s="959" t="s">
        <v>347</v>
      </c>
      <c r="V9" s="412"/>
      <c r="W9" s="959" t="s">
        <v>347</v>
      </c>
      <c r="X9" s="412"/>
      <c r="Y9" s="959" t="s">
        <v>347</v>
      </c>
      <c r="Z9" s="412"/>
      <c r="AA9" s="412"/>
      <c r="AB9" s="427"/>
    </row>
    <row r="10" spans="1:28" s="260" customFormat="1" ht="20.149999999999999" customHeight="1" outlineLevel="1" x14ac:dyDescent="0.35">
      <c r="A10" s="412"/>
      <c r="B10" s="1507" t="s">
        <v>966</v>
      </c>
      <c r="C10" s="1466" t="s">
        <v>348</v>
      </c>
      <c r="D10" s="1486">
        <f>D9*30*12*'R&amp;C-Painel de Controle'!D6/1000</f>
        <v>139500000</v>
      </c>
      <c r="E10" s="417"/>
      <c r="F10" s="1505" t="s">
        <v>1001</v>
      </c>
      <c r="G10" s="1500">
        <v>5</v>
      </c>
      <c r="H10" s="1499">
        <f>G10/$G$11</f>
        <v>4.9998500044998635E-6</v>
      </c>
      <c r="I10" s="412"/>
      <c r="J10" s="1451"/>
      <c r="K10" s="423"/>
      <c r="L10" s="422"/>
      <c r="M10" s="422"/>
      <c r="N10" s="414"/>
      <c r="O10" s="264">
        <f>G11</f>
        <v>1000030.0000000002</v>
      </c>
      <c r="P10" s="414"/>
      <c r="Q10" s="275">
        <f>D25</f>
        <v>341.84504237735774</v>
      </c>
      <c r="R10" s="414"/>
      <c r="S10" s="264">
        <f>D8</f>
        <v>939000</v>
      </c>
      <c r="T10" s="412"/>
      <c r="U10" s="264">
        <f>D10*(1+D24)</f>
        <v>139500000</v>
      </c>
      <c r="V10" s="412"/>
      <c r="W10" s="264">
        <f>D10*(1+D24)</f>
        <v>139500000</v>
      </c>
      <c r="X10" s="412"/>
      <c r="Y10" s="1293">
        <f>Y7</f>
        <v>0.05</v>
      </c>
      <c r="Z10" s="412"/>
      <c r="AA10" s="412"/>
      <c r="AB10" s="427"/>
    </row>
    <row r="11" spans="1:28" s="260" customFormat="1" ht="20.149999999999999" customHeight="1" outlineLevel="1" thickBot="1" x14ac:dyDescent="0.4">
      <c r="A11" s="412"/>
      <c r="B11" s="1507" t="s">
        <v>726</v>
      </c>
      <c r="C11" s="1488" t="s">
        <v>351</v>
      </c>
      <c r="D11" s="1489">
        <f>D10/D8</f>
        <v>148.56230031948883</v>
      </c>
      <c r="E11" s="417"/>
      <c r="F11" s="1506" t="s">
        <v>938</v>
      </c>
      <c r="G11" s="1501">
        <f>SUM(G6:G10)</f>
        <v>1000030.0000000002</v>
      </c>
      <c r="H11" s="1502">
        <f>SUM(H6:H10)</f>
        <v>0.99999999999999989</v>
      </c>
      <c r="I11" s="412"/>
      <c r="J11" s="1451"/>
      <c r="K11" s="423"/>
      <c r="L11" s="422"/>
      <c r="M11" s="422"/>
      <c r="N11" s="414"/>
      <c r="O11" s="960" t="s">
        <v>349</v>
      </c>
      <c r="P11" s="414"/>
      <c r="Q11" s="960" t="s">
        <v>350</v>
      </c>
      <c r="R11" s="414"/>
      <c r="S11" s="960" t="s">
        <v>350</v>
      </c>
      <c r="T11" s="412"/>
      <c r="U11" s="960" t="s">
        <v>350</v>
      </c>
      <c r="V11" s="412"/>
      <c r="W11" s="960" t="s">
        <v>350</v>
      </c>
      <c r="X11" s="412"/>
      <c r="Y11" s="960" t="s">
        <v>350</v>
      </c>
      <c r="Z11" s="412"/>
      <c r="AA11" s="412"/>
      <c r="AB11" s="427"/>
    </row>
    <row r="12" spans="1:28" s="260" customFormat="1" ht="20.149999999999999" customHeight="1" outlineLevel="1" thickTop="1" thickBot="1" x14ac:dyDescent="0.4">
      <c r="A12" s="412"/>
      <c r="B12" s="1510" t="s">
        <v>970</v>
      </c>
      <c r="C12" s="1490" t="s">
        <v>321</v>
      </c>
      <c r="D12" s="1491">
        <f>D7/D11</f>
        <v>2.2543458294132197</v>
      </c>
      <c r="E12" s="412"/>
      <c r="F12" s="412"/>
      <c r="G12" s="412"/>
      <c r="H12" s="413"/>
      <c r="I12" s="412"/>
      <c r="J12" s="413"/>
      <c r="K12" s="413"/>
      <c r="L12" s="413"/>
      <c r="M12" s="413"/>
      <c r="N12" s="412"/>
      <c r="O12" s="264">
        <f>O33</f>
        <v>1000030</v>
      </c>
      <c r="P12" s="414"/>
      <c r="Q12" s="275">
        <f>Q33</f>
        <v>340.01422000128986</v>
      </c>
      <c r="R12" s="414"/>
      <c r="S12" s="264">
        <f>S33</f>
        <v>933970.98978188494</v>
      </c>
      <c r="T12" s="412"/>
      <c r="U12" s="264">
        <f>U33</f>
        <v>138752878.6736666</v>
      </c>
      <c r="V12" s="412"/>
      <c r="W12" s="264">
        <f>W33</f>
        <v>138752878.6736666</v>
      </c>
      <c r="X12" s="412"/>
      <c r="Y12" s="1291">
        <f>1-((AA39+AA41+AA42+AA43+AA44+AA45+AA52+AA54+AA55+AA56+AA57+AA58+AA65+AA67+AA68+AA69+AA70+AA71+AA78+AA80+AA81+AA82+AA83+AA84+AA91+AA93+AA94+AA95+AA96)/29)</f>
        <v>0</v>
      </c>
      <c r="Z12" s="412"/>
      <c r="AA12" s="412"/>
      <c r="AB12" s="427"/>
    </row>
    <row r="13" spans="1:28" s="260" customFormat="1" ht="10.4" customHeight="1" outlineLevel="1" thickTop="1" thickBot="1" x14ac:dyDescent="0.4">
      <c r="A13" s="412"/>
      <c r="B13" s="412"/>
      <c r="C13" s="413"/>
      <c r="D13" s="412"/>
      <c r="E13" s="417"/>
      <c r="F13" s="419"/>
      <c r="G13" s="419"/>
      <c r="H13" s="420"/>
      <c r="I13" s="418"/>
      <c r="J13" s="418"/>
      <c r="K13" s="422"/>
      <c r="L13" s="422"/>
      <c r="M13" s="422"/>
      <c r="N13" s="414"/>
      <c r="P13" s="414"/>
      <c r="AA13" s="412"/>
      <c r="AB13" s="427"/>
    </row>
    <row r="14" spans="1:28" s="260" customFormat="1" ht="20.149999999999999" customHeight="1" outlineLevel="1" thickTop="1" x14ac:dyDescent="0.35">
      <c r="A14" s="412"/>
      <c r="B14" s="1303" t="s">
        <v>856</v>
      </c>
      <c r="C14" s="1304" t="s">
        <v>342</v>
      </c>
      <c r="D14" s="1305" t="s">
        <v>282</v>
      </c>
      <c r="E14" s="417"/>
      <c r="F14" s="1308" t="s">
        <v>839</v>
      </c>
      <c r="G14" s="1304" t="s">
        <v>342</v>
      </c>
      <c r="H14" s="1309" t="s">
        <v>282</v>
      </c>
      <c r="I14" s="412"/>
      <c r="J14" s="412"/>
      <c r="K14" s="422"/>
      <c r="L14" s="422"/>
      <c r="M14" s="422"/>
      <c r="N14" s="414"/>
      <c r="O14" s="420"/>
      <c r="P14" s="414"/>
      <c r="Q14" s="426"/>
      <c r="R14" s="414"/>
      <c r="S14" s="420"/>
      <c r="T14" s="412"/>
      <c r="U14" s="420"/>
      <c r="V14" s="412"/>
      <c r="W14" s="413"/>
      <c r="X14" s="412"/>
      <c r="Y14" s="413"/>
      <c r="Z14" s="412"/>
      <c r="AA14" s="412"/>
      <c r="AB14" s="427"/>
    </row>
    <row r="15" spans="1:28" s="260" customFormat="1" ht="20.149999999999999" customHeight="1" outlineLevel="1" x14ac:dyDescent="0.35">
      <c r="A15" s="412"/>
      <c r="B15" s="1511" t="s">
        <v>652</v>
      </c>
      <c r="C15" s="1468" t="s">
        <v>190</v>
      </c>
      <c r="D15" s="1492">
        <v>1</v>
      </c>
      <c r="E15" s="412"/>
      <c r="F15" s="2149" t="s">
        <v>1002</v>
      </c>
      <c r="G15" s="2151" t="s">
        <v>190</v>
      </c>
      <c r="H15" s="2153">
        <v>0.2</v>
      </c>
      <c r="I15" s="412"/>
      <c r="J15" s="424"/>
      <c r="K15" s="422"/>
      <c r="L15" s="422"/>
      <c r="M15" s="422"/>
      <c r="N15" s="414"/>
      <c r="O15" s="414"/>
      <c r="P15" s="414"/>
      <c r="Q15" s="414"/>
      <c r="R15" s="414"/>
      <c r="S15" s="412"/>
      <c r="T15" s="412"/>
      <c r="U15" s="422"/>
      <c r="V15" s="412"/>
      <c r="W15" s="413"/>
      <c r="X15" s="412"/>
      <c r="Y15" s="413"/>
      <c r="Z15" s="412"/>
      <c r="AA15" s="412"/>
      <c r="AB15" s="427"/>
    </row>
    <row r="16" spans="1:28" s="260" customFormat="1" ht="20.149999999999999" customHeight="1" outlineLevel="1" thickBot="1" x14ac:dyDescent="0.4">
      <c r="A16" s="412"/>
      <c r="B16" s="1512" t="s">
        <v>1005</v>
      </c>
      <c r="C16" s="1466" t="s">
        <v>285</v>
      </c>
      <c r="D16" s="1493">
        <f>D10*D12*(1-D15)/1000000</f>
        <v>0</v>
      </c>
      <c r="E16" s="412"/>
      <c r="F16" s="2150"/>
      <c r="G16" s="2152"/>
      <c r="H16" s="2154"/>
      <c r="I16" s="412"/>
      <c r="J16" s="425"/>
      <c r="K16" s="413"/>
      <c r="L16" s="413"/>
      <c r="M16" s="413"/>
      <c r="N16" s="412"/>
      <c r="O16" s="412"/>
      <c r="P16" s="412"/>
      <c r="Q16" s="412"/>
      <c r="R16" s="412"/>
      <c r="S16" s="412"/>
      <c r="T16" s="412"/>
      <c r="U16" s="422"/>
      <c r="V16" s="412"/>
      <c r="W16" s="413"/>
      <c r="X16" s="412"/>
      <c r="Y16" s="413"/>
      <c r="Z16" s="412"/>
      <c r="AA16" s="412"/>
      <c r="AB16" s="427"/>
    </row>
    <row r="17" spans="1:28" s="260" customFormat="1" ht="20.149999999999999" customHeight="1" outlineLevel="1" thickTop="1" x14ac:dyDescent="0.35">
      <c r="A17" s="412"/>
      <c r="B17" s="1509" t="s">
        <v>967</v>
      </c>
      <c r="C17" s="1468" t="s">
        <v>190</v>
      </c>
      <c r="D17" s="1494">
        <v>0.01</v>
      </c>
      <c r="E17" s="412"/>
      <c r="F17" s="412"/>
      <c r="G17" s="412"/>
      <c r="H17" s="413"/>
      <c r="I17" s="412"/>
      <c r="J17" s="412"/>
      <c r="K17" s="412"/>
      <c r="L17" s="412"/>
      <c r="M17" s="412"/>
      <c r="N17" s="412"/>
      <c r="O17" s="412"/>
      <c r="P17" s="412"/>
      <c r="Q17" s="412"/>
      <c r="R17" s="412"/>
      <c r="S17" s="412"/>
      <c r="T17" s="412"/>
      <c r="U17" s="422"/>
      <c r="V17" s="412"/>
      <c r="W17" s="413"/>
      <c r="X17" s="412"/>
      <c r="Y17" s="413"/>
      <c r="Z17" s="412"/>
      <c r="AA17" s="412"/>
      <c r="AB17" s="427"/>
    </row>
    <row r="18" spans="1:28" s="260" customFormat="1" ht="20.149999999999999" customHeight="1" outlineLevel="1" x14ac:dyDescent="0.35">
      <c r="A18" s="412"/>
      <c r="B18" s="1509" t="s">
        <v>968</v>
      </c>
      <c r="C18" s="1468" t="s">
        <v>190</v>
      </c>
      <c r="D18" s="1494">
        <v>0.05</v>
      </c>
      <c r="E18" s="412"/>
      <c r="F18" s="412"/>
      <c r="G18" s="412"/>
      <c r="H18" s="2058" t="s">
        <v>474</v>
      </c>
      <c r="I18" s="1984"/>
      <c r="J18" s="1984"/>
      <c r="K18" s="412"/>
      <c r="L18" s="412"/>
      <c r="M18" s="412"/>
      <c r="N18" s="412"/>
      <c r="O18" s="412"/>
      <c r="P18" s="412"/>
      <c r="Q18" s="412"/>
      <c r="R18" s="412"/>
      <c r="S18" s="412"/>
      <c r="T18" s="412"/>
      <c r="U18" s="422"/>
      <c r="V18" s="412"/>
      <c r="W18" s="413"/>
      <c r="X18" s="412"/>
      <c r="Y18" s="413"/>
      <c r="Z18" s="412"/>
      <c r="AA18" s="412"/>
      <c r="AB18" s="427"/>
    </row>
    <row r="19" spans="1:28" s="260" customFormat="1" ht="20.149999999999999" customHeight="1" outlineLevel="1" x14ac:dyDescent="0.35">
      <c r="A19" s="412"/>
      <c r="B19" s="1509" t="s">
        <v>969</v>
      </c>
      <c r="C19" s="1495" t="s">
        <v>190</v>
      </c>
      <c r="D19" s="1496">
        <v>2.5000000000000001E-2</v>
      </c>
      <c r="E19" s="412"/>
      <c r="F19" s="412"/>
      <c r="G19" s="412"/>
      <c r="H19" s="1941" t="str">
        <f>'R&amp;C-Painel de Controle'!C3</f>
        <v>Versão 1.01   -   Maio de 2022</v>
      </c>
      <c r="I19" s="2057"/>
      <c r="J19" s="2057"/>
      <c r="K19" s="412"/>
      <c r="L19" s="412"/>
      <c r="M19" s="412"/>
      <c r="N19" s="412"/>
      <c r="O19" s="412"/>
      <c r="P19" s="412"/>
      <c r="Q19" s="412"/>
      <c r="R19" s="412"/>
      <c r="S19" s="412"/>
      <c r="T19" s="412"/>
      <c r="U19" s="422"/>
      <c r="V19" s="412"/>
      <c r="W19" s="413"/>
      <c r="X19" s="412"/>
      <c r="Y19" s="413"/>
      <c r="Z19" s="412"/>
      <c r="AA19" s="412"/>
      <c r="AB19" s="427"/>
    </row>
    <row r="20" spans="1:28" s="260" customFormat="1" ht="35.15" customHeight="1" outlineLevel="1" x14ac:dyDescent="0.35">
      <c r="A20" s="412"/>
      <c r="B20" s="1511" t="s">
        <v>972</v>
      </c>
      <c r="C20" s="1468" t="s">
        <v>285</v>
      </c>
      <c r="D20" s="1497">
        <f>D10*D12*(1+D17)*(1+D18)*(1+D19)*D15/1000000</f>
        <v>341.84504237735774</v>
      </c>
      <c r="E20" s="412"/>
      <c r="F20" s="412"/>
      <c r="G20" s="413"/>
      <c r="H20" s="413"/>
      <c r="I20" s="413"/>
      <c r="J20" s="412"/>
      <c r="K20" s="412"/>
      <c r="L20" s="412"/>
      <c r="M20" s="412"/>
      <c r="N20" s="412"/>
      <c r="O20" s="412"/>
      <c r="P20" s="412"/>
      <c r="Q20" s="412"/>
      <c r="R20" s="412"/>
      <c r="S20" s="412"/>
      <c r="T20" s="412"/>
      <c r="U20" s="422"/>
      <c r="V20" s="412"/>
      <c r="W20" s="413"/>
      <c r="X20" s="412"/>
      <c r="Y20" s="413"/>
      <c r="Z20" s="412"/>
      <c r="AA20" s="412"/>
      <c r="AB20" s="427"/>
    </row>
    <row r="21" spans="1:28" s="260" customFormat="1" ht="35.15" customHeight="1" outlineLevel="1" thickBot="1" x14ac:dyDescent="0.4">
      <c r="A21" s="412"/>
      <c r="B21" s="1508" t="s">
        <v>971</v>
      </c>
      <c r="C21" s="1490" t="s">
        <v>321</v>
      </c>
      <c r="D21" s="1491">
        <f>D20*1000000/D10</f>
        <v>2.4505020958950374</v>
      </c>
      <c r="E21" s="412"/>
      <c r="F21" s="412"/>
      <c r="G21" s="413"/>
      <c r="H21" s="413"/>
      <c r="I21" s="413"/>
      <c r="J21" s="413"/>
      <c r="K21" s="413"/>
      <c r="L21" s="413"/>
      <c r="M21" s="413"/>
      <c r="N21" s="412"/>
      <c r="O21" s="420"/>
      <c r="P21" s="412"/>
      <c r="Q21" s="426"/>
      <c r="R21" s="412"/>
      <c r="S21" s="420"/>
      <c r="T21" s="412"/>
      <c r="U21" s="420"/>
      <c r="V21" s="412"/>
      <c r="W21" s="413"/>
      <c r="X21" s="412"/>
      <c r="Y21" s="413"/>
      <c r="Z21" s="412"/>
      <c r="AA21" s="412"/>
      <c r="AB21" s="427"/>
    </row>
    <row r="22" spans="1:28" s="260" customFormat="1" ht="7.5" customHeight="1" outlineLevel="1" thickTop="1" thickBot="1" x14ac:dyDescent="0.4">
      <c r="A22" s="412"/>
      <c r="B22" s="412"/>
      <c r="C22" s="413"/>
      <c r="D22" s="412"/>
      <c r="E22" s="417"/>
      <c r="F22" s="412"/>
      <c r="G22" s="412"/>
      <c r="H22" s="413"/>
      <c r="I22" s="412"/>
      <c r="J22" s="413"/>
      <c r="K22" s="422"/>
      <c r="L22" s="422"/>
      <c r="M22" s="422"/>
      <c r="N22" s="414"/>
      <c r="O22" s="420"/>
      <c r="P22" s="414"/>
      <c r="Q22" s="426"/>
      <c r="R22" s="414"/>
      <c r="S22" s="420"/>
      <c r="T22" s="412"/>
      <c r="U22" s="420"/>
      <c r="V22" s="412"/>
      <c r="W22" s="413"/>
      <c r="X22" s="412"/>
      <c r="Y22" s="413"/>
      <c r="Z22" s="412"/>
      <c r="AA22" s="412"/>
      <c r="AB22" s="427"/>
    </row>
    <row r="23" spans="1:28" s="260" customFormat="1" ht="20.149999999999999" customHeight="1" outlineLevel="1" thickTop="1" x14ac:dyDescent="0.35">
      <c r="A23" s="412"/>
      <c r="B23" s="1303" t="s">
        <v>974</v>
      </c>
      <c r="C23" s="1304" t="s">
        <v>342</v>
      </c>
      <c r="D23" s="1305" t="s">
        <v>282</v>
      </c>
      <c r="E23" s="412"/>
      <c r="F23" s="2115" t="s">
        <v>965</v>
      </c>
      <c r="G23" s="2116"/>
      <c r="H23" s="2117"/>
      <c r="I23" s="412"/>
      <c r="J23" s="1451"/>
      <c r="K23" s="413"/>
      <c r="L23" s="413"/>
      <c r="M23" s="413"/>
      <c r="N23" s="412"/>
      <c r="O23" s="412"/>
      <c r="P23" s="412"/>
      <c r="Q23" s="412"/>
      <c r="R23" s="412"/>
      <c r="S23" s="412"/>
      <c r="T23" s="412"/>
      <c r="U23" s="422"/>
      <c r="V23" s="412"/>
      <c r="W23" s="413"/>
      <c r="X23" s="412"/>
      <c r="Y23" s="413"/>
      <c r="Z23" s="412"/>
      <c r="AA23" s="412"/>
      <c r="AB23" s="427"/>
    </row>
    <row r="24" spans="1:28" s="260" customFormat="1" ht="20.149999999999999" customHeight="1" outlineLevel="1" x14ac:dyDescent="0.35">
      <c r="A24" s="412"/>
      <c r="B24" s="1511" t="s">
        <v>973</v>
      </c>
      <c r="C24" s="1468" t="s">
        <v>190</v>
      </c>
      <c r="D24" s="1498">
        <v>0</v>
      </c>
      <c r="E24" s="412"/>
      <c r="F24" s="1507" t="s">
        <v>1003</v>
      </c>
      <c r="G24" s="1466" t="s">
        <v>352</v>
      </c>
      <c r="H24" s="1503">
        <f>D26*(D10)/G11</f>
        <v>341.83478733373761</v>
      </c>
      <c r="I24" s="412"/>
      <c r="J24" s="1451"/>
      <c r="K24" s="422"/>
      <c r="L24" s="422"/>
      <c r="M24" s="422"/>
      <c r="N24" s="414"/>
      <c r="O24" s="414"/>
      <c r="P24" s="414"/>
      <c r="Q24" s="414"/>
      <c r="R24" s="414"/>
      <c r="S24" s="412"/>
      <c r="T24" s="412"/>
      <c r="U24" s="422"/>
      <c r="V24" s="412"/>
      <c r="W24" s="413"/>
      <c r="X24" s="412"/>
      <c r="Y24" s="413"/>
      <c r="Z24" s="412"/>
      <c r="AA24" s="412"/>
      <c r="AB24" s="427"/>
    </row>
    <row r="25" spans="1:28" s="260" customFormat="1" ht="35.15" customHeight="1" outlineLevel="1" thickBot="1" x14ac:dyDescent="0.4">
      <c r="A25" s="412"/>
      <c r="B25" s="1507" t="s">
        <v>1006</v>
      </c>
      <c r="C25" s="1466" t="s">
        <v>285</v>
      </c>
      <c r="D25" s="1493">
        <f>D20</f>
        <v>341.84504237735774</v>
      </c>
      <c r="E25" s="412"/>
      <c r="F25" s="1508" t="s">
        <v>1004</v>
      </c>
      <c r="G25" s="1490" t="s">
        <v>353</v>
      </c>
      <c r="H25" s="1504">
        <f>H24/12</f>
        <v>28.486232277811467</v>
      </c>
      <c r="I25" s="412"/>
      <c r="J25" s="1451"/>
      <c r="K25" s="422"/>
      <c r="L25" s="422"/>
      <c r="M25" s="422"/>
      <c r="N25" s="414"/>
      <c r="O25" s="414"/>
      <c r="P25" s="414"/>
      <c r="Q25" s="414"/>
      <c r="R25" s="414"/>
      <c r="S25" s="412"/>
      <c r="T25" s="412"/>
      <c r="U25" s="422"/>
      <c r="V25" s="412"/>
      <c r="W25" s="413"/>
      <c r="X25" s="412"/>
      <c r="Y25" s="413"/>
      <c r="Z25" s="412"/>
      <c r="AA25" s="412"/>
      <c r="AB25" s="427"/>
    </row>
    <row r="26" spans="1:28" s="260" customFormat="1" ht="35.15" customHeight="1" outlineLevel="1" thickTop="1" thickBot="1" x14ac:dyDescent="0.4">
      <c r="A26" s="412"/>
      <c r="B26" s="1508" t="s">
        <v>1007</v>
      </c>
      <c r="C26" s="1490" t="s">
        <v>321</v>
      </c>
      <c r="D26" s="1491">
        <f>(D25*1000000/(D8*D11))*(1-D24)</f>
        <v>2.4505020958950374</v>
      </c>
      <c r="E26" s="412"/>
      <c r="F26" s="412"/>
      <c r="G26" s="412"/>
      <c r="H26" s="413"/>
      <c r="I26" s="412"/>
      <c r="J26" s="416"/>
      <c r="K26" s="422"/>
      <c r="L26" s="422"/>
      <c r="M26" s="422"/>
      <c r="N26" s="414"/>
      <c r="O26" s="414"/>
      <c r="P26" s="414"/>
      <c r="Q26" s="414"/>
      <c r="R26" s="414"/>
      <c r="S26" s="412"/>
      <c r="T26" s="412"/>
      <c r="U26" s="422"/>
      <c r="V26" s="412"/>
      <c r="W26" s="413"/>
      <c r="X26" s="412"/>
      <c r="Y26" s="413"/>
      <c r="Z26" s="412"/>
      <c r="AA26" s="412"/>
      <c r="AB26" s="427"/>
    </row>
    <row r="27" spans="1:28" s="260" customFormat="1" ht="7.4" customHeight="1" thickTop="1" x14ac:dyDescent="0.35">
      <c r="A27" s="412"/>
      <c r="B27" s="412"/>
      <c r="C27" s="413"/>
      <c r="D27" s="412"/>
      <c r="E27" s="412"/>
      <c r="F27" s="412"/>
      <c r="G27" s="412"/>
      <c r="H27" s="413"/>
      <c r="I27" s="413"/>
      <c r="J27" s="413"/>
      <c r="K27" s="413"/>
      <c r="L27" s="413"/>
      <c r="M27" s="413"/>
      <c r="N27" s="412"/>
      <c r="O27" s="412"/>
      <c r="P27" s="412"/>
      <c r="Q27" s="412"/>
      <c r="R27" s="412"/>
      <c r="S27" s="412"/>
      <c r="T27" s="412"/>
      <c r="U27" s="422"/>
      <c r="V27" s="412"/>
      <c r="W27" s="413"/>
      <c r="X27" s="412"/>
      <c r="Y27" s="413"/>
      <c r="Z27" s="412"/>
      <c r="AA27" s="412"/>
      <c r="AB27" s="427"/>
    </row>
    <row r="28" spans="1:28" s="260" customFormat="1" ht="7.4" customHeight="1" x14ac:dyDescent="0.35">
      <c r="A28" s="412"/>
      <c r="B28" s="412"/>
      <c r="C28" s="413"/>
      <c r="D28" s="412"/>
      <c r="E28" s="412"/>
      <c r="F28" s="412"/>
      <c r="G28" s="412"/>
      <c r="H28" s="413"/>
      <c r="I28" s="412"/>
      <c r="J28" s="413"/>
      <c r="K28" s="413"/>
      <c r="L28" s="413"/>
      <c r="M28" s="413"/>
      <c r="N28" s="412"/>
      <c r="O28" s="412"/>
      <c r="P28" s="412"/>
      <c r="Q28" s="412"/>
      <c r="R28" s="412"/>
      <c r="S28" s="412"/>
      <c r="T28" s="412"/>
      <c r="U28" s="422"/>
      <c r="V28" s="412"/>
      <c r="W28" s="413"/>
      <c r="X28" s="412"/>
      <c r="Y28" s="413"/>
      <c r="Z28" s="412"/>
      <c r="AA28" s="412"/>
      <c r="AB28" s="427"/>
    </row>
    <row r="29" spans="1:28" s="260" customFormat="1" ht="61.4" customHeight="1" x14ac:dyDescent="0.35">
      <c r="A29" s="412"/>
      <c r="B29" s="2135" t="s">
        <v>988</v>
      </c>
      <c r="C29" s="2136"/>
      <c r="D29" s="2136"/>
      <c r="E29" s="2137"/>
      <c r="F29" s="412"/>
      <c r="G29" s="412"/>
      <c r="H29" s="413"/>
      <c r="I29" s="412"/>
      <c r="J29" s="413"/>
      <c r="K29" s="2132" t="s">
        <v>354</v>
      </c>
      <c r="L29" s="2133"/>
      <c r="M29" s="2134"/>
      <c r="N29" s="412"/>
      <c r="O29" s="2143" t="s">
        <v>772</v>
      </c>
      <c r="P29" s="2144"/>
      <c r="Q29" s="2144"/>
      <c r="R29" s="2144"/>
      <c r="S29" s="2144"/>
      <c r="T29" s="2144"/>
      <c r="U29" s="2144"/>
      <c r="V29" s="2144"/>
      <c r="W29" s="2144"/>
      <c r="X29" s="2144"/>
      <c r="Y29" s="2144"/>
      <c r="Z29" s="2144"/>
      <c r="AA29" s="412"/>
      <c r="AB29" s="427"/>
    </row>
    <row r="30" spans="1:28" s="260" customFormat="1" ht="5.15" customHeight="1" x14ac:dyDescent="0.35">
      <c r="A30" s="412"/>
      <c r="B30" s="412"/>
      <c r="C30" s="413"/>
      <c r="D30" s="412"/>
      <c r="E30" s="412"/>
      <c r="F30" s="412"/>
      <c r="G30" s="412"/>
      <c r="H30" s="413"/>
      <c r="I30" s="412"/>
      <c r="J30" s="413"/>
      <c r="K30" s="413"/>
      <c r="L30" s="413"/>
      <c r="M30" s="413"/>
      <c r="N30" s="412"/>
      <c r="O30" s="412"/>
      <c r="P30" s="412"/>
      <c r="Q30" s="412"/>
      <c r="R30" s="412"/>
      <c r="S30" s="412"/>
      <c r="T30" s="412"/>
      <c r="U30" s="422"/>
      <c r="V30" s="412"/>
      <c r="W30" s="413"/>
      <c r="X30" s="412"/>
      <c r="Y30" s="413"/>
      <c r="Z30" s="412"/>
      <c r="AA30" s="412"/>
      <c r="AB30" s="427"/>
    </row>
    <row r="31" spans="1:28" s="260" customFormat="1" ht="20.149999999999999" customHeight="1" x14ac:dyDescent="0.35">
      <c r="A31" s="412"/>
      <c r="B31" s="2126" t="s">
        <v>989</v>
      </c>
      <c r="C31" s="2127"/>
      <c r="D31" s="2127"/>
      <c r="E31" s="2127"/>
      <c r="F31" s="2127"/>
      <c r="G31" s="2127"/>
      <c r="H31" s="2127"/>
      <c r="I31" s="2127"/>
      <c r="J31" s="2127"/>
      <c r="K31" s="2127"/>
      <c r="L31" s="1453" t="s">
        <v>355</v>
      </c>
      <c r="M31" s="1453" t="s">
        <v>356</v>
      </c>
      <c r="N31" s="412"/>
      <c r="O31" s="2095" t="s">
        <v>653</v>
      </c>
      <c r="P31" s="412"/>
      <c r="Q31" s="2095" t="s">
        <v>357</v>
      </c>
      <c r="R31" s="412"/>
      <c r="S31" s="2095" t="s">
        <v>654</v>
      </c>
      <c r="T31" s="412"/>
      <c r="U31" s="2095" t="s">
        <v>655</v>
      </c>
      <c r="V31" s="412"/>
      <c r="W31" s="2095" t="s">
        <v>655</v>
      </c>
      <c r="X31" s="412"/>
      <c r="Y31" s="2095" t="s">
        <v>465</v>
      </c>
      <c r="Z31" s="412"/>
      <c r="AA31" s="412"/>
      <c r="AB31" s="427"/>
    </row>
    <row r="32" spans="1:28" s="260" customFormat="1" ht="20.149999999999999" customHeight="1" x14ac:dyDescent="0.35">
      <c r="A32" s="412"/>
      <c r="B32" s="2128"/>
      <c r="C32" s="2127"/>
      <c r="D32" s="2127"/>
      <c r="E32" s="2127"/>
      <c r="F32" s="2127"/>
      <c r="G32" s="2127"/>
      <c r="H32" s="2127"/>
      <c r="I32" s="2127"/>
      <c r="J32" s="2127"/>
      <c r="K32" s="2127"/>
      <c r="L32" s="1454">
        <f>H24</f>
        <v>341.83478733373761</v>
      </c>
      <c r="M32" s="1455">
        <f>H25</f>
        <v>28.486232277811467</v>
      </c>
      <c r="N32" s="415"/>
      <c r="O32" s="2002"/>
      <c r="P32" s="415"/>
      <c r="Q32" s="2002"/>
      <c r="R32" s="415"/>
      <c r="S32" s="2002"/>
      <c r="T32" s="412"/>
      <c r="U32" s="2002"/>
      <c r="V32" s="412"/>
      <c r="W32" s="2002"/>
      <c r="X32" s="412"/>
      <c r="Y32" s="2131"/>
      <c r="Z32" s="412"/>
      <c r="AA32" s="412"/>
      <c r="AB32" s="427"/>
    </row>
    <row r="33" spans="1:28" s="260" customFormat="1" ht="10.15" customHeight="1" x14ac:dyDescent="0.35">
      <c r="A33" s="412"/>
      <c r="B33" s="412"/>
      <c r="C33" s="413"/>
      <c r="D33" s="412"/>
      <c r="E33" s="412"/>
      <c r="F33" s="412"/>
      <c r="G33" s="412"/>
      <c r="H33" s="413"/>
      <c r="I33" s="412"/>
      <c r="J33" s="413"/>
      <c r="K33" s="413"/>
      <c r="L33" s="413"/>
      <c r="M33" s="413"/>
      <c r="N33" s="412"/>
      <c r="O33" s="1847">
        <f>O36+O49+O62+O75+O88</f>
        <v>1000030</v>
      </c>
      <c r="P33" s="1848"/>
      <c r="Q33" s="1847">
        <f>(Q36+Q49+Q62+Q75+Q88)*12/1000000</f>
        <v>340.01422000128986</v>
      </c>
      <c r="R33" s="1848"/>
      <c r="S33" s="1847">
        <f>12*S34</f>
        <v>933970.98978188494</v>
      </c>
      <c r="T33" s="1848" t="s">
        <v>358</v>
      </c>
      <c r="U33" s="1847">
        <f>12*U34</f>
        <v>138752878.6736666</v>
      </c>
      <c r="V33" s="1848" t="s">
        <v>359</v>
      </c>
      <c r="W33" s="1847">
        <f>12*W34</f>
        <v>138752878.6736666</v>
      </c>
      <c r="X33" s="412" t="s">
        <v>359</v>
      </c>
      <c r="Y33" s="2145">
        <v>0.1</v>
      </c>
      <c r="Z33" s="412"/>
      <c r="AA33" s="412"/>
      <c r="AB33" s="427"/>
    </row>
    <row r="34" spans="1:28" s="260" customFormat="1" ht="35.15" customHeight="1" outlineLevel="1" x14ac:dyDescent="0.35">
      <c r="A34" s="412"/>
      <c r="B34" s="2105" t="s">
        <v>360</v>
      </c>
      <c r="C34" s="2106"/>
      <c r="D34" s="2106"/>
      <c r="E34" s="2106"/>
      <c r="F34" s="2106"/>
      <c r="G34" s="2106"/>
      <c r="H34" s="2106"/>
      <c r="I34" s="2106"/>
      <c r="J34" s="2106"/>
      <c r="K34" s="2106"/>
      <c r="L34" s="2106"/>
      <c r="M34" s="2106"/>
      <c r="N34" s="415"/>
      <c r="O34" s="1849"/>
      <c r="P34" s="1850"/>
      <c r="Q34" s="1849"/>
      <c r="R34" s="1850"/>
      <c r="S34" s="1847">
        <f>S36+S49+S62+S75+S88</f>
        <v>77830.915815157074</v>
      </c>
      <c r="T34" s="1848" t="s">
        <v>361</v>
      </c>
      <c r="U34" s="1847">
        <f>U36+U49+U62+U75+U88</f>
        <v>11562739.889472216</v>
      </c>
      <c r="V34" s="1848" t="s">
        <v>362</v>
      </c>
      <c r="W34" s="1847">
        <f>W36+W49+W62+W75+W88</f>
        <v>11562739.889472216</v>
      </c>
      <c r="X34" s="412" t="s">
        <v>362</v>
      </c>
      <c r="Y34" s="2146"/>
      <c r="Z34" s="412"/>
      <c r="AA34" s="412"/>
      <c r="AB34" s="427"/>
    </row>
    <row r="35" spans="1:28" s="260" customFormat="1" ht="25.15" customHeight="1" outlineLevel="1" x14ac:dyDescent="0.35">
      <c r="A35" s="412"/>
      <c r="B35" s="2107" t="s">
        <v>363</v>
      </c>
      <c r="C35" s="2099"/>
      <c r="D35" s="2099"/>
      <c r="E35" s="2108"/>
      <c r="F35" s="2099"/>
      <c r="G35" s="2099"/>
      <c r="H35" s="2099"/>
      <c r="I35" s="2108"/>
      <c r="J35" s="2099"/>
      <c r="K35" s="2099"/>
      <c r="L35" s="2099"/>
      <c r="M35" s="2099"/>
      <c r="N35" s="415"/>
      <c r="O35" s="838">
        <f>G9</f>
        <v>25</v>
      </c>
      <c r="P35" s="837"/>
      <c r="Q35" s="841"/>
      <c r="R35" s="415"/>
      <c r="S35" s="836"/>
      <c r="T35" s="412"/>
      <c r="U35" s="845"/>
      <c r="V35" s="412"/>
      <c r="W35" s="845"/>
      <c r="X35" s="412"/>
      <c r="Y35" s="282"/>
      <c r="Z35" s="412"/>
      <c r="AA35" s="412"/>
      <c r="AB35" s="427"/>
    </row>
    <row r="36" spans="1:28" s="260" customFormat="1" ht="36" customHeight="1" outlineLevel="1" x14ac:dyDescent="0.35">
      <c r="A36" s="412"/>
      <c r="B36" s="2107" t="s">
        <v>364</v>
      </c>
      <c r="C36" s="2107" t="s">
        <v>365</v>
      </c>
      <c r="D36" s="2110"/>
      <c r="E36" s="1311"/>
      <c r="F36" s="2098" t="s">
        <v>366</v>
      </c>
      <c r="G36" s="2099"/>
      <c r="H36" s="2100"/>
      <c r="I36" s="834"/>
      <c r="J36" s="2096" t="s">
        <v>994</v>
      </c>
      <c r="K36" s="2097"/>
      <c r="L36" s="2097"/>
      <c r="M36" s="2097"/>
      <c r="N36" s="412"/>
      <c r="O36" s="264">
        <f>O39+O41+O42+O43+O44+O45</f>
        <v>25</v>
      </c>
      <c r="P36" s="421"/>
      <c r="Q36" s="842">
        <f>Q39+Q41+Q42+Q43+Q44+Q45</f>
        <v>2049.2639422754096</v>
      </c>
      <c r="R36" s="412"/>
      <c r="S36" s="2093">
        <f>IF(AND(Q36&lt;&gt;0,O36&lt;&gt;0),Q36/(($D$25*1000000/$D$8)),0)</f>
        <v>5.629038316350508</v>
      </c>
      <c r="T36" s="2129" t="s">
        <v>367</v>
      </c>
      <c r="U36" s="2093">
        <f>U39+U41+U42+U43+U44+U45</f>
        <v>836.26288086357374</v>
      </c>
      <c r="V36" s="421" t="s">
        <v>368</v>
      </c>
      <c r="W36" s="2093">
        <f>W39*O39+W41*O41+W42*O42+W43*O43+W44*O44+W45*O45</f>
        <v>836.26288086357374</v>
      </c>
      <c r="X36" s="421" t="s">
        <v>368</v>
      </c>
      <c r="Y36" s="820" t="s">
        <v>369</v>
      </c>
      <c r="Z36" s="412"/>
      <c r="AA36" s="412"/>
      <c r="AB36" s="427"/>
    </row>
    <row r="37" spans="1:28" s="260" customFormat="1" ht="24" customHeight="1" outlineLevel="1" x14ac:dyDescent="0.35">
      <c r="A37" s="412"/>
      <c r="B37" s="2109"/>
      <c r="C37" s="1456" t="s">
        <v>370</v>
      </c>
      <c r="D37" s="1457" t="s">
        <v>371</v>
      </c>
      <c r="E37" s="1312"/>
      <c r="F37" s="2101"/>
      <c r="G37" s="2099"/>
      <c r="H37" s="2100"/>
      <c r="I37" s="835"/>
      <c r="J37" s="2102" t="s">
        <v>372</v>
      </c>
      <c r="K37" s="2103"/>
      <c r="L37" s="2104" t="s">
        <v>373</v>
      </c>
      <c r="M37" s="2103"/>
      <c r="N37" s="412"/>
      <c r="O37" s="839" t="s">
        <v>374</v>
      </c>
      <c r="P37" s="421"/>
      <c r="Q37" s="843">
        <v>0.66</v>
      </c>
      <c r="R37" s="412"/>
      <c r="S37" s="2114"/>
      <c r="T37" s="2130"/>
      <c r="U37" s="2114"/>
      <c r="V37" s="421"/>
      <c r="W37" s="2094"/>
      <c r="X37" s="421"/>
      <c r="Y37" s="846">
        <f>$Y$33</f>
        <v>0.1</v>
      </c>
      <c r="Z37" s="412"/>
      <c r="AA37" s="412"/>
      <c r="AB37" s="427"/>
    </row>
    <row r="38" spans="1:28" s="260" customFormat="1" ht="24" customHeight="1" outlineLevel="1" x14ac:dyDescent="0.35">
      <c r="A38" s="412"/>
      <c r="B38" s="2138">
        <v>1</v>
      </c>
      <c r="C38" s="2138">
        <v>1</v>
      </c>
      <c r="D38" s="2141">
        <v>1.25</v>
      </c>
      <c r="E38" s="835"/>
      <c r="F38" s="1464" t="s">
        <v>990</v>
      </c>
      <c r="G38" s="1465" t="s">
        <v>991</v>
      </c>
      <c r="H38" s="1467" t="s">
        <v>375</v>
      </c>
      <c r="I38" s="1461"/>
      <c r="J38" s="1469" t="s">
        <v>355</v>
      </c>
      <c r="K38" s="1470" t="s">
        <v>356</v>
      </c>
      <c r="L38" s="1469" t="s">
        <v>355</v>
      </c>
      <c r="M38" s="1470" t="s">
        <v>356</v>
      </c>
      <c r="N38" s="412"/>
      <c r="O38" s="287"/>
      <c r="P38" s="421"/>
      <c r="Q38" s="288"/>
      <c r="R38" s="412"/>
      <c r="S38" s="137"/>
      <c r="T38" s="421"/>
      <c r="U38" s="137"/>
      <c r="V38" s="421"/>
      <c r="W38" s="291"/>
      <c r="X38" s="421"/>
      <c r="Y38" s="291"/>
      <c r="Z38" s="412"/>
      <c r="AA38" s="412"/>
      <c r="AB38" s="427"/>
    </row>
    <row r="39" spans="1:28" s="260" customFormat="1" ht="24" customHeight="1" outlineLevel="1" x14ac:dyDescent="0.35">
      <c r="A39" s="412"/>
      <c r="B39" s="2139"/>
      <c r="C39" s="2140"/>
      <c r="D39" s="2142"/>
      <c r="E39" s="835"/>
      <c r="F39" s="1842" t="s">
        <v>332</v>
      </c>
      <c r="G39" s="1843">
        <v>5</v>
      </c>
      <c r="H39" s="1844">
        <v>0.35</v>
      </c>
      <c r="I39" s="1461"/>
      <c r="J39" s="1845">
        <f>$L$32*H39*$B$38*$C$38</f>
        <v>119.64217556680815</v>
      </c>
      <c r="K39" s="1846">
        <f>$M$32*H39*$B$38*$C$38</f>
        <v>9.9701812972340136</v>
      </c>
      <c r="L39" s="1845">
        <f t="shared" ref="L39:M39" si="0">J39*$D$38</f>
        <v>149.55271945851018</v>
      </c>
      <c r="M39" s="1846">
        <f t="shared" si="0"/>
        <v>12.462726621542517</v>
      </c>
      <c r="N39" s="412"/>
      <c r="O39" s="840">
        <v>5</v>
      </c>
      <c r="P39" s="421"/>
      <c r="Q39" s="285">
        <f>O39*$Q$37*M39+O39*(1-$Q$37)*K39</f>
        <v>58.076306056388134</v>
      </c>
      <c r="R39" s="412"/>
      <c r="S39" s="844">
        <f>IF(AND(Q39&lt;&gt;0,O39&lt;&gt;0),Q39/O39/30/(($D$25*1000000/$D$8))*1000,0)</f>
        <v>1.0635160111863307</v>
      </c>
      <c r="T39" s="421" t="s">
        <v>376</v>
      </c>
      <c r="U39" s="824">
        <f>S39*O39*30*$D$11*(1+$D$24)/1000</f>
        <v>23.699757757267275</v>
      </c>
      <c r="V39" s="421" t="s">
        <v>377</v>
      </c>
      <c r="W39" s="824">
        <f>IF(O39&lt;&gt;0,U39/O39,0)</f>
        <v>4.7399515514534549</v>
      </c>
      <c r="X39" s="421" t="s">
        <v>378</v>
      </c>
      <c r="Y39" s="286" t="str">
        <f>IF(O39=0,"-", IF(W39&lt;=(G39*(1+$Y$37)),"OK", "NOK"))</f>
        <v>OK</v>
      </c>
      <c r="Z39" s="850"/>
      <c r="AA39" s="851">
        <f>IF(OR(Y39="OK",Y39="-"),1,0)</f>
        <v>1</v>
      </c>
      <c r="AB39" s="427"/>
    </row>
    <row r="40" spans="1:28" s="260" customFormat="1" ht="24" customHeight="1" outlineLevel="1" x14ac:dyDescent="0.35">
      <c r="A40" s="412"/>
      <c r="B40" s="2139"/>
      <c r="C40" s="2140"/>
      <c r="D40" s="2142"/>
      <c r="E40" s="835"/>
      <c r="F40" s="1464" t="s">
        <v>992</v>
      </c>
      <c r="G40" s="1465" t="s">
        <v>993</v>
      </c>
      <c r="H40" s="1467" t="s">
        <v>375</v>
      </c>
      <c r="I40" s="1461"/>
      <c r="J40" s="1845"/>
      <c r="K40" s="1846"/>
      <c r="L40" s="1845"/>
      <c r="M40" s="1846"/>
      <c r="N40" s="412"/>
      <c r="O40" s="287"/>
      <c r="P40" s="421"/>
      <c r="Q40" s="288"/>
      <c r="R40" s="412"/>
      <c r="S40" s="289"/>
      <c r="T40" s="421"/>
      <c r="U40" s="290"/>
      <c r="V40" s="421"/>
      <c r="W40" s="290"/>
      <c r="X40" s="421"/>
      <c r="Y40" s="291"/>
      <c r="Z40" s="412"/>
      <c r="AA40" s="413"/>
      <c r="AB40" s="427"/>
    </row>
    <row r="41" spans="1:28" s="260" customFormat="1" ht="24" customHeight="1" outlineLevel="1" x14ac:dyDescent="0.35">
      <c r="A41" s="412"/>
      <c r="B41" s="2139"/>
      <c r="C41" s="2140"/>
      <c r="D41" s="2142"/>
      <c r="E41" s="835"/>
      <c r="F41" s="1842">
        <f>G39</f>
        <v>5</v>
      </c>
      <c r="G41" s="1843">
        <v>15</v>
      </c>
      <c r="H41" s="1844">
        <v>0.06</v>
      </c>
      <c r="I41" s="1461"/>
      <c r="J41" s="1845">
        <f>$L$32*(H39+(G41-F41)*H41)*$B$38*$C$38</f>
        <v>324.7430479670507</v>
      </c>
      <c r="K41" s="1846">
        <f>$M$32*(H39+(G41-F41)*H41)*$B$38*$C$38</f>
        <v>27.061920663920894</v>
      </c>
      <c r="L41" s="1845">
        <f t="shared" ref="L41:M41" si="1">J41*$D$38</f>
        <v>405.92880995881336</v>
      </c>
      <c r="M41" s="1846">
        <f t="shared" si="1"/>
        <v>33.827400829901116</v>
      </c>
      <c r="N41" s="412"/>
      <c r="O41" s="840">
        <v>0</v>
      </c>
      <c r="P41" s="421"/>
      <c r="Q41" s="285">
        <f t="shared" ref="Q41:Q45" si="2">O41*$Q$37*M41+O41*(1-$Q$37)*K41</f>
        <v>0</v>
      </c>
      <c r="R41" s="412"/>
      <c r="S41" s="844">
        <f>IF(AND(Q41&lt;&gt;0,O41&lt;&gt;0),Q41/O41/30/(($D$25*1000000/$D$8))*1000,0)</f>
        <v>0</v>
      </c>
      <c r="T41" s="421" t="s">
        <v>376</v>
      </c>
      <c r="U41" s="824">
        <f>S41*O41*30*$D$11*(1+$D$24)/1000</f>
        <v>0</v>
      </c>
      <c r="V41" s="421" t="s">
        <v>377</v>
      </c>
      <c r="W41" s="824">
        <f t="shared" ref="W41:W45" si="3">IF(O41&lt;&gt;0,U41/O41,0)</f>
        <v>0</v>
      </c>
      <c r="X41" s="421" t="s">
        <v>378</v>
      </c>
      <c r="Y41" s="264" t="str">
        <f t="shared" ref="Y41:Y45" si="4">IF(O41=0,"-",IF(AND(((F41*(1-$Y$37))&lt;W41),(W41&lt;(G41*(1+$Y$37)))),"OK", "NOK"))</f>
        <v>-</v>
      </c>
      <c r="Z41" s="850"/>
      <c r="AA41" s="851">
        <f t="shared" ref="AA41:AA45" si="5">IF(OR(Y41="OK",Y41="-"),1,0)</f>
        <v>1</v>
      </c>
      <c r="AB41" s="427"/>
    </row>
    <row r="42" spans="1:28" s="260" customFormat="1" ht="24" customHeight="1" outlineLevel="1" x14ac:dyDescent="0.35">
      <c r="A42" s="412"/>
      <c r="B42" s="2139"/>
      <c r="C42" s="2140"/>
      <c r="D42" s="2142"/>
      <c r="E42" s="835"/>
      <c r="F42" s="1842">
        <f t="shared" ref="F42:F45" si="6">G41</f>
        <v>15</v>
      </c>
      <c r="G42" s="1843">
        <v>25</v>
      </c>
      <c r="H42" s="1844">
        <v>0.05</v>
      </c>
      <c r="I42" s="1461"/>
      <c r="J42" s="1845">
        <f>$L$32*(H39+(G41-F41)*H41+(G42-F42)*H42)*$B$38*$C$38</f>
        <v>495.6604416339195</v>
      </c>
      <c r="K42" s="1846">
        <f>$M$32*(H39+(G41-F41)*H41+(G42-F42)*H42)*$B$38*$C$38</f>
        <v>41.305036802826628</v>
      </c>
      <c r="L42" s="1845">
        <f t="shared" ref="L42:M42" si="7">J42*$D$38</f>
        <v>619.57555204239941</v>
      </c>
      <c r="M42" s="1846">
        <f t="shared" si="7"/>
        <v>51.631296003533286</v>
      </c>
      <c r="N42" s="412"/>
      <c r="O42" s="840">
        <v>0</v>
      </c>
      <c r="P42" s="421"/>
      <c r="Q42" s="285">
        <f t="shared" si="2"/>
        <v>0</v>
      </c>
      <c r="R42" s="412"/>
      <c r="S42" s="844">
        <f>IF(AND(Q42&lt;&gt;0,O42&lt;&gt;0),Q42/O42/30/(($D$25*1000000/$D$8))*1000,0)</f>
        <v>0</v>
      </c>
      <c r="T42" s="421" t="s">
        <v>376</v>
      </c>
      <c r="U42" s="824">
        <f>S42*O42*30*$D$11*(1+$D$24)/1000</f>
        <v>0</v>
      </c>
      <c r="V42" s="421" t="s">
        <v>377</v>
      </c>
      <c r="W42" s="824">
        <f t="shared" si="3"/>
        <v>0</v>
      </c>
      <c r="X42" s="421" t="s">
        <v>378</v>
      </c>
      <c r="Y42" s="264" t="str">
        <f t="shared" si="4"/>
        <v>-</v>
      </c>
      <c r="Z42" s="850"/>
      <c r="AA42" s="851">
        <f t="shared" si="5"/>
        <v>1</v>
      </c>
      <c r="AB42" s="427"/>
    </row>
    <row r="43" spans="1:28" s="260" customFormat="1" ht="24" customHeight="1" outlineLevel="1" x14ac:dyDescent="0.35">
      <c r="A43" s="412"/>
      <c r="B43" s="2139"/>
      <c r="C43" s="2140"/>
      <c r="D43" s="2142"/>
      <c r="E43" s="835"/>
      <c r="F43" s="1842">
        <f t="shared" si="6"/>
        <v>25</v>
      </c>
      <c r="G43" s="1843">
        <v>35</v>
      </c>
      <c r="H43" s="1844">
        <v>3.5000000000000003E-2</v>
      </c>
      <c r="I43" s="1461"/>
      <c r="J43" s="1845">
        <f>$L$32*(H39+(G41-F41)*H41+(G42-F42)*H42+(G43-F43)*H43)*$B$38*$C$38</f>
        <v>615.3026172007277</v>
      </c>
      <c r="K43" s="1846">
        <f>$M$32*(H39+(G41-F41)*H41+(G42-F42)*H42+(G43-F43)*H43)*$B$38*$C$38</f>
        <v>51.275218100060641</v>
      </c>
      <c r="L43" s="1845">
        <f t="shared" ref="L43:M43" si="8">J43*$D$38</f>
        <v>769.12827150090959</v>
      </c>
      <c r="M43" s="1846">
        <f t="shared" si="8"/>
        <v>64.094022625075809</v>
      </c>
      <c r="N43" s="412"/>
      <c r="O43" s="840">
        <v>0</v>
      </c>
      <c r="P43" s="421"/>
      <c r="Q43" s="285">
        <f t="shared" si="2"/>
        <v>0</v>
      </c>
      <c r="R43" s="412"/>
      <c r="S43" s="844">
        <f>IF(AND(Q43&lt;&gt;0,O43&lt;&gt;0),Q43/O43/30/(($D$25*1000000/$D$8))*1000,0)</f>
        <v>0</v>
      </c>
      <c r="T43" s="421" t="s">
        <v>376</v>
      </c>
      <c r="U43" s="824">
        <f>S43*O43*30*$D$11*(1+$D$24)/1000</f>
        <v>0</v>
      </c>
      <c r="V43" s="421" t="s">
        <v>377</v>
      </c>
      <c r="W43" s="824">
        <f t="shared" si="3"/>
        <v>0</v>
      </c>
      <c r="X43" s="421" t="s">
        <v>378</v>
      </c>
      <c r="Y43" s="264" t="str">
        <f t="shared" si="4"/>
        <v>-</v>
      </c>
      <c r="Z43" s="850"/>
      <c r="AA43" s="851">
        <f t="shared" si="5"/>
        <v>1</v>
      </c>
      <c r="AB43" s="427"/>
    </row>
    <row r="44" spans="1:28" s="260" customFormat="1" ht="24" customHeight="1" outlineLevel="1" x14ac:dyDescent="0.35">
      <c r="A44" s="412"/>
      <c r="B44" s="2139"/>
      <c r="C44" s="2140"/>
      <c r="D44" s="2142"/>
      <c r="E44" s="835"/>
      <c r="F44" s="1842">
        <f t="shared" si="6"/>
        <v>35</v>
      </c>
      <c r="G44" s="1843">
        <v>50</v>
      </c>
      <c r="H44" s="1844">
        <f>0.03+0.05</f>
        <v>0.08</v>
      </c>
      <c r="I44" s="1461"/>
      <c r="J44" s="1845">
        <f>$L$32*(H39+(G41-F41)*H41+(G42-F42)*H42+(G43-F43)*H43+(G44-F44)*H44)*$B$38*$C$38</f>
        <v>1025.5043620012129</v>
      </c>
      <c r="K44" s="1846">
        <f>$M$32*(H39+(G41-F41)*H41+(G42-F42)*H42+(G43-F43)*H43+(G44-F44)*H44)*$B$38*$C$38</f>
        <v>85.458696833434402</v>
      </c>
      <c r="L44" s="1845">
        <f t="shared" ref="L44:M44" si="9">J44*$D$38</f>
        <v>1281.8804525015162</v>
      </c>
      <c r="M44" s="1846">
        <f t="shared" si="9"/>
        <v>106.823371041793</v>
      </c>
      <c r="N44" s="412"/>
      <c r="O44" s="840">
        <v>20</v>
      </c>
      <c r="P44" s="421"/>
      <c r="Q44" s="285">
        <f t="shared" si="2"/>
        <v>1991.1876362190214</v>
      </c>
      <c r="R44" s="412"/>
      <c r="S44" s="844">
        <f>IF(AND(Q44&lt;&gt;0,O44&lt;&gt;0),Q44/O44/30/(($D$25*1000000/$D$8))*1000,0)</f>
        <v>9.1158515244542624</v>
      </c>
      <c r="T44" s="421" t="s">
        <v>376</v>
      </c>
      <c r="U44" s="824">
        <f>S44*O44*30*$D$11*(1+$D$24)/1000</f>
        <v>812.56312310630642</v>
      </c>
      <c r="V44" s="421" t="s">
        <v>377</v>
      </c>
      <c r="W44" s="824">
        <f t="shared" si="3"/>
        <v>40.628156155315324</v>
      </c>
      <c r="X44" s="421" t="s">
        <v>378</v>
      </c>
      <c r="Y44" s="264" t="str">
        <f t="shared" si="4"/>
        <v>OK</v>
      </c>
      <c r="Z44" s="850"/>
      <c r="AA44" s="851">
        <f t="shared" si="5"/>
        <v>1</v>
      </c>
      <c r="AB44" s="427"/>
    </row>
    <row r="45" spans="1:28" s="260" customFormat="1" ht="24" customHeight="1" outlineLevel="1" x14ac:dyDescent="0.35">
      <c r="A45" s="412"/>
      <c r="B45" s="2139"/>
      <c r="C45" s="2140"/>
      <c r="D45" s="2142"/>
      <c r="E45" s="835"/>
      <c r="F45" s="1842">
        <f t="shared" si="6"/>
        <v>50</v>
      </c>
      <c r="G45" s="1843">
        <v>100</v>
      </c>
      <c r="H45" s="1844">
        <v>2.5000000000000001E-2</v>
      </c>
      <c r="I45" s="1461"/>
      <c r="J45" s="1845">
        <f>$L$32*(H39+(G41-F41)*H41+(G42-F42)*H42+(G43-F43)*H43+(G44-F44)*H44+(G45-F45)*H45)*$B$38*$C$38</f>
        <v>1452.7978461683849</v>
      </c>
      <c r="K45" s="1846">
        <f>$M$32*(H39+(G41-F41)*H41+(G42-F42)*H42+(G43-F43)*H43+(G44-F44)*H44+(G45-F45)*H45)*$B$38*$C$38</f>
        <v>121.06648718069874</v>
      </c>
      <c r="L45" s="1845">
        <f t="shared" ref="L45:M45" si="10">J45*$D$38</f>
        <v>1815.9973077104812</v>
      </c>
      <c r="M45" s="1846">
        <f t="shared" si="10"/>
        <v>151.33310897587342</v>
      </c>
      <c r="N45" s="412"/>
      <c r="O45" s="840">
        <v>0</v>
      </c>
      <c r="P45" s="421"/>
      <c r="Q45" s="285">
        <f t="shared" si="2"/>
        <v>0</v>
      </c>
      <c r="R45" s="412"/>
      <c r="S45" s="844">
        <f>IF(AND(Q45&lt;&gt;0,O45&lt;&gt;0),Q45/O45/30/(($D$25*1000000/$D$8))*1000,0)</f>
        <v>0</v>
      </c>
      <c r="T45" s="421" t="s">
        <v>376</v>
      </c>
      <c r="U45" s="824">
        <f>S45*O45*30*$D$11*(1+$D$24)/1000</f>
        <v>0</v>
      </c>
      <c r="V45" s="421" t="s">
        <v>377</v>
      </c>
      <c r="W45" s="824">
        <f t="shared" si="3"/>
        <v>0</v>
      </c>
      <c r="X45" s="421" t="s">
        <v>378</v>
      </c>
      <c r="Y45" s="264" t="str">
        <f t="shared" si="4"/>
        <v>-</v>
      </c>
      <c r="Z45" s="850"/>
      <c r="AA45" s="851">
        <f t="shared" si="5"/>
        <v>1</v>
      </c>
      <c r="AB45" s="427"/>
    </row>
    <row r="46" spans="1:28" s="260" customFormat="1" ht="10.15" customHeight="1" outlineLevel="1" x14ac:dyDescent="0.35">
      <c r="A46" s="412"/>
      <c r="B46" s="412"/>
      <c r="C46" s="413"/>
      <c r="D46" s="412"/>
      <c r="E46" s="412"/>
      <c r="F46" s="413"/>
      <c r="G46" s="413"/>
      <c r="H46" s="413"/>
      <c r="I46" s="412"/>
      <c r="J46" s="413"/>
      <c r="K46" s="413"/>
      <c r="L46" s="413"/>
      <c r="M46" s="413"/>
      <c r="N46" s="412"/>
      <c r="O46" s="412"/>
      <c r="P46" s="412"/>
      <c r="Q46" s="412"/>
      <c r="R46" s="412"/>
      <c r="S46" s="412"/>
      <c r="T46" s="412"/>
      <c r="U46" s="412"/>
      <c r="V46" s="412"/>
      <c r="W46" s="413"/>
      <c r="X46" s="412"/>
      <c r="Y46" s="413"/>
      <c r="Z46" s="412"/>
      <c r="AA46" s="412"/>
      <c r="AB46" s="427"/>
    </row>
    <row r="47" spans="1:28" s="260" customFormat="1" ht="35.15" customHeight="1" outlineLevel="1" x14ac:dyDescent="0.35">
      <c r="A47" s="412"/>
      <c r="B47" s="2105" t="s">
        <v>379</v>
      </c>
      <c r="C47" s="2106"/>
      <c r="D47" s="2106"/>
      <c r="E47" s="2106"/>
      <c r="F47" s="2106"/>
      <c r="G47" s="2106"/>
      <c r="H47" s="2106"/>
      <c r="I47" s="2106"/>
      <c r="J47" s="2106"/>
      <c r="K47" s="2106"/>
      <c r="L47" s="2106"/>
      <c r="M47" s="2106"/>
      <c r="N47" s="415"/>
      <c r="O47" s="412"/>
      <c r="P47" s="415"/>
      <c r="Q47" s="412"/>
      <c r="R47" s="415"/>
      <c r="S47" s="412"/>
      <c r="T47" s="412"/>
      <c r="U47" s="412"/>
      <c r="V47" s="412"/>
      <c r="W47" s="413"/>
      <c r="X47" s="412"/>
      <c r="Y47" s="413"/>
      <c r="Z47" s="412"/>
      <c r="AA47" s="412"/>
      <c r="AB47" s="427"/>
    </row>
    <row r="48" spans="1:28" s="1478" customFormat="1" ht="25.15" customHeight="1" outlineLevel="1" x14ac:dyDescent="0.65">
      <c r="A48" s="1471"/>
      <c r="B48" s="2107" t="s">
        <v>363</v>
      </c>
      <c r="C48" s="2099"/>
      <c r="D48" s="2099"/>
      <c r="E48" s="2108"/>
      <c r="F48" s="2099"/>
      <c r="G48" s="2099"/>
      <c r="H48" s="2099"/>
      <c r="I48" s="2108"/>
      <c r="J48" s="2099"/>
      <c r="K48" s="2099"/>
      <c r="L48" s="2099"/>
      <c r="M48" s="2099"/>
      <c r="N48" s="1472"/>
      <c r="O48" s="1851">
        <f>G6</f>
        <v>666666.66666666674</v>
      </c>
      <c r="P48" s="1474"/>
      <c r="Q48" s="1475"/>
      <c r="R48" s="1472"/>
      <c r="S48" s="1475"/>
      <c r="T48" s="1471"/>
      <c r="U48" s="1471"/>
      <c r="V48" s="1471"/>
      <c r="W48" s="1476"/>
      <c r="X48" s="1471"/>
      <c r="Y48" s="1476"/>
      <c r="Z48" s="1471"/>
      <c r="AA48" s="1471"/>
      <c r="AB48" s="1477"/>
    </row>
    <row r="49" spans="1:28" s="260" customFormat="1" ht="44.15" customHeight="1" outlineLevel="1" x14ac:dyDescent="0.35">
      <c r="A49" s="412"/>
      <c r="B49" s="2107" t="s">
        <v>364</v>
      </c>
      <c r="C49" s="2107" t="s">
        <v>365</v>
      </c>
      <c r="D49" s="2110"/>
      <c r="E49" s="1311"/>
      <c r="F49" s="2098" t="s">
        <v>366</v>
      </c>
      <c r="G49" s="2099"/>
      <c r="H49" s="2100"/>
      <c r="I49" s="834"/>
      <c r="J49" s="2096" t="s">
        <v>994</v>
      </c>
      <c r="K49" s="2097"/>
      <c r="L49" s="2097"/>
      <c r="M49" s="2097"/>
      <c r="N49" s="412"/>
      <c r="O49" s="264">
        <f>O52+O54+O55+O56+O57+O58</f>
        <v>666666</v>
      </c>
      <c r="P49" s="421"/>
      <c r="Q49" s="848">
        <f>Q52+Q54+Q55+Q56+Q57+Q58</f>
        <v>17164633.950837314</v>
      </c>
      <c r="R49" s="412"/>
      <c r="S49" s="2113">
        <f>IF(AND(Q49&lt;&gt;0,O49&lt;&gt;0),Q49/(($D$25*1000000/$D$8)),0)</f>
        <v>47148.822658788966</v>
      </c>
      <c r="T49" s="2129" t="s">
        <v>367</v>
      </c>
      <c r="U49" s="2093">
        <f>U52+U54+U55+U56+U57+U58</f>
        <v>7004537.5515453247</v>
      </c>
      <c r="V49" s="421" t="s">
        <v>368</v>
      </c>
      <c r="W49" s="2111">
        <f>W52*O52+W54*O54+W55*O55+W56*O56+W57*O57+W58*O58</f>
        <v>7004537.5515453247</v>
      </c>
      <c r="X49" s="421" t="s">
        <v>368</v>
      </c>
      <c r="Y49" s="820" t="s">
        <v>369</v>
      </c>
      <c r="Z49" s="412"/>
      <c r="AA49" s="412"/>
      <c r="AB49" s="427"/>
    </row>
    <row r="50" spans="1:28" s="260" customFormat="1" ht="24" customHeight="1" outlineLevel="1" x14ac:dyDescent="0.35">
      <c r="A50" s="412"/>
      <c r="B50" s="2109"/>
      <c r="C50" s="1456" t="s">
        <v>370</v>
      </c>
      <c r="D50" s="1457" t="s">
        <v>371</v>
      </c>
      <c r="E50" s="1312"/>
      <c r="F50" s="2101"/>
      <c r="G50" s="2099"/>
      <c r="H50" s="2100"/>
      <c r="I50" s="835"/>
      <c r="J50" s="2102" t="s">
        <v>372</v>
      </c>
      <c r="K50" s="2103"/>
      <c r="L50" s="2104" t="s">
        <v>373</v>
      </c>
      <c r="M50" s="2103"/>
      <c r="N50" s="412"/>
      <c r="O50" s="847" t="s">
        <v>374</v>
      </c>
      <c r="P50" s="421"/>
      <c r="Q50" s="843">
        <v>0.66</v>
      </c>
      <c r="R50" s="412"/>
      <c r="S50" s="2114"/>
      <c r="T50" s="2130"/>
      <c r="U50" s="2114"/>
      <c r="V50" s="421"/>
      <c r="W50" s="2112"/>
      <c r="X50" s="421"/>
      <c r="Y50" s="846">
        <f>$Y$33</f>
        <v>0.1</v>
      </c>
      <c r="Z50" s="412"/>
      <c r="AA50" s="412"/>
      <c r="AB50" s="427"/>
    </row>
    <row r="51" spans="1:28" s="260" customFormat="1" ht="24" customHeight="1" outlineLevel="1" x14ac:dyDescent="0.35">
      <c r="A51" s="412"/>
      <c r="B51" s="2118">
        <v>1.075</v>
      </c>
      <c r="C51" s="2118">
        <v>1</v>
      </c>
      <c r="D51" s="2121">
        <v>1.25</v>
      </c>
      <c r="E51" s="835"/>
      <c r="F51" s="1464" t="s">
        <v>934</v>
      </c>
      <c r="G51" s="1465" t="s">
        <v>936</v>
      </c>
      <c r="H51" s="1467" t="s">
        <v>375</v>
      </c>
      <c r="I51" s="1461"/>
      <c r="J51" s="1469" t="s">
        <v>355</v>
      </c>
      <c r="K51" s="1470" t="s">
        <v>356</v>
      </c>
      <c r="L51" s="1469" t="s">
        <v>355</v>
      </c>
      <c r="M51" s="1470" t="s">
        <v>356</v>
      </c>
      <c r="N51" s="412"/>
      <c r="O51" s="287"/>
      <c r="P51" s="421"/>
      <c r="Q51" s="288"/>
      <c r="R51" s="412"/>
      <c r="S51" s="137"/>
      <c r="T51" s="421"/>
      <c r="U51" s="137"/>
      <c r="V51" s="421"/>
      <c r="W51" s="282"/>
      <c r="X51" s="421"/>
      <c r="Y51" s="849"/>
      <c r="Z51" s="412"/>
      <c r="AA51" s="412"/>
      <c r="AB51" s="427"/>
    </row>
    <row r="52" spans="1:28" s="260" customFormat="1" ht="24" customHeight="1" outlineLevel="1" x14ac:dyDescent="0.35">
      <c r="A52" s="412"/>
      <c r="B52" s="2119"/>
      <c r="C52" s="2120"/>
      <c r="D52" s="2122"/>
      <c r="E52" s="835"/>
      <c r="F52" s="1458" t="s">
        <v>332</v>
      </c>
      <c r="G52" s="1459">
        <v>5</v>
      </c>
      <c r="H52" s="1460">
        <v>0.35</v>
      </c>
      <c r="I52" s="1461"/>
      <c r="J52" s="1462">
        <f>$L$32*H52*$B$51*$C$51</f>
        <v>128.61533873431875</v>
      </c>
      <c r="K52" s="1463">
        <f>$M$32*H52*$B$51*$C$51</f>
        <v>10.717944894526564</v>
      </c>
      <c r="L52" s="1462">
        <f t="shared" ref="L52:M52" si="11">J52*$D$51</f>
        <v>160.76917341789846</v>
      </c>
      <c r="M52" s="1463">
        <f t="shared" si="11"/>
        <v>13.397431118158206</v>
      </c>
      <c r="N52" s="412"/>
      <c r="O52" s="840">
        <v>346400</v>
      </c>
      <c r="P52" s="421"/>
      <c r="Q52" s="285">
        <f>O52*$Q$50*M52+O52*(1-$Q$50)*K52</f>
        <v>4325290.9698555619</v>
      </c>
      <c r="R52" s="412"/>
      <c r="S52" s="844">
        <f>IF(AND(Q52&lt;&gt;0,O52&lt;&gt;0),Q52/O52/30/(($D$25*1000000/$D$8))*1000,0)</f>
        <v>1.1432797120253055</v>
      </c>
      <c r="T52" s="421" t="s">
        <v>376</v>
      </c>
      <c r="U52" s="824">
        <f>S52*O52*30*$D$11*(1+$D$24)/1000</f>
        <v>1765063.1587302377</v>
      </c>
      <c r="V52" s="421" t="s">
        <v>377</v>
      </c>
      <c r="W52" s="824">
        <f>IF(O52&lt;&gt;0,U52/O52,0)</f>
        <v>5.0954479178124643</v>
      </c>
      <c r="X52" s="421" t="s">
        <v>378</v>
      </c>
      <c r="Y52" s="286" t="str">
        <f>IF(O52=0,"-", IF(W52&lt;=(G52*(1+$Y$50)),"OK", "NOK"))</f>
        <v>OK</v>
      </c>
      <c r="Z52" s="148"/>
      <c r="AA52" s="247">
        <f>IF(OR(Y52="OK",Y52="-"),1,0)</f>
        <v>1</v>
      </c>
      <c r="AB52" s="427"/>
    </row>
    <row r="53" spans="1:28" s="260" customFormat="1" ht="24" customHeight="1" outlineLevel="1" x14ac:dyDescent="0.35">
      <c r="A53" s="412"/>
      <c r="B53" s="2119"/>
      <c r="C53" s="2120"/>
      <c r="D53" s="2122"/>
      <c r="E53" s="835"/>
      <c r="F53" s="1464" t="s">
        <v>935</v>
      </c>
      <c r="G53" s="1465" t="s">
        <v>937</v>
      </c>
      <c r="H53" s="1467" t="s">
        <v>375</v>
      </c>
      <c r="I53" s="1461"/>
      <c r="J53" s="1462"/>
      <c r="K53" s="1463"/>
      <c r="L53" s="1462"/>
      <c r="M53" s="1463"/>
      <c r="N53" s="412"/>
      <c r="O53" s="287"/>
      <c r="P53" s="421"/>
      <c r="Q53" s="288"/>
      <c r="R53" s="412"/>
      <c r="S53" s="289"/>
      <c r="T53" s="421"/>
      <c r="U53" s="290"/>
      <c r="V53" s="421"/>
      <c r="W53" s="852"/>
      <c r="X53" s="421"/>
      <c r="Y53" s="849"/>
      <c r="Z53" s="412"/>
      <c r="AA53" s="413"/>
      <c r="AB53" s="427"/>
    </row>
    <row r="54" spans="1:28" s="260" customFormat="1" ht="24" customHeight="1" outlineLevel="1" x14ac:dyDescent="0.35">
      <c r="A54" s="412"/>
      <c r="B54" s="2119"/>
      <c r="C54" s="2120"/>
      <c r="D54" s="2122"/>
      <c r="E54" s="835"/>
      <c r="F54" s="1458">
        <f>G52</f>
        <v>5</v>
      </c>
      <c r="G54" s="1459">
        <v>15</v>
      </c>
      <c r="H54" s="1460">
        <f>0.06</f>
        <v>0.06</v>
      </c>
      <c r="I54" s="1461"/>
      <c r="J54" s="1462">
        <f>$L$32*(H52+(G54-F54)*H54)*$B$51*$C$51</f>
        <v>349.09877656457951</v>
      </c>
      <c r="K54" s="1463">
        <f>$M$32*(H52+(G54-F54)*H54)*$B$51*$C$51</f>
        <v>29.091564713714959</v>
      </c>
      <c r="L54" s="1462">
        <f t="shared" ref="L54:M54" si="12">J54*$D$51</f>
        <v>436.3734707057244</v>
      </c>
      <c r="M54" s="1463">
        <f t="shared" si="12"/>
        <v>36.364455892143695</v>
      </c>
      <c r="N54" s="412"/>
      <c r="O54" s="840">
        <v>251500</v>
      </c>
      <c r="P54" s="421"/>
      <c r="Q54" s="285">
        <f t="shared" ref="Q54:Q58" si="13">O54*$Q$50*M54+O54*(1-$Q$50)*K54</f>
        <v>8523755.7322066985</v>
      </c>
      <c r="R54" s="412"/>
      <c r="S54" s="844">
        <f>IF(AND(Q54&lt;&gt;0,O54&lt;&gt;0),Q54/O54/30/(($D$25*1000000/$D$8))*1000,0)</f>
        <v>3.1031877897829716</v>
      </c>
      <c r="T54" s="421" t="s">
        <v>376</v>
      </c>
      <c r="U54" s="824">
        <f>S54*O54*30*$D$11*(1+$D$24)/1000</f>
        <v>3478371.1250381223</v>
      </c>
      <c r="V54" s="421" t="s">
        <v>377</v>
      </c>
      <c r="W54" s="853">
        <f t="shared" ref="W54:W58" si="14">IF(O54&lt;&gt;0,U54/O54,0)</f>
        <v>13.830501491205258</v>
      </c>
      <c r="X54" s="421" t="s">
        <v>378</v>
      </c>
      <c r="Y54" s="286" t="str">
        <f t="shared" ref="Y54:Y58" si="15">IF(O54=0,"-",IF(AND(((F54*(1-$Y$50))&lt;W54),(W54&lt;(G54*(1+$Y$50)))),"OK", "NOK"))</f>
        <v>OK</v>
      </c>
      <c r="Z54" s="148"/>
      <c r="AA54" s="247">
        <f t="shared" ref="AA54:AA58" si="16">IF(OR(Y54="OK",Y54="-"),1,0)</f>
        <v>1</v>
      </c>
      <c r="AB54" s="427"/>
    </row>
    <row r="55" spans="1:28" s="260" customFormat="1" ht="24" customHeight="1" outlineLevel="1" x14ac:dyDescent="0.35">
      <c r="A55" s="412"/>
      <c r="B55" s="2119"/>
      <c r="C55" s="2120"/>
      <c r="D55" s="2122"/>
      <c r="E55" s="835"/>
      <c r="F55" s="1458">
        <f t="shared" ref="F55:F58" si="17">G54</f>
        <v>15</v>
      </c>
      <c r="G55" s="1459">
        <v>25</v>
      </c>
      <c r="H55" s="1460">
        <f>0.05-0</f>
        <v>0.05</v>
      </c>
      <c r="I55" s="1461"/>
      <c r="J55" s="1462">
        <f>$L$32*(H52+(G54-F54)*H54+(G55-F55)*H55)*$B$51*$C$51</f>
        <v>532.83497475646345</v>
      </c>
      <c r="K55" s="1463">
        <f>$M$32*(H52+(G54-F54)*H54+(G55-F55)*H55)*$B$51*$C$51</f>
        <v>44.402914563038621</v>
      </c>
      <c r="L55" s="1462">
        <f t="shared" ref="L55:M55" si="18">J55*$D$51</f>
        <v>666.04371844557932</v>
      </c>
      <c r="M55" s="1463">
        <f t="shared" si="18"/>
        <v>55.503643203798276</v>
      </c>
      <c r="N55" s="412"/>
      <c r="O55" s="840">
        <v>30000</v>
      </c>
      <c r="P55" s="421"/>
      <c r="Q55" s="285">
        <f t="shared" si="13"/>
        <v>1551881.8639781997</v>
      </c>
      <c r="R55" s="412"/>
      <c r="S55" s="844">
        <f>IF(AND(Q55&lt;&gt;0,O55&lt;&gt;0),Q55/O55/30/(($D$25*1000000/$D$8))*1000,0)</f>
        <v>4.7364445212476936</v>
      </c>
      <c r="T55" s="421" t="s">
        <v>376</v>
      </c>
      <c r="U55" s="824">
        <f>S55*O55*30*$D$11*(1+$D$24)/1000</f>
        <v>633291.38407097769</v>
      </c>
      <c r="V55" s="421" t="s">
        <v>377</v>
      </c>
      <c r="W55" s="854">
        <f t="shared" si="14"/>
        <v>21.109712802365923</v>
      </c>
      <c r="X55" s="421" t="s">
        <v>378</v>
      </c>
      <c r="Y55" s="286" t="str">
        <f t="shared" si="15"/>
        <v>OK</v>
      </c>
      <c r="Z55" s="148"/>
      <c r="AA55" s="247">
        <f t="shared" si="16"/>
        <v>1</v>
      </c>
      <c r="AB55" s="427"/>
    </row>
    <row r="56" spans="1:28" s="260" customFormat="1" ht="24" customHeight="1" outlineLevel="1" x14ac:dyDescent="0.35">
      <c r="A56" s="412"/>
      <c r="B56" s="2119"/>
      <c r="C56" s="2120"/>
      <c r="D56" s="2122"/>
      <c r="E56" s="835"/>
      <c r="F56" s="1458">
        <f t="shared" si="17"/>
        <v>25</v>
      </c>
      <c r="G56" s="1459">
        <v>35</v>
      </c>
      <c r="H56" s="1460">
        <v>3.5000000000000003E-2</v>
      </c>
      <c r="I56" s="1461"/>
      <c r="J56" s="1462">
        <f>$L$32*(H52+(G54-F54)*H54+(G55-F55)*H55+(G56-F56)*H56)*$B$51*$C$51</f>
        <v>661.45031349078226</v>
      </c>
      <c r="K56" s="1463">
        <f>$M$32*(H52+(G54-F54)*H54+(G55-F55)*H55+(G56-F56)*H56)*$B$51*$C$51</f>
        <v>55.120859457565189</v>
      </c>
      <c r="L56" s="1462">
        <f t="shared" ref="L56:M56" si="19">J56*$D$51</f>
        <v>826.81289186347783</v>
      </c>
      <c r="M56" s="1463">
        <f t="shared" si="19"/>
        <v>68.901074321956486</v>
      </c>
      <c r="N56" s="412"/>
      <c r="O56" s="840">
        <v>33400</v>
      </c>
      <c r="P56" s="421"/>
      <c r="Q56" s="285">
        <f t="shared" si="13"/>
        <v>2144807.7623533192</v>
      </c>
      <c r="R56" s="412"/>
      <c r="S56" s="844">
        <f>IF(AND(Q56&lt;&gt;0,O56&lt;&gt;0),Q56/O56/30/(($D$25*1000000/$D$8))*1000,0)</f>
        <v>5.8797242332730004</v>
      </c>
      <c r="T56" s="421" t="s">
        <v>376</v>
      </c>
      <c r="U56" s="824">
        <f>S56*O56*30*$D$11*(1+$D$24)/1000</f>
        <v>875252.36805395817</v>
      </c>
      <c r="V56" s="421" t="s">
        <v>377</v>
      </c>
      <c r="W56" s="854">
        <f t="shared" si="14"/>
        <v>26.205160720178387</v>
      </c>
      <c r="X56" s="421" t="s">
        <v>378</v>
      </c>
      <c r="Y56" s="286" t="str">
        <f t="shared" si="15"/>
        <v>OK</v>
      </c>
      <c r="Z56" s="148"/>
      <c r="AA56" s="247">
        <f t="shared" si="16"/>
        <v>1</v>
      </c>
      <c r="AB56" s="427"/>
    </row>
    <row r="57" spans="1:28" s="260" customFormat="1" ht="24" customHeight="1" outlineLevel="1" x14ac:dyDescent="0.35">
      <c r="A57" s="412"/>
      <c r="B57" s="2119"/>
      <c r="C57" s="2120"/>
      <c r="D57" s="2122"/>
      <c r="E57" s="835"/>
      <c r="F57" s="1458">
        <f t="shared" si="17"/>
        <v>35</v>
      </c>
      <c r="G57" s="1459">
        <v>50</v>
      </c>
      <c r="H57" s="1460">
        <f>0.03+0.05</f>
        <v>0.08</v>
      </c>
      <c r="I57" s="1461"/>
      <c r="J57" s="1462">
        <f>$L$32*(H52+(G54-F54)*H54+(G55-F55)*H55+(G56-F56)*H56+(G57-F57)*H57)*$B$51*$C$51</f>
        <v>1102.4171891513038</v>
      </c>
      <c r="K57" s="1463">
        <f>$M$32*(H52+(G54-F54)*H54+(G55-F55)*H55+(G56-F56)*H56+(G57-F57)*H57)*$B$51*$C$51</f>
        <v>91.868099095941972</v>
      </c>
      <c r="L57" s="1462">
        <f t="shared" ref="L57:M57" si="20">J57*$D$51</f>
        <v>1378.0214864391296</v>
      </c>
      <c r="M57" s="1463">
        <f t="shared" si="20"/>
        <v>114.83512386992746</v>
      </c>
      <c r="N57" s="412"/>
      <c r="O57" s="840">
        <v>4366</v>
      </c>
      <c r="P57" s="421"/>
      <c r="Q57" s="285">
        <f t="shared" si="13"/>
        <v>467276.98056060821</v>
      </c>
      <c r="R57" s="412"/>
      <c r="S57" s="844">
        <f>IF(AND(Q57&lt;&gt;0,O57&lt;&gt;0),Q57/O57/30/(($D$25*1000000/$D$8))*1000,0)</f>
        <v>9.7995403887883299</v>
      </c>
      <c r="T57" s="421" t="s">
        <v>376</v>
      </c>
      <c r="U57" s="824">
        <f>S57*O57*30*$D$11*(1+$D$24)/1000</f>
        <v>190686.21950716467</v>
      </c>
      <c r="V57" s="421" t="s">
        <v>377</v>
      </c>
      <c r="W57" s="854">
        <f t="shared" si="14"/>
        <v>43.675267866963964</v>
      </c>
      <c r="X57" s="421" t="s">
        <v>378</v>
      </c>
      <c r="Y57" s="286" t="str">
        <f t="shared" si="15"/>
        <v>OK</v>
      </c>
      <c r="Z57" s="148"/>
      <c r="AA57" s="247">
        <f t="shared" si="16"/>
        <v>1</v>
      </c>
      <c r="AB57" s="427"/>
    </row>
    <row r="58" spans="1:28" s="260" customFormat="1" ht="24" customHeight="1" outlineLevel="1" x14ac:dyDescent="0.35">
      <c r="A58" s="412"/>
      <c r="B58" s="2119"/>
      <c r="C58" s="2120"/>
      <c r="D58" s="2122"/>
      <c r="E58" s="835"/>
      <c r="F58" s="1458">
        <f t="shared" si="17"/>
        <v>50</v>
      </c>
      <c r="G58" s="1459">
        <v>100</v>
      </c>
      <c r="H58" s="1460">
        <v>2.5000000000000001E-2</v>
      </c>
      <c r="I58" s="1461"/>
      <c r="J58" s="1462">
        <f>$L$32*(H52+(G54-F54)*H54+(G55-F55)*H55+(G56-F56)*H56+(G57-F57)*H57+(G58-F58)*H58)*$B$51*$C$51</f>
        <v>1561.7576846310137</v>
      </c>
      <c r="K58" s="1463">
        <f>$M$32*(H52+(G54-F54)*H54+(G55-F55)*H55+(G56-F56)*H56+(G57-F57)*H57+(G58-F58)*H58)*$B$51*$C$51</f>
        <v>130.14647371925113</v>
      </c>
      <c r="L58" s="1462">
        <f t="shared" ref="L58:M58" si="21">J58*$D$51</f>
        <v>1952.1971057887672</v>
      </c>
      <c r="M58" s="1463">
        <f t="shared" si="21"/>
        <v>162.68309214906392</v>
      </c>
      <c r="N58" s="412"/>
      <c r="O58" s="840">
        <v>1000</v>
      </c>
      <c r="P58" s="421"/>
      <c r="Q58" s="285">
        <f t="shared" si="13"/>
        <v>151620.64188292756</v>
      </c>
      <c r="R58" s="412"/>
      <c r="S58" s="844">
        <f>IF(AND(Q58&lt;&gt;0,O58&lt;&gt;0),Q58/O58/30/(($D$25*1000000/$D$8))*1000,0)</f>
        <v>13.882682217450139</v>
      </c>
      <c r="T58" s="421" t="s">
        <v>376</v>
      </c>
      <c r="U58" s="824">
        <f>S58*O58*30*$D$11*(1+$D$24)/1000</f>
        <v>61873.296144865642</v>
      </c>
      <c r="V58" s="421" t="s">
        <v>377</v>
      </c>
      <c r="W58" s="855">
        <f t="shared" si="14"/>
        <v>61.873296144865641</v>
      </c>
      <c r="X58" s="421" t="s">
        <v>378</v>
      </c>
      <c r="Y58" s="286" t="str">
        <f t="shared" si="15"/>
        <v>OK</v>
      </c>
      <c r="Z58" s="148"/>
      <c r="AA58" s="247">
        <f t="shared" si="16"/>
        <v>1</v>
      </c>
      <c r="AB58" s="427"/>
    </row>
    <row r="59" spans="1:28" s="260" customFormat="1" ht="10.15" customHeight="1" outlineLevel="1" x14ac:dyDescent="0.35">
      <c r="A59" s="412"/>
      <c r="B59" s="1451"/>
      <c r="C59" s="416"/>
      <c r="D59" s="1451"/>
      <c r="E59" s="1451"/>
      <c r="F59" s="1451"/>
      <c r="G59" s="1451"/>
      <c r="H59" s="416"/>
      <c r="I59" s="1451"/>
      <c r="J59" s="416"/>
      <c r="K59" s="416"/>
      <c r="L59" s="416"/>
      <c r="M59" s="416"/>
      <c r="N59" s="412"/>
      <c r="O59" s="412"/>
      <c r="P59" s="412"/>
      <c r="Q59" s="412"/>
      <c r="R59" s="412"/>
      <c r="S59" s="412"/>
      <c r="T59" s="412"/>
      <c r="U59" s="412"/>
      <c r="V59" s="412"/>
      <c r="W59" s="413"/>
      <c r="X59" s="412"/>
      <c r="Y59" s="413"/>
      <c r="Z59" s="412"/>
      <c r="AA59" s="412"/>
      <c r="AB59" s="427"/>
    </row>
    <row r="60" spans="1:28" s="260" customFormat="1" ht="35.15" customHeight="1" outlineLevel="1" x14ac:dyDescent="0.35">
      <c r="A60" s="412"/>
      <c r="B60" s="2105" t="s">
        <v>380</v>
      </c>
      <c r="C60" s="2106"/>
      <c r="D60" s="2106"/>
      <c r="E60" s="2106"/>
      <c r="F60" s="2106"/>
      <c r="G60" s="2106"/>
      <c r="H60" s="2106"/>
      <c r="I60" s="2106"/>
      <c r="J60" s="2106"/>
      <c r="K60" s="2106"/>
      <c r="L60" s="2106"/>
      <c r="M60" s="2106"/>
      <c r="N60" s="415"/>
      <c r="O60" s="412"/>
      <c r="P60" s="415"/>
      <c r="Q60" s="412"/>
      <c r="R60" s="415"/>
      <c r="S60" s="412"/>
      <c r="T60" s="412"/>
      <c r="U60" s="412"/>
      <c r="V60" s="412"/>
      <c r="W60" s="413"/>
      <c r="X60" s="412"/>
      <c r="Y60" s="413"/>
      <c r="Z60" s="412"/>
      <c r="AA60" s="412"/>
      <c r="AB60" s="427"/>
    </row>
    <row r="61" spans="1:28" s="1478" customFormat="1" ht="25.15" customHeight="1" outlineLevel="1" x14ac:dyDescent="0.65">
      <c r="A61" s="1471"/>
      <c r="B61" s="2107" t="s">
        <v>363</v>
      </c>
      <c r="C61" s="2099"/>
      <c r="D61" s="2099"/>
      <c r="E61" s="2108"/>
      <c r="F61" s="2099"/>
      <c r="G61" s="2099"/>
      <c r="H61" s="2099"/>
      <c r="I61" s="2108"/>
      <c r="J61" s="2099"/>
      <c r="K61" s="2099"/>
      <c r="L61" s="2099"/>
      <c r="M61" s="2099"/>
      <c r="N61" s="1472"/>
      <c r="O61" s="1473">
        <f>G7</f>
        <v>166666.66666666669</v>
      </c>
      <c r="P61" s="1474"/>
      <c r="Q61" s="1479"/>
      <c r="R61" s="1472"/>
      <c r="S61" s="1479"/>
      <c r="T61" s="1471"/>
      <c r="U61" s="1471"/>
      <c r="V61" s="1471"/>
      <c r="W61" s="1476"/>
      <c r="X61" s="1471"/>
      <c r="Y61" s="1476"/>
      <c r="Z61" s="1471"/>
      <c r="AA61" s="1471"/>
      <c r="AB61" s="1477"/>
    </row>
    <row r="62" spans="1:28" s="260" customFormat="1" ht="44.15" customHeight="1" outlineLevel="1" x14ac:dyDescent="0.35">
      <c r="A62" s="412"/>
      <c r="B62" s="2107" t="s">
        <v>364</v>
      </c>
      <c r="C62" s="2107" t="s">
        <v>365</v>
      </c>
      <c r="D62" s="2110"/>
      <c r="E62" s="1311"/>
      <c r="F62" s="2098" t="s">
        <v>366</v>
      </c>
      <c r="G62" s="2099"/>
      <c r="H62" s="2100"/>
      <c r="I62" s="834"/>
      <c r="J62" s="2096" t="s">
        <v>994</v>
      </c>
      <c r="K62" s="2097"/>
      <c r="L62" s="2097"/>
      <c r="M62" s="2097"/>
      <c r="N62" s="412"/>
      <c r="O62" s="264">
        <f>O65+O67+O68+O69+O70+O71</f>
        <v>166667</v>
      </c>
      <c r="P62" s="421"/>
      <c r="Q62" s="842">
        <f>Q65+Q67+Q68+Q69+Q70+Q71</f>
        <v>955546.46331019804</v>
      </c>
      <c r="R62" s="412"/>
      <c r="S62" s="2093">
        <f>IF(AND(Q62&lt;&gt;0,O62&lt;&gt;0),Q62/(($D$25*1000000/$D$8)),0)</f>
        <v>2624.7510357567389</v>
      </c>
      <c r="T62" s="2129" t="s">
        <v>367</v>
      </c>
      <c r="U62" s="2093">
        <f>U65+U67+U68+U69+U70+U71</f>
        <v>389939.0516379819</v>
      </c>
      <c r="V62" s="421" t="s">
        <v>368</v>
      </c>
      <c r="W62" s="2093">
        <f>W65*O65+W67*O67+W68*O68+W69*O69+W70*O70+W71*O71</f>
        <v>389939.0516379819</v>
      </c>
      <c r="X62" s="421" t="s">
        <v>368</v>
      </c>
      <c r="Y62" s="820" t="s">
        <v>369</v>
      </c>
      <c r="Z62" s="412"/>
      <c r="AA62" s="412"/>
      <c r="AB62" s="427"/>
    </row>
    <row r="63" spans="1:28" s="260" customFormat="1" ht="24" customHeight="1" outlineLevel="1" x14ac:dyDescent="0.35">
      <c r="A63" s="412"/>
      <c r="B63" s="2109"/>
      <c r="C63" s="1456" t="s">
        <v>370</v>
      </c>
      <c r="D63" s="1457" t="s">
        <v>371</v>
      </c>
      <c r="E63" s="1312"/>
      <c r="F63" s="2101"/>
      <c r="G63" s="2099"/>
      <c r="H63" s="2100"/>
      <c r="I63" s="835"/>
      <c r="J63" s="2102" t="s">
        <v>372</v>
      </c>
      <c r="K63" s="2103"/>
      <c r="L63" s="2104" t="s">
        <v>373</v>
      </c>
      <c r="M63" s="2103"/>
      <c r="N63" s="412"/>
      <c r="O63" s="847" t="s">
        <v>374</v>
      </c>
      <c r="P63" s="421"/>
      <c r="Q63" s="843">
        <v>0.66</v>
      </c>
      <c r="R63" s="412"/>
      <c r="S63" s="2114"/>
      <c r="T63" s="2130"/>
      <c r="U63" s="2114"/>
      <c r="V63" s="421"/>
      <c r="W63" s="2094"/>
      <c r="X63" s="421"/>
      <c r="Y63" s="846">
        <f>$Y$33</f>
        <v>0.1</v>
      </c>
      <c r="Z63" s="412"/>
      <c r="AA63" s="412"/>
      <c r="AB63" s="427"/>
    </row>
    <row r="64" spans="1:28" s="260" customFormat="1" ht="24" customHeight="1" outlineLevel="1" x14ac:dyDescent="0.35">
      <c r="A64" s="412"/>
      <c r="B64" s="2123">
        <f>B51*$H$15</f>
        <v>0.215</v>
      </c>
      <c r="C64" s="2123">
        <f t="shared" ref="C64:D64" si="22">C51</f>
        <v>1</v>
      </c>
      <c r="D64" s="2123">
        <f t="shared" si="22"/>
        <v>1.25</v>
      </c>
      <c r="E64" s="835"/>
      <c r="F64" s="1464" t="s">
        <v>990</v>
      </c>
      <c r="G64" s="1465" t="s">
        <v>991</v>
      </c>
      <c r="H64" s="1467" t="s">
        <v>375</v>
      </c>
      <c r="I64" s="1461"/>
      <c r="J64" s="1484" t="s">
        <v>355</v>
      </c>
      <c r="K64" s="1470" t="s">
        <v>356</v>
      </c>
      <c r="L64" s="1469" t="s">
        <v>355</v>
      </c>
      <c r="M64" s="1470" t="s">
        <v>356</v>
      </c>
      <c r="N64" s="412"/>
      <c r="O64" s="287"/>
      <c r="P64" s="421"/>
      <c r="Q64" s="288"/>
      <c r="R64" s="412"/>
      <c r="S64" s="137"/>
      <c r="T64" s="421"/>
      <c r="U64" s="137"/>
      <c r="V64" s="421"/>
      <c r="W64" s="291"/>
      <c r="X64" s="421"/>
      <c r="Y64" s="849"/>
      <c r="Z64" s="412"/>
      <c r="AA64" s="412"/>
      <c r="AB64" s="427"/>
    </row>
    <row r="65" spans="1:28" s="260" customFormat="1" ht="24" customHeight="1" outlineLevel="1" x14ac:dyDescent="0.35">
      <c r="A65" s="412"/>
      <c r="B65" s="2124"/>
      <c r="C65" s="2124"/>
      <c r="D65" s="2124"/>
      <c r="E65" s="835"/>
      <c r="F65" s="1458" t="s">
        <v>332</v>
      </c>
      <c r="G65" s="1481">
        <f t="shared" ref="G65:H65" si="23">G52</f>
        <v>5</v>
      </c>
      <c r="H65" s="1482">
        <f t="shared" si="23"/>
        <v>0.35</v>
      </c>
      <c r="I65" s="1461"/>
      <c r="J65" s="1483">
        <f>$L$32*H65*$B$64*$C$64</f>
        <v>25.723067746863752</v>
      </c>
      <c r="K65" s="1463">
        <f>$M$32*H65*$B$64*$C$64</f>
        <v>2.1435889789053131</v>
      </c>
      <c r="L65" s="1462">
        <f t="shared" ref="L65:M65" si="24">J65*$D$51</f>
        <v>32.153834683579689</v>
      </c>
      <c r="M65" s="1463">
        <f t="shared" si="24"/>
        <v>2.6794862236316415</v>
      </c>
      <c r="N65" s="412"/>
      <c r="O65" s="840">
        <f>150000-64500</f>
        <v>85500</v>
      </c>
      <c r="P65" s="421"/>
      <c r="Q65" s="285">
        <f>O65*$Q$63*M65+O65*(1-$Q$63)*K65</f>
        <v>213517.53921631098</v>
      </c>
      <c r="R65" s="412"/>
      <c r="S65" s="844">
        <f>IF(AND(Q65&lt;&gt;0,O65&lt;&gt;0),Q65/O65/30/(($D$25*1000000/$D$8))*1000,0)</f>
        <v>0.2286559424050611</v>
      </c>
      <c r="T65" s="421" t="s">
        <v>376</v>
      </c>
      <c r="U65" s="824">
        <f>S65*O65*30*$D$11*(1+$D$24)/1000</f>
        <v>87132.159394593124</v>
      </c>
      <c r="V65" s="421" t="s">
        <v>377</v>
      </c>
      <c r="W65" s="824">
        <f>IF(O65&lt;&gt;0,U65/O65,0)</f>
        <v>1.0190895835624927</v>
      </c>
      <c r="X65" s="421" t="s">
        <v>378</v>
      </c>
      <c r="Y65" s="286" t="str">
        <f>IF(O65=0,"-", IF((W65/($H$15))&lt;=(G65*(1+$Y$63)),"OK", "NOK"))</f>
        <v>OK</v>
      </c>
      <c r="Z65" s="283">
        <f>W65/$H$15</f>
        <v>5.0954479178124634</v>
      </c>
      <c r="AA65" s="247">
        <f>IF(OR(Y65="OK",Y65="-"),1,0)</f>
        <v>1</v>
      </c>
      <c r="AB65" s="413"/>
    </row>
    <row r="66" spans="1:28" s="260" customFormat="1" ht="24" customHeight="1" outlineLevel="1" x14ac:dyDescent="0.35">
      <c r="A66" s="412"/>
      <c r="B66" s="2124"/>
      <c r="C66" s="2124"/>
      <c r="D66" s="2124"/>
      <c r="E66" s="835"/>
      <c r="F66" s="1464" t="s">
        <v>992</v>
      </c>
      <c r="G66" s="1465" t="s">
        <v>993</v>
      </c>
      <c r="H66" s="1467" t="s">
        <v>375</v>
      </c>
      <c r="I66" s="1461"/>
      <c r="J66" s="1483"/>
      <c r="K66" s="1463"/>
      <c r="L66" s="1462"/>
      <c r="M66" s="1463"/>
      <c r="N66" s="412"/>
      <c r="O66" s="287"/>
      <c r="P66" s="421"/>
      <c r="Q66" s="288"/>
      <c r="R66" s="412"/>
      <c r="S66" s="289"/>
      <c r="T66" s="421"/>
      <c r="U66" s="290"/>
      <c r="V66" s="421"/>
      <c r="W66" s="290"/>
      <c r="X66" s="421"/>
      <c r="Y66" s="849"/>
      <c r="Z66" s="429"/>
      <c r="AA66" s="413"/>
      <c r="AB66" s="413"/>
    </row>
    <row r="67" spans="1:28" s="260" customFormat="1" ht="24" customHeight="1" outlineLevel="1" x14ac:dyDescent="0.35">
      <c r="A67" s="412"/>
      <c r="B67" s="2124"/>
      <c r="C67" s="2124"/>
      <c r="D67" s="2124"/>
      <c r="E67" s="835"/>
      <c r="F67" s="1458">
        <f>G65</f>
        <v>5</v>
      </c>
      <c r="G67" s="1481">
        <f t="shared" ref="G67:H67" si="25">G54</f>
        <v>15</v>
      </c>
      <c r="H67" s="1482">
        <f t="shared" si="25"/>
        <v>0.06</v>
      </c>
      <c r="I67" s="1461"/>
      <c r="J67" s="1483">
        <f>$L$32*(H65+(G67-F67)*H67)*$B$64*$C$64</f>
        <v>69.819755312915902</v>
      </c>
      <c r="K67" s="1463">
        <f>$M$32*(H65+(G67-F67)*H67)*$B$64*$C$64</f>
        <v>5.8183129427429918</v>
      </c>
      <c r="L67" s="1462">
        <f t="shared" ref="L67:M67" si="26">J67*$D$51</f>
        <v>87.274694141144877</v>
      </c>
      <c r="M67" s="1463">
        <f t="shared" si="26"/>
        <v>7.2728911784287398</v>
      </c>
      <c r="N67" s="412"/>
      <c r="O67" s="840">
        <v>40900</v>
      </c>
      <c r="P67" s="421"/>
      <c r="Q67" s="285">
        <f t="shared" ref="Q67:Q71" si="27">O67*$Q$63*M67+O67*(1-$Q$63)*K67</f>
        <v>277233.88425228943</v>
      </c>
      <c r="R67" s="412"/>
      <c r="S67" s="844">
        <f>IF(AND(Q67&lt;&gt;0,O67&lt;&gt;0),Q67/O67/30/(($D$25*1000000/$D$8))*1000,0)</f>
        <v>0.62063755795659437</v>
      </c>
      <c r="T67" s="421" t="s">
        <v>376</v>
      </c>
      <c r="U67" s="824">
        <f>S67*O67*30*$D$11*(1+$D$24)/1000</f>
        <v>113133.50219805901</v>
      </c>
      <c r="V67" s="421" t="s">
        <v>377</v>
      </c>
      <c r="W67" s="824">
        <f t="shared" ref="W67:W71" si="28">IF(O67&lt;&gt;0,U67/O67,0)</f>
        <v>2.7661002982410516</v>
      </c>
      <c r="X67" s="421" t="s">
        <v>378</v>
      </c>
      <c r="Y67" s="286" t="str">
        <f>IF(O67=0,"-",IF(AND(((F67*(1-$Y$63))&lt;(W67/$H$15)),((W67/$H$15)&lt;(G67*(1+$Y$63)))),"OK", "NOK"))</f>
        <v>OK</v>
      </c>
      <c r="Z67" s="283">
        <f>W67/$H$15</f>
        <v>13.830501491205258</v>
      </c>
      <c r="AA67" s="247">
        <f t="shared" ref="AA67:AA71" si="29">IF(OR(Y67="OK",Y67="-"),1,0)</f>
        <v>1</v>
      </c>
      <c r="AB67" s="413"/>
    </row>
    <row r="68" spans="1:28" s="260" customFormat="1" ht="24" customHeight="1" outlineLevel="1" x14ac:dyDescent="0.35">
      <c r="A68" s="412"/>
      <c r="B68" s="2124"/>
      <c r="C68" s="2124"/>
      <c r="D68" s="2124"/>
      <c r="E68" s="835"/>
      <c r="F68" s="1458">
        <f t="shared" ref="F68:F71" si="30">G67</f>
        <v>15</v>
      </c>
      <c r="G68" s="1481">
        <f t="shared" ref="G68:H68" si="31">G55</f>
        <v>25</v>
      </c>
      <c r="H68" s="1482">
        <f t="shared" si="31"/>
        <v>0.05</v>
      </c>
      <c r="I68" s="1461"/>
      <c r="J68" s="1483">
        <f>$L$32*(H65+(G67-F67)*H67+(G68-F68)*H68)*$B$64*$C$64</f>
        <v>106.56699495129268</v>
      </c>
      <c r="K68" s="1463">
        <f>$M$32*(H65+(G67-F67)*H67+(G68-F68)*H68)*$B$64*$C$64</f>
        <v>8.8805829126077249</v>
      </c>
      <c r="L68" s="1462">
        <f t="shared" ref="L68:M68" si="32">J68*$D$51</f>
        <v>133.20874368911586</v>
      </c>
      <c r="M68" s="1463">
        <f t="shared" si="32"/>
        <v>11.100728640759655</v>
      </c>
      <c r="N68" s="412"/>
      <c r="O68" s="840">
        <v>37120</v>
      </c>
      <c r="P68" s="421"/>
      <c r="Q68" s="285">
        <f t="shared" si="27"/>
        <v>384039.03193913854</v>
      </c>
      <c r="R68" s="412"/>
      <c r="S68" s="844">
        <f>IF(AND(Q68&lt;&gt;0,O68&lt;&gt;0),Q68/O68/30/(($D$25*1000000/$D$8))*1000,0)</f>
        <v>0.94728890424953882</v>
      </c>
      <c r="T68" s="421" t="s">
        <v>376</v>
      </c>
      <c r="U68" s="824">
        <f>S68*O68*30*$D$11*(1+$D$24)/1000</f>
        <v>156718.50784476459</v>
      </c>
      <c r="V68" s="421" t="s">
        <v>377</v>
      </c>
      <c r="W68" s="824">
        <f t="shared" si="28"/>
        <v>4.2219425604731837</v>
      </c>
      <c r="X68" s="421" t="s">
        <v>378</v>
      </c>
      <c r="Y68" s="286" t="str">
        <f>IF(O68=0,"-",IF(AND(((F68*(1-$Y$63))&lt;(W68/$H$15)),((W68/$H$15)&lt;(G68*(1+$Y$63)))),"OK", "NOK"))</f>
        <v>OK</v>
      </c>
      <c r="Z68" s="283">
        <f>W68/$H$15</f>
        <v>21.109712802365916</v>
      </c>
      <c r="AA68" s="247">
        <f t="shared" si="29"/>
        <v>1</v>
      </c>
      <c r="AB68" s="413"/>
    </row>
    <row r="69" spans="1:28" s="260" customFormat="1" ht="24" customHeight="1" outlineLevel="1" x14ac:dyDescent="0.35">
      <c r="A69" s="412"/>
      <c r="B69" s="2124"/>
      <c r="C69" s="2124"/>
      <c r="D69" s="2124"/>
      <c r="E69" s="835"/>
      <c r="F69" s="1458">
        <f t="shared" si="30"/>
        <v>25</v>
      </c>
      <c r="G69" s="1481">
        <f t="shared" ref="G69:H69" si="33">G56</f>
        <v>35</v>
      </c>
      <c r="H69" s="1482">
        <f t="shared" si="33"/>
        <v>3.5000000000000003E-2</v>
      </c>
      <c r="I69" s="1461"/>
      <c r="J69" s="1483">
        <f>$L$32*(H65+(G67-F67)*H67+(G68-F68)*H68+(G69-F69)*H69)*$B$64*$C$64</f>
        <v>132.29006269815645</v>
      </c>
      <c r="K69" s="1463">
        <f>$M$32*(H65+(G67-F67)*H67+(G68-F68)*H68+(G69-F69)*H69)*$B$64*$C$64</f>
        <v>11.024171891513038</v>
      </c>
      <c r="L69" s="1462">
        <f t="shared" ref="L69:M69" si="34">J69*$D$51</f>
        <v>165.36257837269557</v>
      </c>
      <c r="M69" s="1463">
        <f t="shared" si="34"/>
        <v>13.780214864391297</v>
      </c>
      <c r="N69" s="412"/>
      <c r="O69" s="840">
        <v>693</v>
      </c>
      <c r="P69" s="421"/>
      <c r="Q69" s="285">
        <f t="shared" si="27"/>
        <v>8900.3100557535927</v>
      </c>
      <c r="R69" s="412"/>
      <c r="S69" s="844">
        <f>IF(AND(Q69&lt;&gt;0,O69&lt;&gt;0),Q69/O69/30/(($D$25*1000000/$D$8))*1000,0)</f>
        <v>1.1759448466545999</v>
      </c>
      <c r="T69" s="421" t="s">
        <v>376</v>
      </c>
      <c r="U69" s="824">
        <f>S69*O69*30*$D$11*(1+$D$24)/1000</f>
        <v>3632.0352758167246</v>
      </c>
      <c r="V69" s="421" t="s">
        <v>377</v>
      </c>
      <c r="W69" s="824">
        <f t="shared" si="28"/>
        <v>5.2410321440356773</v>
      </c>
      <c r="X69" s="421" t="s">
        <v>378</v>
      </c>
      <c r="Y69" s="286" t="str">
        <f>IF(O69=0,"-",IF(AND(((F69*(1-$Y$63))&lt;(W69/$H$15)),((W69/$H$15)&lt;(G69*(1+$Y$63)))),"OK", "NOK"))</f>
        <v>OK</v>
      </c>
      <c r="Z69" s="283">
        <f>W69/$H$15</f>
        <v>26.205160720178384</v>
      </c>
      <c r="AA69" s="247">
        <f t="shared" si="29"/>
        <v>1</v>
      </c>
      <c r="AB69" s="413"/>
    </row>
    <row r="70" spans="1:28" s="260" customFormat="1" ht="24" customHeight="1" outlineLevel="1" x14ac:dyDescent="0.35">
      <c r="A70" s="412"/>
      <c r="B70" s="2124"/>
      <c r="C70" s="2124"/>
      <c r="D70" s="2124"/>
      <c r="E70" s="835"/>
      <c r="F70" s="1458">
        <f t="shared" si="30"/>
        <v>35</v>
      </c>
      <c r="G70" s="1481">
        <f t="shared" ref="G70:H70" si="35">G57</f>
        <v>50</v>
      </c>
      <c r="H70" s="1482">
        <f t="shared" si="35"/>
        <v>0.08</v>
      </c>
      <c r="I70" s="1461"/>
      <c r="J70" s="1483">
        <f>$L$32*(H65+(G67-F67)*H67+(G68-F68)*H68+(G69-F69)*H69+(G70-F70)*H70)*$B$64*$C$64</f>
        <v>220.48343783026078</v>
      </c>
      <c r="K70" s="1463">
        <f>$M$32*(H65+(G67-F67)*H67+(G68-F68)*H68+(G69-F69)*H69+(G70-F70)*H70)*$B$64*$C$64</f>
        <v>18.373619819188395</v>
      </c>
      <c r="L70" s="1462">
        <f t="shared" ref="L70:M70" si="36">J70*$D$51</f>
        <v>275.604297287826</v>
      </c>
      <c r="M70" s="1463">
        <f t="shared" si="36"/>
        <v>22.967024773985493</v>
      </c>
      <c r="N70" s="412"/>
      <c r="O70" s="840">
        <v>287</v>
      </c>
      <c r="P70" s="421"/>
      <c r="Q70" s="285">
        <f t="shared" si="27"/>
        <v>6143.3116546447354</v>
      </c>
      <c r="R70" s="412"/>
      <c r="S70" s="844">
        <f>IF(AND(Q70&lt;&gt;0,O70&lt;&gt;0),Q70/O70/30/(($D$25*1000000/$D$8))*1000,0)</f>
        <v>1.9599080777576665</v>
      </c>
      <c r="T70" s="421" t="s">
        <v>376</v>
      </c>
      <c r="U70" s="824">
        <f>S70*O70*30*$D$11*(1+$D$24)/1000</f>
        <v>2506.9603755637318</v>
      </c>
      <c r="V70" s="421" t="s">
        <v>377</v>
      </c>
      <c r="W70" s="824">
        <f t="shared" si="28"/>
        <v>8.7350535733927934</v>
      </c>
      <c r="X70" s="421" t="s">
        <v>378</v>
      </c>
      <c r="Y70" s="286" t="str">
        <f>IF(O70=0,"-",IF(AND(((F70*(1-$Y$63))&lt;(W70/$H$15)),((W70/$H$15)&lt;(G70*(1+$Y$63)))),"OK", "NOK"))</f>
        <v>OK</v>
      </c>
      <c r="Z70" s="283">
        <f>W70/$H$15</f>
        <v>43.675267866963964</v>
      </c>
      <c r="AA70" s="247">
        <f t="shared" si="29"/>
        <v>1</v>
      </c>
      <c r="AB70" s="413"/>
    </row>
    <row r="71" spans="1:28" s="260" customFormat="1" ht="24" customHeight="1" outlineLevel="1" x14ac:dyDescent="0.35">
      <c r="A71" s="412"/>
      <c r="B71" s="2125"/>
      <c r="C71" s="2125"/>
      <c r="D71" s="2125"/>
      <c r="E71" s="835"/>
      <c r="F71" s="1458">
        <f t="shared" si="30"/>
        <v>50</v>
      </c>
      <c r="G71" s="1481">
        <f t="shared" ref="G71:H71" si="37">G58</f>
        <v>100</v>
      </c>
      <c r="H71" s="1482">
        <f t="shared" si="37"/>
        <v>2.5000000000000001E-2</v>
      </c>
      <c r="I71" s="1461"/>
      <c r="J71" s="1483">
        <f>$L$32*(H65+(G67-F67)*H67+(G68-F68)*H68+(G69-F69)*H69+(G70-F70)*H70+(G71-F71)*H71)*$B$64*$C$64</f>
        <v>312.35153692620275</v>
      </c>
      <c r="K71" s="1463">
        <f>$M$32*(H65+(G67-F67)*H67+(G68-F68)*H68+(G69-F69)*H69+(G70-F70)*H70+(G71-F71)*H71)*$B$64*$C$64</f>
        <v>26.02929474385023</v>
      </c>
      <c r="L71" s="1462">
        <f t="shared" ref="L71:M71" si="38">J71*$D$51</f>
        <v>390.43942115775343</v>
      </c>
      <c r="M71" s="1463">
        <f t="shared" si="38"/>
        <v>32.536618429812791</v>
      </c>
      <c r="N71" s="412"/>
      <c r="O71" s="840">
        <v>2167</v>
      </c>
      <c r="P71" s="421"/>
      <c r="Q71" s="285">
        <f t="shared" si="27"/>
        <v>65712.386192060818</v>
      </c>
      <c r="R71" s="412"/>
      <c r="S71" s="844">
        <f>IF(AND(Q71&lt;&gt;0,O71&lt;&gt;0),Q71/O71/30/(($D$25*1000000/$D$8))*1000,0)</f>
        <v>2.7765364434900279</v>
      </c>
      <c r="T71" s="421" t="s">
        <v>376</v>
      </c>
      <c r="U71" s="824">
        <f>S71*O71*30*$D$11*(1+$D$24)/1000</f>
        <v>26815.886549184768</v>
      </c>
      <c r="V71" s="421" t="s">
        <v>377</v>
      </c>
      <c r="W71" s="824">
        <f t="shared" si="28"/>
        <v>12.374659228973128</v>
      </c>
      <c r="X71" s="421" t="s">
        <v>378</v>
      </c>
      <c r="Y71" s="286" t="str">
        <f>IF(O71=0,"-",IF(AND(((F71*(1-$Y$63))&lt;(W71/$H$15)),((W71/$H$15)&lt;(G71*(1+$Y$63)))),"OK", "NOK"))</f>
        <v>OK</v>
      </c>
      <c r="Z71" s="283">
        <f>W71/$H$15</f>
        <v>61.873296144865634</v>
      </c>
      <c r="AA71" s="247">
        <f t="shared" si="29"/>
        <v>1</v>
      </c>
      <c r="AB71" s="413"/>
    </row>
    <row r="72" spans="1:28" s="260" customFormat="1" ht="10.15" customHeight="1" outlineLevel="1" x14ac:dyDescent="0.35">
      <c r="A72" s="412"/>
      <c r="B72" s="412"/>
      <c r="C72" s="413"/>
      <c r="D72" s="412"/>
      <c r="E72" s="412"/>
      <c r="F72" s="412"/>
      <c r="G72" s="412"/>
      <c r="H72" s="413"/>
      <c r="I72" s="412"/>
      <c r="J72" s="413"/>
      <c r="K72" s="413"/>
      <c r="L72" s="413"/>
      <c r="M72" s="413"/>
      <c r="N72" s="412"/>
      <c r="O72" s="412"/>
      <c r="P72" s="412"/>
      <c r="Q72" s="412"/>
      <c r="R72" s="412"/>
      <c r="S72" s="412"/>
      <c r="T72" s="412"/>
      <c r="U72" s="412"/>
      <c r="V72" s="412"/>
      <c r="W72" s="413"/>
      <c r="X72" s="412"/>
      <c r="Y72" s="413"/>
      <c r="Z72" s="412"/>
      <c r="AA72" s="412"/>
      <c r="AB72" s="427"/>
    </row>
    <row r="73" spans="1:28" s="260" customFormat="1" ht="35.15" customHeight="1" outlineLevel="1" x14ac:dyDescent="0.35">
      <c r="A73" s="412"/>
      <c r="B73" s="2105" t="s">
        <v>771</v>
      </c>
      <c r="C73" s="2106"/>
      <c r="D73" s="2106"/>
      <c r="E73" s="2106"/>
      <c r="F73" s="2106"/>
      <c r="G73" s="2106"/>
      <c r="H73" s="2106"/>
      <c r="I73" s="2106"/>
      <c r="J73" s="2106"/>
      <c r="K73" s="2106"/>
      <c r="L73" s="2106"/>
      <c r="M73" s="2106"/>
      <c r="N73" s="412"/>
      <c r="O73" s="412"/>
      <c r="P73" s="412"/>
      <c r="Q73" s="412"/>
      <c r="R73" s="412"/>
      <c r="S73" s="412"/>
      <c r="T73" s="412"/>
      <c r="U73" s="412"/>
      <c r="V73" s="412"/>
      <c r="W73" s="413"/>
      <c r="X73" s="412"/>
      <c r="Y73" s="413"/>
      <c r="Z73" s="412"/>
      <c r="AA73" s="412"/>
      <c r="AB73" s="427"/>
    </row>
    <row r="74" spans="1:28" s="1478" customFormat="1" ht="25.15" customHeight="1" outlineLevel="1" x14ac:dyDescent="0.65">
      <c r="A74" s="1471"/>
      <c r="B74" s="2107" t="s">
        <v>363</v>
      </c>
      <c r="C74" s="2099"/>
      <c r="D74" s="2099"/>
      <c r="E74" s="2108"/>
      <c r="F74" s="2099"/>
      <c r="G74" s="2099"/>
      <c r="H74" s="2099"/>
      <c r="I74" s="2108"/>
      <c r="J74" s="2099"/>
      <c r="K74" s="2099"/>
      <c r="L74" s="2099"/>
      <c r="M74" s="2099"/>
      <c r="N74" s="1471"/>
      <c r="O74" s="1473">
        <f>G8</f>
        <v>166666.66666666669</v>
      </c>
      <c r="P74" s="1480"/>
      <c r="Q74" s="1471"/>
      <c r="R74" s="1471"/>
      <c r="S74" s="1471"/>
      <c r="T74" s="1471"/>
      <c r="U74" s="1471"/>
      <c r="V74" s="1471"/>
      <c r="W74" s="1476"/>
      <c r="X74" s="1471"/>
      <c r="Y74" s="1476"/>
      <c r="Z74" s="1471"/>
      <c r="AA74" s="1471"/>
      <c r="AB74" s="1477"/>
    </row>
    <row r="75" spans="1:28" s="260" customFormat="1" ht="38.15" customHeight="1" outlineLevel="1" x14ac:dyDescent="0.35">
      <c r="A75" s="413"/>
      <c r="B75" s="2107" t="s">
        <v>364</v>
      </c>
      <c r="C75" s="2107" t="s">
        <v>365</v>
      </c>
      <c r="D75" s="2110"/>
      <c r="E75" s="1311"/>
      <c r="F75" s="2098" t="s">
        <v>366</v>
      </c>
      <c r="G75" s="2099"/>
      <c r="H75" s="2100"/>
      <c r="I75" s="834"/>
      <c r="J75" s="2096" t="s">
        <v>994</v>
      </c>
      <c r="K75" s="2097"/>
      <c r="L75" s="2097"/>
      <c r="M75" s="2097"/>
      <c r="N75" s="412"/>
      <c r="O75" s="264">
        <f>O78+O80+O81+O82+O83+O84</f>
        <v>166667</v>
      </c>
      <c r="P75" s="421"/>
      <c r="Q75" s="842">
        <f>Q78+Q80+Q81+Q82+Q83+Q84</f>
        <v>10203664.323901661</v>
      </c>
      <c r="R75" s="412"/>
      <c r="S75" s="2093">
        <f>IF(AND(Q75&lt;&gt;0,O75&lt;&gt;0),Q75/(($D$25*1000000/$D$8)),0)</f>
        <v>28028.023263145846</v>
      </c>
      <c r="T75" s="2129" t="s">
        <v>367</v>
      </c>
      <c r="U75" s="2093">
        <f>U78+U80+U81+U82+U83+U84</f>
        <v>4163907.6093810922</v>
      </c>
      <c r="V75" s="421" t="s">
        <v>368</v>
      </c>
      <c r="W75" s="2093">
        <f>W78*O78+W80*O80+W81*O81+W82*O82+W83*O83+W84*O84</f>
        <v>4163907.6093810922</v>
      </c>
      <c r="X75" s="421" t="s">
        <v>368</v>
      </c>
      <c r="Y75" s="820" t="s">
        <v>369</v>
      </c>
      <c r="Z75" s="148"/>
      <c r="AA75" s="148"/>
      <c r="AB75" s="427"/>
    </row>
    <row r="76" spans="1:28" s="260" customFormat="1" ht="24" customHeight="1" outlineLevel="1" x14ac:dyDescent="0.35">
      <c r="A76" s="413"/>
      <c r="B76" s="2109"/>
      <c r="C76" s="1456" t="s">
        <v>370</v>
      </c>
      <c r="D76" s="1457" t="s">
        <v>371</v>
      </c>
      <c r="E76" s="1312"/>
      <c r="F76" s="2101"/>
      <c r="G76" s="2099"/>
      <c r="H76" s="2100"/>
      <c r="I76" s="835"/>
      <c r="J76" s="2102" t="s">
        <v>372</v>
      </c>
      <c r="K76" s="2103"/>
      <c r="L76" s="2104" t="s">
        <v>373</v>
      </c>
      <c r="M76" s="2103"/>
      <c r="N76" s="412"/>
      <c r="O76" s="847" t="s">
        <v>374</v>
      </c>
      <c r="P76" s="421"/>
      <c r="Q76" s="843">
        <v>0.66</v>
      </c>
      <c r="R76" s="412"/>
      <c r="S76" s="2114"/>
      <c r="T76" s="2130"/>
      <c r="U76" s="2114"/>
      <c r="V76" s="421"/>
      <c r="W76" s="2094"/>
      <c r="X76" s="421"/>
      <c r="Y76" s="846">
        <f>$Y$33</f>
        <v>0.1</v>
      </c>
      <c r="Z76" s="148"/>
      <c r="AA76" s="148"/>
      <c r="AB76" s="427"/>
    </row>
    <row r="77" spans="1:28" s="260" customFormat="1" ht="24" customHeight="1" outlineLevel="1" x14ac:dyDescent="0.35">
      <c r="A77" s="413"/>
      <c r="B77" s="2118">
        <v>1.75</v>
      </c>
      <c r="C77" s="2118">
        <v>1</v>
      </c>
      <c r="D77" s="2121">
        <v>1.25</v>
      </c>
      <c r="E77" s="835"/>
      <c r="F77" s="1464" t="s">
        <v>934</v>
      </c>
      <c r="G77" s="1465" t="s">
        <v>936</v>
      </c>
      <c r="H77" s="1467" t="s">
        <v>375</v>
      </c>
      <c r="I77" s="1461"/>
      <c r="J77" s="1469" t="s">
        <v>355</v>
      </c>
      <c r="K77" s="1470" t="s">
        <v>356</v>
      </c>
      <c r="L77" s="1469" t="s">
        <v>355</v>
      </c>
      <c r="M77" s="1470" t="s">
        <v>356</v>
      </c>
      <c r="N77" s="412"/>
      <c r="O77" s="287"/>
      <c r="P77" s="421"/>
      <c r="Q77" s="288"/>
      <c r="R77" s="412"/>
      <c r="S77" s="137"/>
      <c r="T77" s="421"/>
      <c r="U77" s="137"/>
      <c r="V77" s="421"/>
      <c r="W77" s="291"/>
      <c r="X77" s="421"/>
      <c r="Y77" s="291"/>
      <c r="Z77" s="148"/>
      <c r="AA77" s="148"/>
      <c r="AB77" s="427"/>
    </row>
    <row r="78" spans="1:28" s="260" customFormat="1" ht="24" customHeight="1" outlineLevel="1" x14ac:dyDescent="0.35">
      <c r="A78" s="412"/>
      <c r="B78" s="2119"/>
      <c r="C78" s="2120"/>
      <c r="D78" s="2122"/>
      <c r="E78" s="835"/>
      <c r="F78" s="1458" t="s">
        <v>332</v>
      </c>
      <c r="G78" s="1459">
        <v>5</v>
      </c>
      <c r="H78" s="1460">
        <f>0.35-0.125</f>
        <v>0.22499999999999998</v>
      </c>
      <c r="I78" s="1461"/>
      <c r="J78" s="1462">
        <f>$L$32*H78*$B$77*$C$77</f>
        <v>134.59744751265916</v>
      </c>
      <c r="K78" s="1463">
        <f>$M$32*H78*$B$77*$C$77</f>
        <v>11.216453959388264</v>
      </c>
      <c r="L78" s="1462">
        <f t="shared" ref="L78:M78" si="39">J78*$D$77</f>
        <v>168.24680939082396</v>
      </c>
      <c r="M78" s="1463">
        <f t="shared" si="39"/>
        <v>14.02056744923533</v>
      </c>
      <c r="N78" s="412"/>
      <c r="O78" s="840">
        <v>15150</v>
      </c>
      <c r="P78" s="421"/>
      <c r="Q78" s="285">
        <f>O78*$Q$76*M78+O78*(1-$Q$76)*K78</f>
        <v>197967.608269713</v>
      </c>
      <c r="R78" s="412"/>
      <c r="S78" s="844">
        <f>IF(AND(Q78&lt;&gt;0,O78&lt;&gt;0),Q78/O78/30/(($D$25*1000000/$D$8))*1000,0)</f>
        <v>1.1964555125846219</v>
      </c>
      <c r="T78" s="421" t="s">
        <v>376</v>
      </c>
      <c r="U78" s="824">
        <f>S78*O78*30*$D$11*(1+$D$24)/1000</f>
        <v>80786.549255084828</v>
      </c>
      <c r="V78" s="421" t="s">
        <v>377</v>
      </c>
      <c r="W78" s="824">
        <f>IF(O78&lt;&gt;0,U78/O78,0)</f>
        <v>5.3324454953851372</v>
      </c>
      <c r="X78" s="421" t="s">
        <v>377</v>
      </c>
      <c r="Y78" s="286" t="str">
        <f>IF(O78=0,"-", IF(W78&lt;=(G78*(1+$Y$76)),"OK", "NOK"))</f>
        <v>OK</v>
      </c>
      <c r="Z78" s="148"/>
      <c r="AA78" s="247">
        <f>IF(OR(Y78="OK",Y78="-"),1,0)</f>
        <v>1</v>
      </c>
      <c r="AB78" s="427"/>
    </row>
    <row r="79" spans="1:28" s="260" customFormat="1" ht="24" customHeight="1" outlineLevel="1" x14ac:dyDescent="0.35">
      <c r="A79" s="412"/>
      <c r="B79" s="2119"/>
      <c r="C79" s="2120"/>
      <c r="D79" s="2122"/>
      <c r="E79" s="835"/>
      <c r="F79" s="1464" t="s">
        <v>935</v>
      </c>
      <c r="G79" s="1465" t="s">
        <v>937</v>
      </c>
      <c r="H79" s="1467" t="s">
        <v>375</v>
      </c>
      <c r="I79" s="1461"/>
      <c r="J79" s="1462"/>
      <c r="K79" s="1463"/>
      <c r="L79" s="1462"/>
      <c r="M79" s="1463"/>
      <c r="N79" s="412"/>
      <c r="O79" s="287"/>
      <c r="P79" s="421"/>
      <c r="Q79" s="288"/>
      <c r="R79" s="412"/>
      <c r="S79" s="289"/>
      <c r="T79" s="421"/>
      <c r="U79" s="290"/>
      <c r="V79" s="421"/>
      <c r="W79" s="290"/>
      <c r="X79" s="421"/>
      <c r="Y79" s="291"/>
      <c r="Z79" s="148"/>
      <c r="AA79" s="247"/>
      <c r="AB79" s="427"/>
    </row>
    <row r="80" spans="1:28" s="260" customFormat="1" ht="24" customHeight="1" outlineLevel="1" x14ac:dyDescent="0.35">
      <c r="A80" s="412"/>
      <c r="B80" s="2119"/>
      <c r="C80" s="2120"/>
      <c r="D80" s="2122"/>
      <c r="E80" s="835"/>
      <c r="F80" s="1458">
        <f>G78</f>
        <v>5</v>
      </c>
      <c r="G80" s="1459">
        <v>20</v>
      </c>
      <c r="H80" s="1460">
        <f>0.055-0.01</f>
        <v>4.4999999999999998E-2</v>
      </c>
      <c r="I80" s="1461"/>
      <c r="J80" s="1462">
        <f>$L$32*(H78+(G80-F80)*H80)*$B$77*$C$77</f>
        <v>538.38979005063663</v>
      </c>
      <c r="K80" s="1463">
        <f>$M$32*(H78+(G80-F80)*H80)*$B$77*$C$77</f>
        <v>44.865815837553058</v>
      </c>
      <c r="L80" s="1462">
        <f t="shared" ref="L80:M80" si="40">J80*$D$77</f>
        <v>672.98723756329582</v>
      </c>
      <c r="M80" s="1463">
        <f t="shared" si="40"/>
        <v>56.082269796941318</v>
      </c>
      <c r="N80" s="412"/>
      <c r="O80" s="840">
        <v>107000</v>
      </c>
      <c r="P80" s="421"/>
      <c r="Q80" s="285">
        <f t="shared" ref="Q80:Q84" si="41">O80*$Q$76*M80+O80*(1-$Q$76)*K80</f>
        <v>5592748.2732301764</v>
      </c>
      <c r="R80" s="412"/>
      <c r="S80" s="844">
        <f>IF(AND(Q80&lt;&gt;0,O80&lt;&gt;0),Q80/O80/30/(($D$25*1000000/$D$8))*1000,0)</f>
        <v>4.7858220503384876</v>
      </c>
      <c r="T80" s="421" t="s">
        <v>376</v>
      </c>
      <c r="U80" s="824">
        <f>S80*O80*30*$D$11*(1+$D$24)/1000</f>
        <v>2282286.6720248386</v>
      </c>
      <c r="V80" s="421" t="s">
        <v>377</v>
      </c>
      <c r="W80" s="824">
        <f t="shared" ref="W80:W84" si="42">IF(O80&lt;&gt;0,U80/O80,0)</f>
        <v>21.329781981540549</v>
      </c>
      <c r="X80" s="421" t="s">
        <v>377</v>
      </c>
      <c r="Y80" s="286" t="str">
        <f t="shared" ref="Y80:Y84" si="43">IF(O80=0,"-",IF(AND(((F80*(1-$Y$76))&lt;W80),(W80&lt;(G80*(1+$Y$76)))),"OK", "NOK"))</f>
        <v>OK</v>
      </c>
      <c r="Z80" s="148"/>
      <c r="AA80" s="247">
        <f t="shared" ref="AA80:AA84" si="44">IF(OR(Y80="OK",Y80="-"),1,0)</f>
        <v>1</v>
      </c>
      <c r="AB80" s="427"/>
    </row>
    <row r="81" spans="1:28" s="260" customFormat="1" ht="24" customHeight="1" outlineLevel="1" x14ac:dyDescent="0.35">
      <c r="A81" s="412"/>
      <c r="B81" s="2119"/>
      <c r="C81" s="2120"/>
      <c r="D81" s="2122"/>
      <c r="E81" s="835"/>
      <c r="F81" s="1458">
        <f t="shared" ref="F81:F84" si="45">G80</f>
        <v>20</v>
      </c>
      <c r="G81" s="1459">
        <v>30</v>
      </c>
      <c r="H81" s="1460">
        <f>0.05-0.005</f>
        <v>4.5000000000000005E-2</v>
      </c>
      <c r="I81" s="1461"/>
      <c r="J81" s="1462">
        <f>$L$32*(H78+(G80-F80)*H80+(G81-F81)*H81)*$B$77*$C$77</f>
        <v>807.58468507595512</v>
      </c>
      <c r="K81" s="1463">
        <f>$M$32*(H78+(G80-F80)*H80+(G81-F81)*H81)*$B$77*$C$77</f>
        <v>67.298723756329593</v>
      </c>
      <c r="L81" s="1462">
        <f t="shared" ref="L81:M81" si="46">J81*$D$77</f>
        <v>1009.480856344944</v>
      </c>
      <c r="M81" s="1463">
        <f t="shared" si="46"/>
        <v>84.123404695411992</v>
      </c>
      <c r="N81" s="412"/>
      <c r="O81" s="840">
        <v>30000</v>
      </c>
      <c r="P81" s="421"/>
      <c r="Q81" s="285">
        <f t="shared" si="41"/>
        <v>2352090.3952837191</v>
      </c>
      <c r="R81" s="412"/>
      <c r="S81" s="844">
        <f>IF(AND(Q81&lt;&gt;0,O81&lt;&gt;0),Q81/O81/30/(($D$25*1000000/$D$8))*1000,0)</f>
        <v>7.178733075507731</v>
      </c>
      <c r="T81" s="421" t="s">
        <v>376</v>
      </c>
      <c r="U81" s="824">
        <f>S81*O81*30*$D$11*(1+$D$24)/1000</f>
        <v>959840.18916932447</v>
      </c>
      <c r="V81" s="421" t="s">
        <v>377</v>
      </c>
      <c r="W81" s="824">
        <f t="shared" si="42"/>
        <v>31.994672972310816</v>
      </c>
      <c r="X81" s="421" t="s">
        <v>377</v>
      </c>
      <c r="Y81" s="286" t="str">
        <f t="shared" si="43"/>
        <v>OK</v>
      </c>
      <c r="Z81" s="148"/>
      <c r="AA81" s="247">
        <f t="shared" si="44"/>
        <v>1</v>
      </c>
      <c r="AB81" s="427"/>
    </row>
    <row r="82" spans="1:28" s="260" customFormat="1" ht="24" customHeight="1" outlineLevel="1" x14ac:dyDescent="0.35">
      <c r="A82" s="412"/>
      <c r="B82" s="2119"/>
      <c r="C82" s="2120"/>
      <c r="D82" s="2122"/>
      <c r="E82" s="835"/>
      <c r="F82" s="1458">
        <f t="shared" si="45"/>
        <v>30</v>
      </c>
      <c r="G82" s="1459">
        <v>40</v>
      </c>
      <c r="H82" s="1460">
        <f>0.04</f>
        <v>0.04</v>
      </c>
      <c r="I82" s="1461"/>
      <c r="J82" s="1462">
        <f>$L$32*(H78+(G80-F80)*H80+(G81-F81)*H81+(G82-F82)*H82)*$B$77*$C$77</f>
        <v>1046.8690362095715</v>
      </c>
      <c r="K82" s="1463">
        <f>$M$32*(H78+(G80-F80)*H80+(G81-F81)*H81+(G82-F82)*H82)*$B$77*$C$77</f>
        <v>87.239086350797621</v>
      </c>
      <c r="L82" s="1462">
        <f t="shared" ref="L82:M82" si="47">J82*$D$77</f>
        <v>1308.5862952619643</v>
      </c>
      <c r="M82" s="1463">
        <f t="shared" si="47"/>
        <v>109.04885793849702</v>
      </c>
      <c r="N82" s="412"/>
      <c r="O82" s="840">
        <v>73</v>
      </c>
      <c r="P82" s="421"/>
      <c r="Q82" s="285">
        <f t="shared" si="41"/>
        <v>7419.2480987035833</v>
      </c>
      <c r="R82" s="412"/>
      <c r="S82" s="844">
        <f>IF(AND(Q82&lt;&gt;0,O82&lt;&gt;0),Q82/O82/30/(($D$25*1000000/$D$8))*1000,0)</f>
        <v>9.3057650978803927</v>
      </c>
      <c r="T82" s="421" t="s">
        <v>376</v>
      </c>
      <c r="U82" s="824">
        <f>S82*O82*30*$D$11*(1+$D$24)/1000</f>
        <v>3027.6440534908938</v>
      </c>
      <c r="V82" s="421" t="s">
        <v>377</v>
      </c>
      <c r="W82" s="824">
        <f t="shared" si="42"/>
        <v>41.474576075217726</v>
      </c>
      <c r="X82" s="421" t="s">
        <v>377</v>
      </c>
      <c r="Y82" s="286" t="str">
        <f t="shared" si="43"/>
        <v>OK</v>
      </c>
      <c r="Z82" s="148"/>
      <c r="AA82" s="247">
        <f t="shared" si="44"/>
        <v>1</v>
      </c>
      <c r="AB82" s="427"/>
    </row>
    <row r="83" spans="1:28" s="260" customFormat="1" ht="24" customHeight="1" outlineLevel="1" x14ac:dyDescent="0.35">
      <c r="A83" s="412"/>
      <c r="B83" s="2119"/>
      <c r="C83" s="2120"/>
      <c r="D83" s="2122"/>
      <c r="E83" s="835"/>
      <c r="F83" s="1458">
        <f t="shared" si="45"/>
        <v>40</v>
      </c>
      <c r="G83" s="1459">
        <v>55</v>
      </c>
      <c r="H83" s="1460">
        <f>0.035</f>
        <v>3.5000000000000003E-2</v>
      </c>
      <c r="I83" s="1461"/>
      <c r="J83" s="1462">
        <f>$L$32*(H78+(G80-F80)*H80+(G81-F81)*H81+(G82-F82)*H82+(G83-F83)*H83)*$B$77*$C$77</f>
        <v>1360.9297470724428</v>
      </c>
      <c r="K83" s="1463">
        <f>$M$32*(H78+(G80-F80)*H80+(G81-F81)*H81+(G82-F82)*H82+(G83-F83)*H83)*$B$77*$C$77</f>
        <v>113.41081225603691</v>
      </c>
      <c r="L83" s="1462">
        <f t="shared" ref="L83:M83" si="48">J83*$D$77</f>
        <v>1701.1621838405536</v>
      </c>
      <c r="M83" s="1463">
        <f t="shared" si="48"/>
        <v>141.76351532004614</v>
      </c>
      <c r="N83" s="412"/>
      <c r="O83" s="840">
        <v>12594</v>
      </c>
      <c r="P83" s="421"/>
      <c r="Q83" s="285">
        <f t="shared" si="41"/>
        <v>1663964.5715286962</v>
      </c>
      <c r="R83" s="412"/>
      <c r="S83" s="844">
        <f>IF(AND(Q83&lt;&gt;0,O83&lt;&gt;0),Q83/O83/30/(($D$25*1000000/$D$8))*1000,0)</f>
        <v>12.097494627244513</v>
      </c>
      <c r="T83" s="421" t="s">
        <v>376</v>
      </c>
      <c r="U83" s="824">
        <f>S83*O83*30*$D$11*(1+$D$24)/1000</f>
        <v>679030.05441867979</v>
      </c>
      <c r="V83" s="1439" t="s">
        <v>377</v>
      </c>
      <c r="W83" s="824">
        <f t="shared" si="42"/>
        <v>53.916948897783058</v>
      </c>
      <c r="X83" s="421" t="s">
        <v>377</v>
      </c>
      <c r="Y83" s="286" t="str">
        <f t="shared" si="43"/>
        <v>OK</v>
      </c>
      <c r="Z83" s="148"/>
      <c r="AA83" s="247">
        <f t="shared" si="44"/>
        <v>1</v>
      </c>
      <c r="AB83" s="427"/>
    </row>
    <row r="84" spans="1:28" s="260" customFormat="1" ht="24" customHeight="1" outlineLevel="1" x14ac:dyDescent="0.35">
      <c r="A84" s="412"/>
      <c r="B84" s="2119"/>
      <c r="C84" s="2120"/>
      <c r="D84" s="2122"/>
      <c r="E84" s="835"/>
      <c r="F84" s="1458">
        <f t="shared" si="45"/>
        <v>55</v>
      </c>
      <c r="G84" s="1459">
        <v>100</v>
      </c>
      <c r="H84" s="1460">
        <f>0.03</f>
        <v>0.03</v>
      </c>
      <c r="I84" s="1461"/>
      <c r="J84" s="1462">
        <f>$L$32*(H78+(G80-F80)*H80+(G81-F81)*H81+(G82-F82)*H82+(G83-F83)*H83+(G84-F84)*H84)*$B$77*$C$77</f>
        <v>2168.5144321483981</v>
      </c>
      <c r="K84" s="1463">
        <f>$M$32*(H78+(G80-F80)*H80+(G81-F81)*H81+(G82-F82)*H82+(G83-F83)*H83+(G84-F84)*H84)*$B$77*$C$77</f>
        <v>180.7095360123665</v>
      </c>
      <c r="L84" s="1462">
        <f t="shared" ref="L84:M84" si="49">J84*$D$77</f>
        <v>2710.6430401854977</v>
      </c>
      <c r="M84" s="1463">
        <f t="shared" si="49"/>
        <v>225.88692001545812</v>
      </c>
      <c r="N84" s="412"/>
      <c r="O84" s="840">
        <v>1850</v>
      </c>
      <c r="P84" s="421"/>
      <c r="Q84" s="285">
        <f t="shared" si="41"/>
        <v>389474.22749065288</v>
      </c>
      <c r="R84" s="412"/>
      <c r="S84" s="844">
        <f>IF(AND(Q84&lt;&gt;0,O84&lt;&gt;0),Q84/O84/30/(($D$25*1000000/$D$8))*1000,0)</f>
        <v>19.276227702752244</v>
      </c>
      <c r="T84" s="421" t="s">
        <v>376</v>
      </c>
      <c r="U84" s="824">
        <f>S84*O84*30*$D$11*(1+$D$24)/1000</f>
        <v>158936.50045967367</v>
      </c>
      <c r="V84" s="421" t="s">
        <v>377</v>
      </c>
      <c r="W84" s="824">
        <f t="shared" si="42"/>
        <v>85.911621870093882</v>
      </c>
      <c r="X84" s="421" t="s">
        <v>377</v>
      </c>
      <c r="Y84" s="286" t="str">
        <f t="shared" si="43"/>
        <v>OK</v>
      </c>
      <c r="Z84" s="148"/>
      <c r="AA84" s="247">
        <f t="shared" si="44"/>
        <v>1</v>
      </c>
      <c r="AB84" s="427"/>
    </row>
    <row r="85" spans="1:28" s="260" customFormat="1" ht="10.15" customHeight="1" outlineLevel="1" x14ac:dyDescent="0.35">
      <c r="A85" s="412"/>
      <c r="B85" s="412"/>
      <c r="C85" s="413"/>
      <c r="D85" s="412"/>
      <c r="E85" s="412"/>
      <c r="F85" s="412"/>
      <c r="G85" s="412"/>
      <c r="H85" s="413"/>
      <c r="I85" s="412"/>
      <c r="J85" s="413"/>
      <c r="K85" s="413"/>
      <c r="L85" s="413"/>
      <c r="M85" s="413"/>
      <c r="N85" s="412"/>
      <c r="O85" s="412"/>
      <c r="P85" s="412"/>
      <c r="Q85" s="412"/>
      <c r="R85" s="412"/>
      <c r="S85" s="412"/>
      <c r="T85" s="412"/>
      <c r="U85" s="412"/>
      <c r="V85" s="412"/>
      <c r="W85" s="413"/>
      <c r="X85" s="412"/>
      <c r="Y85" s="413"/>
      <c r="Z85" s="412"/>
      <c r="AA85" s="412"/>
      <c r="AB85" s="427"/>
    </row>
    <row r="86" spans="1:28" s="260" customFormat="1" ht="35.15" customHeight="1" outlineLevel="1" x14ac:dyDescent="0.35">
      <c r="A86" s="412"/>
      <c r="B86" s="2105" t="s">
        <v>381</v>
      </c>
      <c r="C86" s="2106"/>
      <c r="D86" s="2106"/>
      <c r="E86" s="2106"/>
      <c r="F86" s="2106"/>
      <c r="G86" s="2106"/>
      <c r="H86" s="2106"/>
      <c r="I86" s="2106"/>
      <c r="J86" s="2106"/>
      <c r="K86" s="2106"/>
      <c r="L86" s="2106"/>
      <c r="M86" s="2106"/>
      <c r="N86" s="412"/>
      <c r="O86" s="412"/>
      <c r="P86" s="412"/>
      <c r="Q86" s="412"/>
      <c r="R86" s="412"/>
      <c r="S86" s="412"/>
      <c r="T86" s="412"/>
      <c r="U86" s="412"/>
      <c r="V86" s="412"/>
      <c r="W86" s="413"/>
      <c r="X86" s="412"/>
      <c r="Y86" s="413"/>
      <c r="Z86" s="412"/>
      <c r="AA86" s="412"/>
      <c r="AB86" s="427"/>
    </row>
    <row r="87" spans="1:28" s="1478" customFormat="1" ht="25.15" customHeight="1" outlineLevel="1" x14ac:dyDescent="0.65">
      <c r="A87" s="1471"/>
      <c r="B87" s="2107" t="s">
        <v>363</v>
      </c>
      <c r="C87" s="2099"/>
      <c r="D87" s="2099"/>
      <c r="E87" s="2108"/>
      <c r="F87" s="2099"/>
      <c r="G87" s="2099"/>
      <c r="H87" s="2099"/>
      <c r="I87" s="2108"/>
      <c r="J87" s="2099"/>
      <c r="K87" s="2099"/>
      <c r="L87" s="2099"/>
      <c r="M87" s="2099"/>
      <c r="N87" s="1471"/>
      <c r="O87" s="1473">
        <f>G10</f>
        <v>5</v>
      </c>
      <c r="P87" s="1480"/>
      <c r="Q87" s="1471"/>
      <c r="R87" s="1471"/>
      <c r="S87" s="1471"/>
      <c r="T87" s="1471"/>
      <c r="U87" s="1471"/>
      <c r="V87" s="1471"/>
      <c r="W87" s="1476"/>
      <c r="X87" s="1471"/>
      <c r="Y87" s="1476"/>
      <c r="Z87" s="1471"/>
      <c r="AA87" s="1471"/>
      <c r="AB87" s="1477"/>
    </row>
    <row r="88" spans="1:28" s="260" customFormat="1" ht="47.15" customHeight="1" outlineLevel="1" x14ac:dyDescent="0.35">
      <c r="A88" s="412"/>
      <c r="B88" s="2107" t="s">
        <v>364</v>
      </c>
      <c r="C88" s="2107" t="s">
        <v>365</v>
      </c>
      <c r="D88" s="2110"/>
      <c r="E88" s="1311"/>
      <c r="F88" s="2098" t="s">
        <v>366</v>
      </c>
      <c r="G88" s="2099"/>
      <c r="H88" s="2100"/>
      <c r="I88" s="834"/>
      <c r="J88" s="2096" t="s">
        <v>994</v>
      </c>
      <c r="K88" s="2097"/>
      <c r="L88" s="2097"/>
      <c r="M88" s="2097"/>
      <c r="N88" s="412"/>
      <c r="O88" s="286">
        <f>O91+O93+O94+O95+O96</f>
        <v>5</v>
      </c>
      <c r="P88" s="421"/>
      <c r="Q88" s="842">
        <f>Q91+Q93+Q94+Q95+Q96</f>
        <v>8624.331449373638</v>
      </c>
      <c r="R88" s="412"/>
      <c r="S88" s="2093">
        <f>IF(AND(Q88&lt;&gt;0,O88&lt;&gt;0),Q88/(($D$25*1000000/$D$8)),0)</f>
        <v>23.68981914917552</v>
      </c>
      <c r="T88" s="2129" t="s">
        <v>367</v>
      </c>
      <c r="U88" s="2093">
        <f>U91+U93+U94+U95+U96+Z97</f>
        <v>3519.4140269541908</v>
      </c>
      <c r="V88" s="412" t="s">
        <v>368</v>
      </c>
      <c r="W88" s="2093">
        <f>W91*O91+W93*O93+W94*O94+W95*O95+W96*O96</f>
        <v>3519.4140269541908</v>
      </c>
      <c r="X88" s="421" t="s">
        <v>368</v>
      </c>
      <c r="Y88" s="820" t="s">
        <v>369</v>
      </c>
      <c r="Z88" s="148"/>
      <c r="AA88" s="148"/>
      <c r="AB88" s="427"/>
    </row>
    <row r="89" spans="1:28" s="260" customFormat="1" ht="24" customHeight="1" outlineLevel="1" x14ac:dyDescent="0.35">
      <c r="A89" s="412"/>
      <c r="B89" s="2109"/>
      <c r="C89" s="1456" t="s">
        <v>370</v>
      </c>
      <c r="D89" s="1457" t="s">
        <v>371</v>
      </c>
      <c r="E89" s="1312"/>
      <c r="F89" s="2101"/>
      <c r="G89" s="2099"/>
      <c r="H89" s="2100"/>
      <c r="I89" s="835"/>
      <c r="J89" s="2102" t="s">
        <v>372</v>
      </c>
      <c r="K89" s="2103"/>
      <c r="L89" s="2104" t="s">
        <v>373</v>
      </c>
      <c r="M89" s="2103"/>
      <c r="N89" s="412"/>
      <c r="O89" s="847" t="s">
        <v>374</v>
      </c>
      <c r="P89" s="421"/>
      <c r="Q89" s="843">
        <v>0.25</v>
      </c>
      <c r="R89" s="412"/>
      <c r="S89" s="2114"/>
      <c r="T89" s="2130"/>
      <c r="U89" s="2114"/>
      <c r="V89" s="412"/>
      <c r="W89" s="2094"/>
      <c r="X89" s="421"/>
      <c r="Y89" s="846">
        <f>$Y$33</f>
        <v>0.1</v>
      </c>
      <c r="Z89" s="148"/>
      <c r="AA89" s="148"/>
      <c r="AB89" s="427"/>
    </row>
    <row r="90" spans="1:28" s="260" customFormat="1" ht="24" customHeight="1" outlineLevel="1" x14ac:dyDescent="0.35">
      <c r="A90" s="412"/>
      <c r="B90" s="2118">
        <v>1.75</v>
      </c>
      <c r="C90" s="2118">
        <v>1</v>
      </c>
      <c r="D90" s="2121">
        <v>1.25</v>
      </c>
      <c r="E90" s="835"/>
      <c r="F90" s="1464" t="s">
        <v>934</v>
      </c>
      <c r="G90" s="1465" t="s">
        <v>936</v>
      </c>
      <c r="H90" s="1467" t="s">
        <v>375</v>
      </c>
      <c r="I90" s="835"/>
      <c r="J90" s="1469" t="s">
        <v>355</v>
      </c>
      <c r="K90" s="1470" t="s">
        <v>356</v>
      </c>
      <c r="L90" s="1469" t="s">
        <v>355</v>
      </c>
      <c r="M90" s="1470" t="s">
        <v>356</v>
      </c>
      <c r="N90" s="412"/>
      <c r="O90" s="287"/>
      <c r="P90" s="421"/>
      <c r="Q90" s="288"/>
      <c r="R90" s="412"/>
      <c r="S90" s="137"/>
      <c r="T90" s="421"/>
      <c r="U90" s="137"/>
      <c r="V90" s="412"/>
      <c r="W90" s="291"/>
      <c r="X90" s="421"/>
      <c r="Y90" s="416"/>
      <c r="Z90" s="412"/>
      <c r="AA90" s="412"/>
      <c r="AB90" s="427"/>
    </row>
    <row r="91" spans="1:28" s="260" customFormat="1" ht="24" customHeight="1" outlineLevel="1" x14ac:dyDescent="0.35">
      <c r="A91" s="412"/>
      <c r="B91" s="2119"/>
      <c r="C91" s="2120"/>
      <c r="D91" s="2122"/>
      <c r="E91" s="835"/>
      <c r="F91" s="1458" t="s">
        <v>332</v>
      </c>
      <c r="G91" s="1459">
        <v>5</v>
      </c>
      <c r="H91" s="1460">
        <v>0.35</v>
      </c>
      <c r="I91" s="835"/>
      <c r="J91" s="1462">
        <f>$L$32*H91*$B$90*$C$90</f>
        <v>209.37380724191425</v>
      </c>
      <c r="K91" s="1463">
        <f>$M$32*H91*$B$90*$C$90</f>
        <v>17.447817270159526</v>
      </c>
      <c r="L91" s="1462">
        <f t="shared" ref="L91:M91" si="50">J91*$D$90</f>
        <v>261.71725905239282</v>
      </c>
      <c r="M91" s="1463">
        <f t="shared" si="50"/>
        <v>21.809771587699409</v>
      </c>
      <c r="N91" s="412"/>
      <c r="O91" s="840">
        <v>0</v>
      </c>
      <c r="P91" s="421"/>
      <c r="Q91" s="285">
        <f>O91*$Q$76*M91+O91*(1-$Q$76)*K91</f>
        <v>0</v>
      </c>
      <c r="R91" s="412"/>
      <c r="S91" s="844">
        <f>IF(AND(Q91&lt;&gt;0,O91&lt;&gt;0),Q91/O91/30/(($D$25*1000000/$D$8))*1000,0)</f>
        <v>0</v>
      </c>
      <c r="T91" s="421" t="s">
        <v>376</v>
      </c>
      <c r="U91" s="824">
        <f>S91*O91*30*$D$11*(1+$D$24)/1000</f>
        <v>0</v>
      </c>
      <c r="V91" s="412" t="s">
        <v>377</v>
      </c>
      <c r="W91" s="824">
        <f>IF(O91&lt;&gt;0,U91/O91,0)</f>
        <v>0</v>
      </c>
      <c r="X91" s="421" t="s">
        <v>377</v>
      </c>
      <c r="Y91" s="264" t="str">
        <f>IF(O91=0,"-", IF(W91&lt;=(G91*(1+$Y$89)),"OK", "NOK"))</f>
        <v>-</v>
      </c>
      <c r="Z91" s="148"/>
      <c r="AA91" s="247">
        <f>IF(OR(Y91="OK",Y91="-"),1,0)</f>
        <v>1</v>
      </c>
      <c r="AB91" s="427"/>
    </row>
    <row r="92" spans="1:28" s="260" customFormat="1" ht="24" customHeight="1" outlineLevel="1" x14ac:dyDescent="0.35">
      <c r="A92" s="412"/>
      <c r="B92" s="2119"/>
      <c r="C92" s="2120"/>
      <c r="D92" s="2122"/>
      <c r="E92" s="835"/>
      <c r="F92" s="1464" t="s">
        <v>935</v>
      </c>
      <c r="G92" s="1465" t="s">
        <v>937</v>
      </c>
      <c r="H92" s="1467" t="s">
        <v>375</v>
      </c>
      <c r="I92" s="835"/>
      <c r="J92" s="1462"/>
      <c r="K92" s="1463"/>
      <c r="L92" s="1462"/>
      <c r="M92" s="1463"/>
      <c r="N92" s="412"/>
      <c r="O92" s="287"/>
      <c r="P92" s="421"/>
      <c r="Q92" s="288"/>
      <c r="R92" s="412"/>
      <c r="S92" s="289"/>
      <c r="T92" s="421"/>
      <c r="U92" s="290"/>
      <c r="V92" s="412"/>
      <c r="W92" s="290"/>
      <c r="X92" s="421"/>
      <c r="Y92" s="476"/>
      <c r="Z92" s="148"/>
      <c r="AA92" s="247"/>
      <c r="AB92" s="427"/>
    </row>
    <row r="93" spans="1:28" s="260" customFormat="1" ht="24" customHeight="1" outlineLevel="1" x14ac:dyDescent="0.35">
      <c r="A93" s="412"/>
      <c r="B93" s="2119"/>
      <c r="C93" s="2120"/>
      <c r="D93" s="2122"/>
      <c r="E93" s="835"/>
      <c r="F93" s="1458">
        <f>G91</f>
        <v>5</v>
      </c>
      <c r="G93" s="1459">
        <v>30</v>
      </c>
      <c r="H93" s="1460">
        <v>0.05</v>
      </c>
      <c r="I93" s="835"/>
      <c r="J93" s="1462">
        <f>$L$32*(H91+(G93-F93)*H93)*$B$90*$C$90</f>
        <v>957.1374045344653</v>
      </c>
      <c r="K93" s="1463">
        <f>$M$32*(H91+(G93-F93)*H93)*$B$90*$C$90</f>
        <v>79.761450377872109</v>
      </c>
      <c r="L93" s="1462">
        <f t="shared" ref="L93:M93" si="51">J93*$D$90</f>
        <v>1196.4217556680817</v>
      </c>
      <c r="M93" s="1463">
        <f t="shared" si="51"/>
        <v>99.701812972340136</v>
      </c>
      <c r="N93" s="412"/>
      <c r="O93" s="840">
        <v>0</v>
      </c>
      <c r="P93" s="421"/>
      <c r="Q93" s="285">
        <f t="shared" ref="Q93:Q96" si="52">O93*$Q$76*M93+O93*(1-$Q$76)*K93</f>
        <v>0</v>
      </c>
      <c r="R93" s="412"/>
      <c r="S93" s="844">
        <f>IF(AND(Q93&lt;&gt;0,O93&lt;&gt;0),Q93/O93/30/(($D$25*1000000/$D$8))*1000,0)</f>
        <v>0</v>
      </c>
      <c r="T93" s="421" t="s">
        <v>376</v>
      </c>
      <c r="U93" s="824">
        <f>S93*O93*30*$D$11*(1+$D$24)/1000</f>
        <v>0</v>
      </c>
      <c r="V93" s="412" t="s">
        <v>377</v>
      </c>
      <c r="W93" s="824">
        <f t="shared" ref="W93:W96" si="53">IF(O93&lt;&gt;0,U93/O93,0)</f>
        <v>0</v>
      </c>
      <c r="X93" s="421" t="s">
        <v>377</v>
      </c>
      <c r="Y93" s="264" t="str">
        <f t="shared" ref="Y93:Y96" si="54">IF(O93=0,"-",IF(AND(((F93*(1-$Y$89))&lt;W93),(W93&lt;(G93*(1+$Y$89)))),"OK", "NOK"))</f>
        <v>-</v>
      </c>
      <c r="Z93" s="148"/>
      <c r="AA93" s="247">
        <f t="shared" ref="AA93:AA96" si="55">IF(OR(Y93="OK",Y93="-"),1,0)</f>
        <v>1</v>
      </c>
      <c r="AB93" s="427"/>
    </row>
    <row r="94" spans="1:28" s="260" customFormat="1" ht="24" customHeight="1" outlineLevel="1" x14ac:dyDescent="0.35">
      <c r="A94" s="412"/>
      <c r="B94" s="2119"/>
      <c r="C94" s="2120"/>
      <c r="D94" s="2122"/>
      <c r="E94" s="835"/>
      <c r="F94" s="1458">
        <f t="shared" ref="F94:F96" si="56">G93</f>
        <v>30</v>
      </c>
      <c r="G94" s="1459">
        <v>100</v>
      </c>
      <c r="H94" s="1460">
        <v>0.03</v>
      </c>
      <c r="I94" s="835"/>
      <c r="J94" s="1462">
        <f>$L$32*(H91+(G93-F93)*H93+(G94-F94)*H94)*$B$90*$C$90</f>
        <v>2213.3802479859514</v>
      </c>
      <c r="K94" s="1463">
        <f>$M$32*(H91+(G93-F93)*H93+(G94-F94)*H94)*$B$90*$C$90</f>
        <v>184.44835399882925</v>
      </c>
      <c r="L94" s="1462">
        <f t="shared" ref="L94:M94" si="57">J94*$D$90</f>
        <v>2766.7253099824393</v>
      </c>
      <c r="M94" s="1463">
        <f t="shared" si="57"/>
        <v>230.56044249853656</v>
      </c>
      <c r="N94" s="412"/>
      <c r="O94" s="840">
        <v>0</v>
      </c>
      <c r="P94" s="421"/>
      <c r="Q94" s="285">
        <f t="shared" si="52"/>
        <v>0</v>
      </c>
      <c r="R94" s="412"/>
      <c r="S94" s="844">
        <f>IF(AND(Q94&lt;&gt;0,O94&lt;&gt;0),Q94/O94/30/(($D$25*1000000/$D$8))*1000,0)</f>
        <v>0</v>
      </c>
      <c r="T94" s="421" t="s">
        <v>376</v>
      </c>
      <c r="U94" s="824">
        <f>S94*O94*30*$D$11*(1+$D$24)/1000</f>
        <v>0</v>
      </c>
      <c r="V94" s="412" t="s">
        <v>377</v>
      </c>
      <c r="W94" s="824">
        <f t="shared" si="53"/>
        <v>0</v>
      </c>
      <c r="X94" s="421" t="s">
        <v>377</v>
      </c>
      <c r="Y94" s="264" t="str">
        <f t="shared" si="54"/>
        <v>-</v>
      </c>
      <c r="Z94" s="148"/>
      <c r="AA94" s="247">
        <f t="shared" si="55"/>
        <v>1</v>
      </c>
      <c r="AB94" s="427"/>
    </row>
    <row r="95" spans="1:28" s="260" customFormat="1" ht="24" customHeight="1" outlineLevel="1" x14ac:dyDescent="0.35">
      <c r="A95" s="412"/>
      <c r="B95" s="2119"/>
      <c r="C95" s="2120"/>
      <c r="D95" s="2122"/>
      <c r="E95" s="835"/>
      <c r="F95" s="1458">
        <f t="shared" si="56"/>
        <v>100</v>
      </c>
      <c r="G95" s="1459">
        <v>500</v>
      </c>
      <c r="H95" s="1460">
        <v>1.4999999999999999E-2</v>
      </c>
      <c r="I95" s="835"/>
      <c r="J95" s="1462">
        <f>$L$32*(H91+(G93-F93)*H93+(G94-F94)*H94+(G95-F95)*H95)*$B$90*$C$90</f>
        <v>5802.6455149901958</v>
      </c>
      <c r="K95" s="1463">
        <f>$M$32*(H91+(G93-F93)*H93+(G94-F94)*H94+(G95-F95)*H95)*$B$90*$C$90</f>
        <v>483.55379291584961</v>
      </c>
      <c r="L95" s="1462">
        <f t="shared" ref="L95:M95" si="58">J95*$D$90</f>
        <v>7253.3068937377448</v>
      </c>
      <c r="M95" s="1463">
        <f t="shared" si="58"/>
        <v>604.44224114481199</v>
      </c>
      <c r="N95" s="412"/>
      <c r="O95" s="840">
        <v>1</v>
      </c>
      <c r="P95" s="421"/>
      <c r="Q95" s="285">
        <f t="shared" si="52"/>
        <v>563.34016874696476</v>
      </c>
      <c r="R95" s="412"/>
      <c r="S95" s="844">
        <f>IF(AND(Q95&lt;&gt;0,O95&lt;&gt;0),Q95/O95/30/(($D$25*1000000/$D$8))*1000,0)</f>
        <v>51.580526542537029</v>
      </c>
      <c r="T95" s="421" t="s">
        <v>376</v>
      </c>
      <c r="U95" s="824">
        <f>S95*O95*30*$D$11*(1+$D$24)/1000</f>
        <v>229.88765024549255</v>
      </c>
      <c r="V95" s="412" t="s">
        <v>377</v>
      </c>
      <c r="W95" s="824">
        <f t="shared" si="53"/>
        <v>229.88765024549255</v>
      </c>
      <c r="X95" s="421" t="s">
        <v>377</v>
      </c>
      <c r="Y95" s="264" t="str">
        <f t="shared" si="54"/>
        <v>OK</v>
      </c>
      <c r="Z95" s="148"/>
      <c r="AA95" s="247">
        <f t="shared" si="55"/>
        <v>1</v>
      </c>
      <c r="AB95" s="427"/>
    </row>
    <row r="96" spans="1:28" s="260" customFormat="1" ht="24" customHeight="1" outlineLevel="1" x14ac:dyDescent="0.35">
      <c r="A96" s="412"/>
      <c r="B96" s="2119"/>
      <c r="C96" s="2120"/>
      <c r="D96" s="2122"/>
      <c r="E96" s="835"/>
      <c r="F96" s="1458">
        <f t="shared" si="56"/>
        <v>500</v>
      </c>
      <c r="G96" s="1459">
        <v>1000</v>
      </c>
      <c r="H96" s="1460">
        <v>0.05</v>
      </c>
      <c r="I96" s="835"/>
      <c r="J96" s="1462">
        <f>$L$32*(H91+(G93-F93)*H93+(G94-F94)*H94+(G95-F95)*H95+(G96-F96)*H96)*$B$90*$C$90</f>
        <v>20757.917460841218</v>
      </c>
      <c r="K96" s="1463">
        <f>$M$32*(H91+(G93-F93)*H93+(G94-F94)*H94+(G95-F95)*H95+(G96-F96)*H96)*$B$90*$C$90</f>
        <v>1729.8264550701015</v>
      </c>
      <c r="L96" s="1462">
        <f t="shared" ref="L96:M96" si="59">J96*$D$90</f>
        <v>25947.396826051521</v>
      </c>
      <c r="M96" s="1463">
        <f t="shared" si="59"/>
        <v>2162.2830688376271</v>
      </c>
      <c r="N96" s="412"/>
      <c r="O96" s="840">
        <v>4</v>
      </c>
      <c r="P96" s="421"/>
      <c r="Q96" s="285">
        <f t="shared" si="52"/>
        <v>8060.991280626673</v>
      </c>
      <c r="R96" s="412"/>
      <c r="S96" s="844">
        <f>IF(AND(Q96&lt;&gt;0,O96&lt;&gt;0),Q96/O96/30/(($D$25*1000000/$D$8))*1000,0)</f>
        <v>184.52002794082838</v>
      </c>
      <c r="T96" s="421" t="s">
        <v>376</v>
      </c>
      <c r="U96" s="824">
        <f>S96*O96*30*$D$11*(1+$D$24)/1000</f>
        <v>3289.5263767086981</v>
      </c>
      <c r="V96" s="412" t="s">
        <v>377</v>
      </c>
      <c r="W96" s="824">
        <f t="shared" si="53"/>
        <v>822.38159417717452</v>
      </c>
      <c r="X96" s="421" t="s">
        <v>377</v>
      </c>
      <c r="Y96" s="286" t="str">
        <f t="shared" si="54"/>
        <v>OK</v>
      </c>
      <c r="Z96" s="148"/>
      <c r="AA96" s="247">
        <f t="shared" si="55"/>
        <v>1</v>
      </c>
      <c r="AB96" s="427"/>
    </row>
    <row r="97" spans="1:28" s="260" customFormat="1" ht="24" customHeight="1" outlineLevel="1" x14ac:dyDescent="0.35">
      <c r="A97" s="412"/>
      <c r="B97" s="850"/>
      <c r="C97" s="851"/>
      <c r="D97" s="850"/>
      <c r="E97" s="850"/>
      <c r="F97" s="850"/>
      <c r="G97" s="850"/>
      <c r="H97" s="851"/>
      <c r="I97" s="850"/>
      <c r="J97" s="851"/>
      <c r="K97" s="851"/>
      <c r="L97" s="851"/>
      <c r="M97" s="851"/>
      <c r="N97" s="851"/>
      <c r="O97" s="851"/>
      <c r="P97" s="851"/>
      <c r="Q97" s="851"/>
      <c r="R97" s="851"/>
      <c r="S97" s="895"/>
      <c r="T97" s="850"/>
      <c r="U97" s="896"/>
      <c r="V97" s="850"/>
      <c r="W97" s="851"/>
      <c r="X97" s="850"/>
      <c r="Y97" s="851"/>
      <c r="Z97" s="897"/>
      <c r="AA97" s="851"/>
      <c r="AB97" s="898"/>
    </row>
    <row r="98" spans="1:28" s="260" customFormat="1" ht="24" customHeight="1" x14ac:dyDescent="0.35">
      <c r="A98" s="412"/>
      <c r="B98" s="850"/>
      <c r="C98" s="851"/>
      <c r="D98" s="850"/>
      <c r="E98" s="850"/>
      <c r="F98" s="850"/>
      <c r="G98" s="850"/>
      <c r="H98" s="851"/>
      <c r="I98" s="850"/>
      <c r="J98" s="851"/>
      <c r="K98" s="851"/>
      <c r="L98" s="851"/>
      <c r="M98" s="851"/>
      <c r="N98" s="850"/>
      <c r="O98" s="850"/>
      <c r="P98" s="850"/>
      <c r="Q98" s="850"/>
      <c r="R98" s="850"/>
      <c r="S98" s="850"/>
      <c r="T98" s="850"/>
      <c r="U98" s="899"/>
      <c r="V98" s="850"/>
      <c r="W98" s="851"/>
      <c r="X98" s="850"/>
      <c r="Y98" s="851"/>
      <c r="Z98" s="850"/>
      <c r="AA98" s="850"/>
      <c r="AB98" s="898"/>
    </row>
    <row r="99" spans="1:28" ht="14.25" customHeight="1" x14ac:dyDescent="0.35">
      <c r="A99" s="70"/>
      <c r="H99" s="71"/>
      <c r="J99" s="71"/>
      <c r="K99" s="71"/>
      <c r="L99" s="71"/>
      <c r="M99" s="71"/>
      <c r="T99" s="57"/>
      <c r="U99" s="72"/>
      <c r="V99" s="57"/>
    </row>
    <row r="100" spans="1:28" ht="14.25" customHeight="1" x14ac:dyDescent="0.35">
      <c r="A100" s="70"/>
      <c r="H100" s="71"/>
      <c r="J100" s="71"/>
      <c r="K100" s="71"/>
      <c r="L100" s="71"/>
      <c r="M100" s="71"/>
      <c r="T100" s="57"/>
      <c r="U100" s="72"/>
      <c r="V100" s="57"/>
    </row>
    <row r="101" spans="1:28" ht="14.25" customHeight="1" x14ac:dyDescent="0.35">
      <c r="A101" s="70"/>
      <c r="H101" s="71"/>
      <c r="J101" s="71"/>
      <c r="K101" s="71"/>
      <c r="L101" s="71"/>
      <c r="M101" s="71"/>
      <c r="T101" s="57"/>
      <c r="U101" s="72"/>
      <c r="V101" s="57"/>
    </row>
    <row r="102" spans="1:28" ht="14.25" customHeight="1" x14ac:dyDescent="0.35">
      <c r="A102" s="70"/>
      <c r="H102" s="71"/>
      <c r="J102" s="71"/>
      <c r="K102" s="71"/>
      <c r="L102" s="71"/>
      <c r="M102" s="71"/>
      <c r="T102" s="57"/>
      <c r="U102" s="72"/>
      <c r="V102" s="57"/>
    </row>
    <row r="103" spans="1:28" ht="14.25" customHeight="1" x14ac:dyDescent="0.35">
      <c r="A103" s="70"/>
      <c r="H103" s="71"/>
      <c r="J103" s="71"/>
      <c r="K103" s="71"/>
      <c r="L103" s="71"/>
      <c r="M103" s="71"/>
      <c r="T103" s="57"/>
      <c r="U103" s="72"/>
      <c r="V103" s="57"/>
    </row>
  </sheetData>
  <sheetProtection algorithmName="SHA-512" hashValue="Ka4uLIKSgp3RY0zpHC00RoT2TXhkkO544OiDAD3gvxxkI+b7aQR1insyDIhsG6GJyJI4rq4ZZLsFZJHqVDIpEg==" saltValue="iIqJBNowcg1Ypnx+z4VVbg==" spinCount="100000" sheet="1" formatColumns="0" formatRows="0" sort="0" autoFilter="0"/>
  <mergeCells count="104">
    <mergeCell ref="O2:AA3"/>
    <mergeCell ref="B2:M3"/>
    <mergeCell ref="F15:F16"/>
    <mergeCell ref="G15:G16"/>
    <mergeCell ref="H15:H16"/>
    <mergeCell ref="O5:O6"/>
    <mergeCell ref="Q5:Q6"/>
    <mergeCell ref="S5:S6"/>
    <mergeCell ref="U5:U6"/>
    <mergeCell ref="W5:W6"/>
    <mergeCell ref="Y5:Y6"/>
    <mergeCell ref="K7:K8"/>
    <mergeCell ref="J7:J8"/>
    <mergeCell ref="K5:K6"/>
    <mergeCell ref="J5:J6"/>
    <mergeCell ref="Y31:Y32"/>
    <mergeCell ref="K29:M29"/>
    <mergeCell ref="B51:B58"/>
    <mergeCell ref="C51:C58"/>
    <mergeCell ref="D51:D58"/>
    <mergeCell ref="B49:B50"/>
    <mergeCell ref="C49:D49"/>
    <mergeCell ref="J49:M49"/>
    <mergeCell ref="J36:M36"/>
    <mergeCell ref="U49:U50"/>
    <mergeCell ref="B48:M48"/>
    <mergeCell ref="T49:T50"/>
    <mergeCell ref="B29:E29"/>
    <mergeCell ref="B38:B45"/>
    <mergeCell ref="C38:C45"/>
    <mergeCell ref="D38:D45"/>
    <mergeCell ref="B47:M47"/>
    <mergeCell ref="O29:Z29"/>
    <mergeCell ref="W31:W32"/>
    <mergeCell ref="U36:U37"/>
    <mergeCell ref="Y33:Y34"/>
    <mergeCell ref="F49:H50"/>
    <mergeCell ref="J50:K50"/>
    <mergeCell ref="L50:M50"/>
    <mergeCell ref="W88:W89"/>
    <mergeCell ref="U88:U89"/>
    <mergeCell ref="S88:S89"/>
    <mergeCell ref="T88:T89"/>
    <mergeCell ref="J76:K76"/>
    <mergeCell ref="L76:M76"/>
    <mergeCell ref="W75:W76"/>
    <mergeCell ref="S36:S37"/>
    <mergeCell ref="T36:T37"/>
    <mergeCell ref="U62:U63"/>
    <mergeCell ref="S75:S76"/>
    <mergeCell ref="T75:T76"/>
    <mergeCell ref="W36:W37"/>
    <mergeCell ref="S62:S63"/>
    <mergeCell ref="T62:T63"/>
    <mergeCell ref="J75:M75"/>
    <mergeCell ref="B60:M60"/>
    <mergeCell ref="B31:K32"/>
    <mergeCell ref="U75:U76"/>
    <mergeCell ref="B73:M73"/>
    <mergeCell ref="B74:M74"/>
    <mergeCell ref="C88:D88"/>
    <mergeCell ref="J88:M88"/>
    <mergeCell ref="B77:B84"/>
    <mergeCell ref="C77:C84"/>
    <mergeCell ref="D77:D84"/>
    <mergeCell ref="F88:H89"/>
    <mergeCell ref="B75:B76"/>
    <mergeCell ref="C75:D75"/>
    <mergeCell ref="C64:C71"/>
    <mergeCell ref="D64:D71"/>
    <mergeCell ref="F75:H76"/>
    <mergeCell ref="B90:B96"/>
    <mergeCell ref="C90:C96"/>
    <mergeCell ref="D90:D96"/>
    <mergeCell ref="B86:M86"/>
    <mergeCell ref="B87:M87"/>
    <mergeCell ref="B88:B89"/>
    <mergeCell ref="J89:K89"/>
    <mergeCell ref="L89:M89"/>
    <mergeCell ref="B64:B71"/>
    <mergeCell ref="H18:J18"/>
    <mergeCell ref="H19:J19"/>
    <mergeCell ref="W62:W63"/>
    <mergeCell ref="S31:S32"/>
    <mergeCell ref="U31:U32"/>
    <mergeCell ref="J62:M62"/>
    <mergeCell ref="F62:H63"/>
    <mergeCell ref="J63:K63"/>
    <mergeCell ref="L63:M63"/>
    <mergeCell ref="F36:H37"/>
    <mergeCell ref="B34:M34"/>
    <mergeCell ref="B35:M35"/>
    <mergeCell ref="B36:B37"/>
    <mergeCell ref="C36:D36"/>
    <mergeCell ref="B61:M61"/>
    <mergeCell ref="B62:B63"/>
    <mergeCell ref="C62:D62"/>
    <mergeCell ref="O31:O32"/>
    <mergeCell ref="Q31:Q32"/>
    <mergeCell ref="J37:K37"/>
    <mergeCell ref="L37:M37"/>
    <mergeCell ref="W49:W50"/>
    <mergeCell ref="S49:S50"/>
    <mergeCell ref="F23:H23"/>
  </mergeCells>
  <conditionalFormatting sqref="O36 O49 O62 O75 O88">
    <cfRule type="expression" dxfId="471" priority="37">
      <formula>OR(O36&lt;O35*99.75%,O36&gt;O35*100.25%)</formula>
    </cfRule>
  </conditionalFormatting>
  <conditionalFormatting sqref="O36 O49 O62 O75 O88">
    <cfRule type="expression" dxfId="470" priority="38">
      <formula>OR(O36&lt;O35*100.25%,O36&gt;O35*99.75%)</formula>
    </cfRule>
  </conditionalFormatting>
  <conditionalFormatting sqref="Y39">
    <cfRule type="expression" dxfId="469" priority="55">
      <formula>Y39="NOK"</formula>
    </cfRule>
  </conditionalFormatting>
  <conditionalFormatting sqref="Y39">
    <cfRule type="expression" dxfId="468" priority="56">
      <formula>Y39="OK"</formula>
    </cfRule>
  </conditionalFormatting>
  <conditionalFormatting sqref="Y41:Y45">
    <cfRule type="expression" dxfId="467" priority="57">
      <formula>Y41="NOK"</formula>
    </cfRule>
  </conditionalFormatting>
  <conditionalFormatting sqref="Y41:Y45">
    <cfRule type="expression" dxfId="466" priority="58">
      <formula>Y41="OK"</formula>
    </cfRule>
  </conditionalFormatting>
  <conditionalFormatting sqref="Y52">
    <cfRule type="expression" dxfId="465" priority="59">
      <formula>Y52="NOK"</formula>
    </cfRule>
  </conditionalFormatting>
  <conditionalFormatting sqref="Y52">
    <cfRule type="expression" dxfId="464" priority="60">
      <formula>Y52="OK"</formula>
    </cfRule>
  </conditionalFormatting>
  <conditionalFormatting sqref="Y54:Y58">
    <cfRule type="expression" dxfId="463" priority="61">
      <formula>Y54="NOK"</formula>
    </cfRule>
  </conditionalFormatting>
  <conditionalFormatting sqref="Y54:Y58">
    <cfRule type="expression" dxfId="462" priority="62">
      <formula>Y54="OK"</formula>
    </cfRule>
  </conditionalFormatting>
  <conditionalFormatting sqref="Y65">
    <cfRule type="expression" dxfId="461" priority="63">
      <formula>Y65="NOK"</formula>
    </cfRule>
  </conditionalFormatting>
  <conditionalFormatting sqref="Y65">
    <cfRule type="expression" dxfId="460" priority="64">
      <formula>Y65="OK"</formula>
    </cfRule>
  </conditionalFormatting>
  <conditionalFormatting sqref="Y67:Y71">
    <cfRule type="expression" dxfId="459" priority="65">
      <formula>Y67="NOK"</formula>
    </cfRule>
  </conditionalFormatting>
  <conditionalFormatting sqref="Y67:Y71">
    <cfRule type="expression" dxfId="458" priority="66">
      <formula>Y67="OK"</formula>
    </cfRule>
  </conditionalFormatting>
  <conditionalFormatting sqref="Y78">
    <cfRule type="expression" dxfId="457" priority="67">
      <formula>Y78="NOK"</formula>
    </cfRule>
  </conditionalFormatting>
  <conditionalFormatting sqref="Y78">
    <cfRule type="expression" dxfId="456" priority="68">
      <formula>Y78="OK"</formula>
    </cfRule>
  </conditionalFormatting>
  <conditionalFormatting sqref="Y80:Y84">
    <cfRule type="expression" dxfId="455" priority="69">
      <formula>Y80="NOK"</formula>
    </cfRule>
  </conditionalFormatting>
  <conditionalFormatting sqref="Y80:Y84">
    <cfRule type="expression" dxfId="454" priority="70">
      <formula>Y80="OK"</formula>
    </cfRule>
  </conditionalFormatting>
  <conditionalFormatting sqref="Y91">
    <cfRule type="expression" dxfId="453" priority="71">
      <formula>Y91="NOK"</formula>
    </cfRule>
  </conditionalFormatting>
  <conditionalFormatting sqref="Y91">
    <cfRule type="expression" dxfId="452" priority="72">
      <formula>Y91="OK"</formula>
    </cfRule>
  </conditionalFormatting>
  <conditionalFormatting sqref="Y93:Y96">
    <cfRule type="expression" dxfId="451" priority="73">
      <formula>Y93="NOK"</formula>
    </cfRule>
  </conditionalFormatting>
  <conditionalFormatting sqref="Y93:Y96">
    <cfRule type="expression" dxfId="450" priority="74">
      <formula>Y93="OK"</formula>
    </cfRule>
  </conditionalFormatting>
  <conditionalFormatting sqref="Y12">
    <cfRule type="expression" dxfId="449" priority="75">
      <formula>Y12&gt;20%</formula>
    </cfRule>
  </conditionalFormatting>
  <conditionalFormatting sqref="Y12">
    <cfRule type="expression" dxfId="448" priority="76">
      <formula>Y12&lt;=20%</formula>
    </cfRule>
  </conditionalFormatting>
  <conditionalFormatting sqref="O5">
    <cfRule type="expression" dxfId="447" priority="375">
      <formula>ABS(O8)&gt;=O7</formula>
    </cfRule>
    <cfRule type="expression" dxfId="446" priority="376">
      <formula>ABS(O8)&lt;O7</formula>
    </cfRule>
  </conditionalFormatting>
  <conditionalFormatting sqref="Q5">
    <cfRule type="expression" dxfId="445" priority="9">
      <formula>ABS(Q8)&gt;=Q7</formula>
    </cfRule>
    <cfRule type="expression" dxfId="444" priority="10">
      <formula>ABS(Q8)&lt;Q7</formula>
    </cfRule>
  </conditionalFormatting>
  <conditionalFormatting sqref="S5">
    <cfRule type="expression" dxfId="443" priority="7">
      <formula>ABS(S8)&gt;=S7</formula>
    </cfRule>
    <cfRule type="expression" dxfId="442" priority="8">
      <formula>ABS(S8)&lt;S7</formula>
    </cfRule>
  </conditionalFormatting>
  <conditionalFormatting sqref="U5">
    <cfRule type="expression" dxfId="441" priority="5">
      <formula>ABS(U8)&gt;=U7</formula>
    </cfRule>
    <cfRule type="expression" dxfId="440" priority="6">
      <formula>ABS(U8)&lt;U7</formula>
    </cfRule>
  </conditionalFormatting>
  <conditionalFormatting sqref="W5">
    <cfRule type="expression" dxfId="439" priority="3">
      <formula>ABS(W8)&gt;=W7</formula>
    </cfRule>
    <cfRule type="expression" dxfId="438" priority="4">
      <formula>ABS(W8)&lt;W7</formula>
    </cfRule>
  </conditionalFormatting>
  <conditionalFormatting sqref="Y5">
    <cfRule type="expression" dxfId="437" priority="1">
      <formula>ABS(Y12)&gt;=Y10</formula>
    </cfRule>
    <cfRule type="expression" dxfId="436" priority="2">
      <formula>ABS(Y12)&lt;Y10</formula>
    </cfRule>
  </conditionalFormatting>
  <pageMargins left="0.511811024" right="0.511811024" top="0.78740157499999996" bottom="0.78740157499999996" header="0" footer="0"/>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B1D1878DB1335499DDB13F3A4C3009B" ma:contentTypeVersion="13" ma:contentTypeDescription="Crie um novo documento." ma:contentTypeScope="" ma:versionID="54e9d38970e629859e125ed28fdbb2b2">
  <xsd:schema xmlns:xsd="http://www.w3.org/2001/XMLSchema" xmlns:xs="http://www.w3.org/2001/XMLSchema" xmlns:p="http://schemas.microsoft.com/office/2006/metadata/properties" xmlns:ns2="388ba771-cdb3-4ab4-b105-079ba08c4720" xmlns:ns3="eabf0ec1-5846-45d3-901d-efa415327165" targetNamespace="http://schemas.microsoft.com/office/2006/metadata/properties" ma:root="true" ma:fieldsID="ad4edc010d1229f507f4b9c1ee00119d" ns2:_="" ns3:_="">
    <xsd:import namespace="388ba771-cdb3-4ab4-b105-079ba08c4720"/>
    <xsd:import namespace="eabf0ec1-5846-45d3-901d-efa4153271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8ba771-cdb3-4ab4-b105-079ba08c47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bf0ec1-5846-45d3-901d-efa415327165"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E9AE77-3E65-4FFD-8391-5CEA86A5B6A5}">
  <ds:schemaRefs>
    <ds:schemaRef ds:uri="http://schemas.microsoft.com/sharepoint/v3/contenttype/forms"/>
  </ds:schemaRefs>
</ds:datastoreItem>
</file>

<file path=customXml/itemProps2.xml><?xml version="1.0" encoding="utf-8"?>
<ds:datastoreItem xmlns:ds="http://schemas.openxmlformats.org/officeDocument/2006/customXml" ds:itemID="{EAF6792C-4CE7-4F81-809E-A2060935CC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8ba771-cdb3-4ab4-b105-079ba08c4720"/>
    <ds:schemaRef ds:uri="eabf0ec1-5846-45d3-901d-efa4153271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02362E-07F9-414E-8579-4489C4DF811D}">
  <ds:schemaRefs>
    <ds:schemaRef ds:uri="http://schemas.microsoft.com/office/infopath/2007/PartnerControls"/>
    <ds:schemaRef ds:uri="http://schemas.openxmlformats.org/package/2006/metadata/core-properties"/>
    <ds:schemaRef ds:uri="http://schemas.microsoft.com/office/2006/documentManagement/types"/>
    <ds:schemaRef ds:uri="eabf0ec1-5846-45d3-901d-efa415327165"/>
    <ds:schemaRef ds:uri="388ba771-cdb3-4ab4-b105-079ba08c4720"/>
    <ds:schemaRef ds:uri="http://purl.org/dc/elements/1.1/"/>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20</vt:i4>
      </vt:variant>
      <vt:variant>
        <vt:lpstr>Intervalos Nomeados</vt:lpstr>
      </vt:variant>
      <vt:variant>
        <vt:i4>3</vt:i4>
      </vt:variant>
    </vt:vector>
  </HeadingPairs>
  <TitlesOfParts>
    <vt:vector size="23" baseType="lpstr">
      <vt:lpstr>Apresentação</vt:lpstr>
      <vt:lpstr>R-Entrada</vt:lpstr>
      <vt:lpstr>R-Definição</vt:lpstr>
      <vt:lpstr>R-Avançado</vt:lpstr>
      <vt:lpstr>R-Fluxo Massa</vt:lpstr>
      <vt:lpstr>R-Resumo Bal. Massa</vt:lpstr>
      <vt:lpstr>Saída GEE</vt:lpstr>
      <vt:lpstr>R&amp;C-Painel de Controle</vt:lpstr>
      <vt:lpstr>C-Calc Tarifa</vt:lpstr>
      <vt:lpstr>C-FCL Real</vt:lpstr>
      <vt:lpstr>C-Graf Simul Tarifa Avançado</vt:lpstr>
      <vt:lpstr>C-Graf Simul Tarifa Simples</vt:lpstr>
      <vt:lpstr>C-Triagem Man</vt:lpstr>
      <vt:lpstr>C-Triagem Mec</vt:lpstr>
      <vt:lpstr>C-Produção CDR-TM</vt:lpstr>
      <vt:lpstr>C-Produção CDR-TMB</vt:lpstr>
      <vt:lpstr>C-Compostagem</vt:lpstr>
      <vt:lpstr>C-Biodigestão</vt:lpstr>
      <vt:lpstr>C-Incineração</vt:lpstr>
      <vt:lpstr>C-Aterro Sanitário</vt:lpstr>
      <vt:lpstr>Apresentação!Area_de_impressao</vt:lpstr>
      <vt:lpstr>'C-FCL Real'!solver_opt</vt:lpstr>
      <vt:lpstr>'C-Graf Simul Tarifa Avançado'!solver_opt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ponto frio</dc:creator>
  <cp:lastModifiedBy>Nadja Reis</cp:lastModifiedBy>
  <cp:lastPrinted>2019-11-28T14:59:28Z</cp:lastPrinted>
  <dcterms:created xsi:type="dcterms:W3CDTF">2019-08-09T12:30:35Z</dcterms:created>
  <dcterms:modified xsi:type="dcterms:W3CDTF">2022-05-09T19:36:20Z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0x0101003B1D1878DB1335499DDB13F3A4C3009B</vt:lpwstr>
  </property>
</Properties>
</file>