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asistecnologia/Downloads/CGU - PE 04.2023/Proposta Basis/Planilha de preços/"/>
    </mc:Choice>
  </mc:AlternateContent>
  <xr:revisionPtr revIDLastSave="0" documentId="13_ncr:1_{B69A93B8-45A0-964D-8A0D-FD4294D9C8E4}" xr6:coauthVersionLast="45" xr6:coauthVersionMax="47" xr10:uidLastSave="{00000000-0000-0000-0000-000000000000}"/>
  <bookViews>
    <workbookView xWindow="0" yWindow="440" windowWidth="28800" windowHeight="16240" tabRatio="882" activeTab="1" xr2:uid="{00000000-000D-0000-FFFF-FFFF00000000}"/>
  </bookViews>
  <sheets>
    <sheet name="Tabela de Apoio" sheetId="101" r:id="rId1"/>
    <sheet name="Quadro Resumo" sheetId="103" r:id="rId2"/>
    <sheet name="Analítico" sheetId="102" r:id="rId3"/>
  </sheets>
  <definedNames>
    <definedName name="_xlnm.Print_Area" localSheetId="2">Analítico!$A$1:$J$101</definedName>
    <definedName name="_xlnm.Print_Area" localSheetId="1">'Quadro Resumo'!$A$1:$H$22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02" l="1"/>
  <c r="C57" i="102" l="1"/>
  <c r="C54" i="102"/>
  <c r="C42" i="102" l="1"/>
  <c r="J92" i="102"/>
  <c r="I92" i="102"/>
  <c r="H92" i="102"/>
  <c r="G92" i="102"/>
  <c r="F92" i="102"/>
  <c r="E92" i="102"/>
  <c r="D92" i="102"/>
  <c r="J67" i="102"/>
  <c r="J63" i="102"/>
  <c r="I63" i="102"/>
  <c r="I67" i="102" s="1"/>
  <c r="B9" i="101"/>
  <c r="B8" i="101"/>
  <c r="G4" i="101" l="1"/>
  <c r="G5" i="101" s="1"/>
  <c r="G6" i="101" s="1"/>
  <c r="G7" i="101" s="1"/>
  <c r="G8" i="101" s="1"/>
  <c r="G9" i="101" s="1"/>
  <c r="H63" i="102" l="1"/>
  <c r="H67" i="102" s="1"/>
  <c r="G63" i="102"/>
  <c r="G67" i="102" s="1"/>
  <c r="F63" i="102"/>
  <c r="F67" i="102" s="1"/>
  <c r="E63" i="102"/>
  <c r="E67" i="102" s="1"/>
  <c r="B7" i="101" l="1"/>
  <c r="B6" i="101"/>
  <c r="B5" i="101"/>
  <c r="B4" i="101"/>
  <c r="C43" i="102" l="1"/>
  <c r="C87" i="102" l="1"/>
  <c r="C86" i="102" l="1"/>
  <c r="R41" i="102" l="1"/>
  <c r="Q41" i="102"/>
  <c r="P41" i="102"/>
  <c r="O41" i="102"/>
  <c r="N41" i="102"/>
  <c r="R37" i="102"/>
  <c r="Q37" i="102"/>
  <c r="P37" i="102"/>
  <c r="O37" i="102"/>
  <c r="N37" i="102"/>
  <c r="C11" i="102" l="1"/>
  <c r="B3" i="101" l="1"/>
  <c r="J80" i="102" l="1"/>
  <c r="J6" i="102"/>
  <c r="D21" i="103"/>
  <c r="D19" i="103"/>
  <c r="D17" i="103"/>
  <c r="I80" i="102"/>
  <c r="I6" i="102"/>
  <c r="C21" i="103"/>
  <c r="C19" i="103"/>
  <c r="C17" i="103"/>
  <c r="J78" i="102"/>
  <c r="J3" i="102"/>
  <c r="D20" i="103"/>
  <c r="D18" i="103"/>
  <c r="D16" i="103"/>
  <c r="I78" i="102"/>
  <c r="I3" i="102"/>
  <c r="C20" i="103"/>
  <c r="C18" i="103"/>
  <c r="C16" i="103"/>
  <c r="F6" i="102"/>
  <c r="G3" i="102"/>
  <c r="E6" i="102"/>
  <c r="F3" i="102"/>
  <c r="E80" i="102"/>
  <c r="H6" i="102"/>
  <c r="E3" i="102"/>
  <c r="E78" i="102"/>
  <c r="G6" i="102"/>
  <c r="H3" i="102"/>
  <c r="F80" i="102"/>
  <c r="F78" i="102"/>
  <c r="G80" i="102"/>
  <c r="G78" i="102"/>
  <c r="H78" i="102"/>
  <c r="H80" i="102"/>
  <c r="D78" i="102"/>
  <c r="D80" i="102"/>
  <c r="C85" i="102"/>
  <c r="C84" i="102"/>
  <c r="C2" i="102"/>
  <c r="I45" i="102" l="1"/>
  <c r="I20" i="102"/>
  <c r="I43" i="102"/>
  <c r="I19" i="102"/>
  <c r="I30" i="102"/>
  <c r="I58" i="102"/>
  <c r="I24" i="102"/>
  <c r="I23" i="102"/>
  <c r="I57" i="102"/>
  <c r="I28" i="102"/>
  <c r="I42" i="102"/>
  <c r="I22" i="102"/>
  <c r="I53" i="102"/>
  <c r="I47" i="102"/>
  <c r="I44" i="102"/>
  <c r="I21" i="102"/>
  <c r="I94" i="102"/>
  <c r="E20" i="103" s="1"/>
  <c r="I12" i="102"/>
  <c r="I55" i="102"/>
  <c r="I11" i="102"/>
  <c r="I54" i="102"/>
  <c r="I18" i="102"/>
  <c r="I29" i="102"/>
  <c r="I17" i="102"/>
  <c r="I56" i="102"/>
  <c r="J47" i="102"/>
  <c r="J19" i="102"/>
  <c r="J44" i="102"/>
  <c r="J54" i="102"/>
  <c r="J28" i="102"/>
  <c r="J45" i="102"/>
  <c r="J20" i="102"/>
  <c r="J42" i="102"/>
  <c r="J57" i="102"/>
  <c r="J58" i="102"/>
  <c r="J94" i="102"/>
  <c r="E21" i="103" s="1"/>
  <c r="J12" i="102"/>
  <c r="J53" i="102"/>
  <c r="J18" i="102"/>
  <c r="J29" i="102"/>
  <c r="J30" i="102"/>
  <c r="J56" i="102"/>
  <c r="J22" i="102"/>
  <c r="J43" i="102"/>
  <c r="J11" i="102"/>
  <c r="J24" i="102"/>
  <c r="J21" i="102"/>
  <c r="J23" i="102"/>
  <c r="J17" i="102"/>
  <c r="J55" i="102"/>
  <c r="H23" i="102"/>
  <c r="H19" i="102"/>
  <c r="H22" i="102"/>
  <c r="H18" i="102"/>
  <c r="H11" i="102"/>
  <c r="H21" i="102"/>
  <c r="H17" i="102"/>
  <c r="H12" i="102"/>
  <c r="H24" i="102"/>
  <c r="H20" i="102"/>
  <c r="E11" i="102"/>
  <c r="E12" i="102"/>
  <c r="H44" i="102"/>
  <c r="H58" i="102"/>
  <c r="H54" i="102"/>
  <c r="H94" i="102"/>
  <c r="E19" i="103" s="1"/>
  <c r="H55" i="102"/>
  <c r="H47" i="102"/>
  <c r="H53" i="102"/>
  <c r="H57" i="102"/>
  <c r="H42" i="102"/>
  <c r="H29" i="102"/>
  <c r="H56" i="102"/>
  <c r="H45" i="102"/>
  <c r="H43" i="102"/>
  <c r="H30" i="102"/>
  <c r="H28" i="102"/>
  <c r="E44" i="102"/>
  <c r="E56" i="102"/>
  <c r="E94" i="102"/>
  <c r="E16" i="103" s="1"/>
  <c r="E23" i="102"/>
  <c r="E19" i="102"/>
  <c r="E45" i="102"/>
  <c r="E24" i="102"/>
  <c r="E47" i="102"/>
  <c r="E17" i="102"/>
  <c r="E55" i="102"/>
  <c r="E53" i="102"/>
  <c r="E22" i="102"/>
  <c r="E18" i="102"/>
  <c r="E57" i="102"/>
  <c r="E20" i="102"/>
  <c r="E58" i="102"/>
  <c r="E54" i="102"/>
  <c r="E29" i="102"/>
  <c r="E21" i="102"/>
  <c r="E42" i="102"/>
  <c r="E43" i="102"/>
  <c r="E28" i="102"/>
  <c r="E30" i="102"/>
  <c r="G94" i="102"/>
  <c r="E18" i="103" s="1"/>
  <c r="G23" i="102"/>
  <c r="G19" i="102"/>
  <c r="G57" i="102"/>
  <c r="G44" i="102"/>
  <c r="G42" i="102"/>
  <c r="G12" i="102"/>
  <c r="G17" i="102"/>
  <c r="G45" i="102"/>
  <c r="G53" i="102"/>
  <c r="G22" i="102"/>
  <c r="G18" i="102"/>
  <c r="G47" i="102"/>
  <c r="G54" i="102"/>
  <c r="G20" i="102"/>
  <c r="G55" i="102"/>
  <c r="G29" i="102"/>
  <c r="G21" i="102"/>
  <c r="G56" i="102"/>
  <c r="G58" i="102"/>
  <c r="G24" i="102"/>
  <c r="G11" i="102"/>
  <c r="G43" i="102"/>
  <c r="G30" i="102"/>
  <c r="G28" i="102"/>
  <c r="F12" i="102"/>
  <c r="F55" i="102"/>
  <c r="F94" i="102"/>
  <c r="E17" i="103" s="1"/>
  <c r="F23" i="102"/>
  <c r="F19" i="102"/>
  <c r="F47" i="102"/>
  <c r="F18" i="102"/>
  <c r="F56" i="102"/>
  <c r="F45" i="102"/>
  <c r="F17" i="102"/>
  <c r="F11" i="102"/>
  <c r="F58" i="102"/>
  <c r="F54" i="102"/>
  <c r="F53" i="102"/>
  <c r="F22" i="102"/>
  <c r="F44" i="102"/>
  <c r="F24" i="102"/>
  <c r="F57" i="102"/>
  <c r="F42" i="102"/>
  <c r="F29" i="102"/>
  <c r="F21" i="102"/>
  <c r="F20" i="102"/>
  <c r="F43" i="102"/>
  <c r="F28" i="102"/>
  <c r="F30" i="102"/>
  <c r="D6" i="102"/>
  <c r="D94" i="102" s="1"/>
  <c r="D3" i="102"/>
  <c r="C15" i="103"/>
  <c r="D15" i="103"/>
  <c r="C25" i="102"/>
  <c r="D63" i="102"/>
  <c r="D67" i="102" s="1"/>
  <c r="J33" i="102" l="1"/>
  <c r="J38" i="102" s="1"/>
  <c r="I33" i="102"/>
  <c r="I38" i="102" s="1"/>
  <c r="J25" i="102"/>
  <c r="J37" i="102" s="1"/>
  <c r="C46" i="102"/>
  <c r="J59" i="102"/>
  <c r="J66" i="102" s="1"/>
  <c r="J68" i="102" s="1"/>
  <c r="J97" i="102" s="1"/>
  <c r="I59" i="102"/>
  <c r="I66" i="102" s="1"/>
  <c r="I68" i="102" s="1"/>
  <c r="I97" i="102" s="1"/>
  <c r="I25" i="102"/>
  <c r="I37" i="102" s="1"/>
  <c r="D58" i="102"/>
  <c r="D54" i="102"/>
  <c r="D57" i="102"/>
  <c r="D53" i="102"/>
  <c r="D55" i="102"/>
  <c r="D56" i="102"/>
  <c r="H46" i="102"/>
  <c r="H48" i="102" s="1"/>
  <c r="H96" i="102" s="1"/>
  <c r="D23" i="102"/>
  <c r="D19" i="102"/>
  <c r="D22" i="102"/>
  <c r="D18" i="102"/>
  <c r="D21" i="102"/>
  <c r="D17" i="102"/>
  <c r="D24" i="102"/>
  <c r="D20" i="102"/>
  <c r="E33" i="102"/>
  <c r="E38" i="102" s="1"/>
  <c r="E25" i="102"/>
  <c r="E37" i="102" s="1"/>
  <c r="F59" i="102"/>
  <c r="F66" i="102" s="1"/>
  <c r="F68" i="102" s="1"/>
  <c r="F97" i="102" s="1"/>
  <c r="F25" i="102"/>
  <c r="F37" i="102" s="1"/>
  <c r="G33" i="102"/>
  <c r="G38" i="102" s="1"/>
  <c r="G59" i="102"/>
  <c r="H33" i="102"/>
  <c r="H38" i="102" s="1"/>
  <c r="H59" i="102"/>
  <c r="H66" i="102" s="1"/>
  <c r="H68" i="102" s="1"/>
  <c r="H97" i="102" s="1"/>
  <c r="G25" i="102"/>
  <c r="G37" i="102" s="1"/>
  <c r="F33" i="102"/>
  <c r="F38" i="102" s="1"/>
  <c r="E59" i="102"/>
  <c r="E66" i="102" s="1"/>
  <c r="E68" i="102" s="1"/>
  <c r="E97" i="102" s="1"/>
  <c r="H25" i="102"/>
  <c r="H37" i="102" s="1"/>
  <c r="D30" i="102"/>
  <c r="D22" i="103"/>
  <c r="D45" i="102"/>
  <c r="D42" i="102"/>
  <c r="D44" i="102"/>
  <c r="D43" i="102"/>
  <c r="D47" i="102"/>
  <c r="D11" i="102"/>
  <c r="D12" i="102"/>
  <c r="C13" i="102"/>
  <c r="D29" i="102"/>
  <c r="D28" i="102"/>
  <c r="C59" i="102"/>
  <c r="C83" i="102"/>
  <c r="J46" i="102" l="1"/>
  <c r="J48" i="102" s="1"/>
  <c r="J96" i="102" s="1"/>
  <c r="I46" i="102"/>
  <c r="I48" i="102" s="1"/>
  <c r="I96" i="102" s="1"/>
  <c r="E46" i="102"/>
  <c r="E48" i="102" s="1"/>
  <c r="E96" i="102" s="1"/>
  <c r="D46" i="102"/>
  <c r="G46" i="102"/>
  <c r="G48" i="102" s="1"/>
  <c r="G96" i="102" s="1"/>
  <c r="F46" i="102"/>
  <c r="F48" i="102" s="1"/>
  <c r="F96" i="102" s="1"/>
  <c r="J89" i="102"/>
  <c r="I89" i="102"/>
  <c r="G75" i="102"/>
  <c r="G98" i="102" s="1"/>
  <c r="D75" i="102"/>
  <c r="D98" i="102" s="1"/>
  <c r="J75" i="102"/>
  <c r="J98" i="102" s="1"/>
  <c r="F75" i="102"/>
  <c r="F98" i="102" s="1"/>
  <c r="H75" i="102"/>
  <c r="H98" i="102" s="1"/>
  <c r="I75" i="102"/>
  <c r="I98" i="102" s="1"/>
  <c r="E75" i="102"/>
  <c r="E98" i="102" s="1"/>
  <c r="E15" i="103"/>
  <c r="I13" i="102"/>
  <c r="I14" i="102" s="1"/>
  <c r="I36" i="102" s="1"/>
  <c r="I39" i="102" s="1"/>
  <c r="I95" i="102" s="1"/>
  <c r="J13" i="102"/>
  <c r="J14" i="102" s="1"/>
  <c r="J36" i="102" s="1"/>
  <c r="J39" i="102" s="1"/>
  <c r="J95" i="102" s="1"/>
  <c r="E13" i="102"/>
  <c r="E14" i="102" s="1"/>
  <c r="E36" i="102" s="1"/>
  <c r="E39" i="102" s="1"/>
  <c r="E95" i="102" s="1"/>
  <c r="H13" i="102"/>
  <c r="H14" i="102" s="1"/>
  <c r="G66" i="102"/>
  <c r="G68" i="102" s="1"/>
  <c r="G97" i="102" s="1"/>
  <c r="G89" i="102"/>
  <c r="H89" i="102"/>
  <c r="E89" i="102"/>
  <c r="F89" i="102"/>
  <c r="D13" i="102"/>
  <c r="G13" i="102"/>
  <c r="G14" i="102" s="1"/>
  <c r="G36" i="102" s="1"/>
  <c r="G39" i="102" s="1"/>
  <c r="G95" i="102" s="1"/>
  <c r="F13" i="102"/>
  <c r="F14" i="102" s="1"/>
  <c r="F36" i="102" s="1"/>
  <c r="F39" i="102" s="1"/>
  <c r="F95" i="102" s="1"/>
  <c r="D89" i="102"/>
  <c r="D33" i="102"/>
  <c r="D38" i="102" s="1"/>
  <c r="C14" i="102"/>
  <c r="C48" i="102"/>
  <c r="E99" i="102" l="1"/>
  <c r="E90" i="102" s="1"/>
  <c r="E100" i="102" s="1"/>
  <c r="E101" i="102" s="1"/>
  <c r="F16" i="103" s="1"/>
  <c r="I16" i="103" s="1"/>
  <c r="J99" i="102"/>
  <c r="J90" i="102" s="1"/>
  <c r="J100" i="102" s="1"/>
  <c r="J101" i="102" s="1"/>
  <c r="F21" i="103" s="1"/>
  <c r="I21" i="103" s="1"/>
  <c r="F99" i="102"/>
  <c r="F79" i="102" s="1"/>
  <c r="F81" i="102" s="1"/>
  <c r="F82" i="102" s="1"/>
  <c r="F85" i="102" s="1"/>
  <c r="I99" i="102"/>
  <c r="I90" i="102" s="1"/>
  <c r="I100" i="102" s="1"/>
  <c r="I101" i="102" s="1"/>
  <c r="G99" i="102"/>
  <c r="G79" i="102" s="1"/>
  <c r="G81" i="102" s="1"/>
  <c r="G82" i="102" s="1"/>
  <c r="G86" i="102" s="1"/>
  <c r="H36" i="102"/>
  <c r="H39" i="102" s="1"/>
  <c r="H95" i="102" s="1"/>
  <c r="H99" i="102" s="1"/>
  <c r="D59" i="102"/>
  <c r="D66" i="102" s="1"/>
  <c r="D14" i="102"/>
  <c r="D36" i="102" s="1"/>
  <c r="D48" i="102"/>
  <c r="D96" i="102" s="1"/>
  <c r="E79" i="102" l="1"/>
  <c r="E81" i="102" s="1"/>
  <c r="E82" i="102" s="1"/>
  <c r="E84" i="102" s="1"/>
  <c r="J79" i="102"/>
  <c r="J81" i="102" s="1"/>
  <c r="J82" i="102" s="1"/>
  <c r="J85" i="102" s="1"/>
  <c r="F90" i="102"/>
  <c r="F100" i="102" s="1"/>
  <c r="F101" i="102" s="1"/>
  <c r="F17" i="103" s="1"/>
  <c r="I17" i="103" s="1"/>
  <c r="I79" i="102"/>
  <c r="I81" i="102" s="1"/>
  <c r="I82" i="102" s="1"/>
  <c r="I87" i="102" s="1"/>
  <c r="G21" i="103"/>
  <c r="H21" i="103" s="1"/>
  <c r="F20" i="103"/>
  <c r="I20" i="103" s="1"/>
  <c r="G16" i="103"/>
  <c r="H16" i="103" s="1"/>
  <c r="G90" i="102"/>
  <c r="G100" i="102" s="1"/>
  <c r="G101" i="102" s="1"/>
  <c r="F18" i="103" s="1"/>
  <c r="I18" i="103" s="1"/>
  <c r="H79" i="102"/>
  <c r="H81" i="102" s="1"/>
  <c r="H82" i="102" s="1"/>
  <c r="H85" i="102" s="1"/>
  <c r="H90" i="102"/>
  <c r="H100" i="102" s="1"/>
  <c r="H101" i="102" s="1"/>
  <c r="F19" i="103" s="1"/>
  <c r="I19" i="103" s="1"/>
  <c r="F87" i="102"/>
  <c r="E87" i="102"/>
  <c r="E86" i="102"/>
  <c r="G85" i="102"/>
  <c r="G84" i="102"/>
  <c r="F86" i="102"/>
  <c r="F84" i="102"/>
  <c r="G87" i="102"/>
  <c r="D68" i="102"/>
  <c r="D97" i="102" s="1"/>
  <c r="E85" i="102" l="1"/>
  <c r="E88" i="102" s="1"/>
  <c r="J87" i="102"/>
  <c r="J84" i="102"/>
  <c r="J86" i="102"/>
  <c r="G17" i="103"/>
  <c r="H17" i="103" s="1"/>
  <c r="I84" i="102"/>
  <c r="I85" i="102"/>
  <c r="I86" i="102"/>
  <c r="G20" i="103"/>
  <c r="H20" i="103" s="1"/>
  <c r="G18" i="103"/>
  <c r="H18" i="103" s="1"/>
  <c r="G19" i="103"/>
  <c r="H19" i="103" s="1"/>
  <c r="H84" i="102"/>
  <c r="H87" i="102"/>
  <c r="H86" i="102"/>
  <c r="F88" i="102"/>
  <c r="G88" i="102"/>
  <c r="D25" i="102"/>
  <c r="D37" i="102" s="1"/>
  <c r="J88" i="102" l="1"/>
  <c r="I88" i="102"/>
  <c r="H88" i="102"/>
  <c r="D39" i="102"/>
  <c r="D95" i="102" s="1"/>
  <c r="D99" i="102" s="1"/>
  <c r="D90" i="102" l="1"/>
  <c r="D100" i="102" s="1"/>
  <c r="D79" i="102"/>
  <c r="D81" i="102" l="1"/>
  <c r="D82" i="102" s="1"/>
  <c r="D101" i="102"/>
  <c r="D84" i="102" l="1"/>
  <c r="D85" i="102"/>
  <c r="D86" i="102"/>
  <c r="D87" i="102"/>
  <c r="F15" i="103"/>
  <c r="I15" i="103" s="1"/>
  <c r="G15" i="103" l="1"/>
  <c r="D88" i="102"/>
  <c r="H15" i="103" l="1"/>
  <c r="G22" i="103"/>
  <c r="H22" i="1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Mateus Negrelli</author>
  </authors>
  <commentList>
    <comment ref="B45" authorId="0" shapeId="0" xr:uid="{83782155-9827-D142-BC7E-0227E47BEE4F}">
      <text>
        <r>
          <rPr>
            <sz val="10"/>
            <color rgb="FF000000"/>
            <rFont val="Tahoma"/>
            <family val="2"/>
          </rPr>
          <t>OBS. Conforme entendimento do TCU no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176/2017).</t>
        </r>
      </text>
    </comment>
  </commentList>
</comments>
</file>

<file path=xl/sharedStrings.xml><?xml version="1.0" encoding="utf-8"?>
<sst xmlns="http://schemas.openxmlformats.org/spreadsheetml/2006/main" count="270" uniqueCount="135">
  <si>
    <t>TOTAL</t>
  </si>
  <si>
    <t>VT</t>
  </si>
  <si>
    <t>Dias úteis</t>
  </si>
  <si>
    <t>Quant./dia</t>
  </si>
  <si>
    <t>Vlr Unit.</t>
  </si>
  <si>
    <t>VA</t>
  </si>
  <si>
    <t>Fórmula</t>
  </si>
  <si>
    <t>PERFIL</t>
  </si>
  <si>
    <t>Salários</t>
  </si>
  <si>
    <t>Taxa Adm</t>
  </si>
  <si>
    <t>Taxa Lucro</t>
  </si>
  <si>
    <t>Tributos</t>
  </si>
  <si>
    <t>COFINS (Cumulativo nos termos do Inciso XXV do Art.10 - Lei 10.833/2003). Ver também SOLUÇÃO DE CONSULTA SRRF Nº 1.006, DE 11 DE 2019.</t>
  </si>
  <si>
    <t>PIS Cumulativo nos termos do Inciso XXV do Art.10 - Lei 10.833/2003). Ver também SOLUÇÃO DE CONSULTA SRRF Nº 1.006, DE 11 DE 2019</t>
  </si>
  <si>
    <t>ISS</t>
  </si>
  <si>
    <t>INSS s/folha</t>
  </si>
  <si>
    <t>INSS (Desoneração)</t>
  </si>
  <si>
    <t>Benefícios Mensais e Diários</t>
  </si>
  <si>
    <t>A</t>
  </si>
  <si>
    <t>B</t>
  </si>
  <si>
    <t>C</t>
  </si>
  <si>
    <t>D</t>
  </si>
  <si>
    <t>E</t>
  </si>
  <si>
    <t>F</t>
  </si>
  <si>
    <t>G</t>
  </si>
  <si>
    <t>H</t>
  </si>
  <si>
    <t>INCRA</t>
  </si>
  <si>
    <t>Salário Educação</t>
  </si>
  <si>
    <t>FGTS</t>
  </si>
  <si>
    <t>SEBRAE</t>
  </si>
  <si>
    <t xml:space="preserve">Valor Total por Empregado </t>
  </si>
  <si>
    <t>Módulo 6 – Custos Indiretos, Tributos e Lucro</t>
  </si>
  <si>
    <t>Módulo 5 - Insumos Diversos</t>
  </si>
  <si>
    <t>Módulo 4 - Custo de Reposição do Profissional Ausente</t>
  </si>
  <si>
    <t>Módulo 3 - Provisão para Rescisão</t>
  </si>
  <si>
    <t>Módulo 2 - Encargos e Benefícios Anuais, Mensais e Diários</t>
  </si>
  <si>
    <t>Módulo 1 - Composição da Remuneração</t>
  </si>
  <si>
    <t>Valor (R$)</t>
  </si>
  <si>
    <t>Mão de obra vinculada à execução contratual (valor por empregado)</t>
  </si>
  <si>
    <t>2. QUADRO-RESUMO DO CUSTO POR EMPREGADO</t>
  </si>
  <si>
    <t>C.4</t>
  </si>
  <si>
    <t>C.3</t>
  </si>
  <si>
    <t>C.2</t>
  </si>
  <si>
    <t>C.1</t>
  </si>
  <si>
    <t>Lucro</t>
  </si>
  <si>
    <t>Custos Indiretos</t>
  </si>
  <si>
    <t>Módulo 6 - Custos Indiretos, Tributos e Lucro</t>
  </si>
  <si>
    <t xml:space="preserve">Total </t>
  </si>
  <si>
    <t>Intrajornada</t>
  </si>
  <si>
    <t>4.2</t>
  </si>
  <si>
    <t>Ausências Legais</t>
  </si>
  <si>
    <t>4.1</t>
  </si>
  <si>
    <t>Intervalo para repouso e alimentação</t>
  </si>
  <si>
    <t>Submódulo 4.2 - Intrajornada</t>
  </si>
  <si>
    <t>Submódulo 4.1 - Ausências Legais</t>
  </si>
  <si>
    <t>Total</t>
  </si>
  <si>
    <t>Incidência do Submódulo 2.2 sobre o Aviso Prévio Trabalhado</t>
  </si>
  <si>
    <t>Incidência do FGTS sobre o Aviso Prévio Indenizado</t>
  </si>
  <si>
    <t>2.3</t>
  </si>
  <si>
    <t>GPS, FGTS e outras contribuições</t>
  </si>
  <si>
    <t>2.2</t>
  </si>
  <si>
    <t>13º (décimo terceiro) Salário, Férias e Adicional de Férias</t>
  </si>
  <si>
    <t>2.1</t>
  </si>
  <si>
    <t>Quadro-Resumo do Módulo 2 - Encargos e Benefícios anuais, mensais e diários</t>
  </si>
  <si>
    <t>Submódulo 2.3 - Benefícios Mensais e Diários.</t>
  </si>
  <si>
    <t>SENAI - SENAC</t>
  </si>
  <si>
    <t>SESC ou SESI</t>
  </si>
  <si>
    <t>SAT (RAT = 1% * FAP = 0,5)</t>
  </si>
  <si>
    <t>Submódulo 2.2 - Encargos Previdenciários (GPS), FGTS e outras contribuições.</t>
  </si>
  <si>
    <t>13º (décimo terceiro) Salário</t>
  </si>
  <si>
    <t>Submódulo 2.1 - 13º (décimo terceiro) Salário, Férias e Adicional de Férias</t>
  </si>
  <si>
    <t>Salário do Perfil</t>
  </si>
  <si>
    <t>Data da Apresentação da Proposta (dia/mês/ano)</t>
  </si>
  <si>
    <t>Município/UF</t>
  </si>
  <si>
    <t>Data base</t>
  </si>
  <si>
    <t>Número de Meses de Execução do Contrato</t>
  </si>
  <si>
    <t>Subtotal</t>
  </si>
  <si>
    <t>Processo</t>
  </si>
  <si>
    <t>CÓDIGO</t>
  </si>
  <si>
    <t>Valor Total Mensal</t>
  </si>
  <si>
    <t>Valor Total Anual</t>
  </si>
  <si>
    <t>Quadro-Resumo do Módulo 4 - Custo de Reposição do Profissional Ausente</t>
  </si>
  <si>
    <t>Subtotal (A + B + C+ D + E)</t>
  </si>
  <si>
    <t>Composição da Remuneração</t>
  </si>
  <si>
    <t>Valor Unitário Mensal</t>
  </si>
  <si>
    <t>Cód.</t>
  </si>
  <si>
    <t>Número do Pregão</t>
  </si>
  <si>
    <t>Quantidade</t>
  </si>
  <si>
    <t>Quant.</t>
  </si>
  <si>
    <t>Brasília/DF</t>
  </si>
  <si>
    <t>Cálculo do custo com vale refeição</t>
  </si>
  <si>
    <t>Piso----&gt;</t>
  </si>
  <si>
    <t>&gt;6</t>
  </si>
  <si>
    <t>Custo com Plano de Saúde</t>
  </si>
  <si>
    <t>Incidência do Módulo 2.2 sobre o Módulo 2.1</t>
  </si>
  <si>
    <t>Taxas Comuns</t>
  </si>
  <si>
    <t>INSS (Sobre o faturamento - Lei 12.715/2012. MP 612/2013.).</t>
  </si>
  <si>
    <t>INSS (Desoneração - CPRB)</t>
  </si>
  <si>
    <t>ISS (Lei Complementar/GDF nº 963/2020 - CNAE da Licitante = 62.01-5/01)</t>
  </si>
  <si>
    <t>GRUPO</t>
  </si>
  <si>
    <t>CBO</t>
  </si>
  <si>
    <t>Ausências legais</t>
  </si>
  <si>
    <t>Ausências por acidente de trabalho</t>
  </si>
  <si>
    <t>Outros especificar</t>
  </si>
  <si>
    <t>Grupo</t>
  </si>
  <si>
    <t>Quantidade de horas produtivas média/mês</t>
  </si>
  <si>
    <t>Auxílio Odontológico</t>
  </si>
  <si>
    <t>Composição do Valor Unitário dos Perfis</t>
  </si>
  <si>
    <t>Aviso prévio indenizado</t>
  </si>
  <si>
    <t>Aviso prévio trabalhado - Redução de jornada</t>
  </si>
  <si>
    <t>TOTAL Grupo 1</t>
  </si>
  <si>
    <t>Perfil</t>
  </si>
  <si>
    <t>Multa do FGTS do aviso prévio indenizado</t>
  </si>
  <si>
    <t>Multa do FGTS do aviso prévio trabalhado</t>
  </si>
  <si>
    <t>Prova do cálculo do BDI pelo valor global (Cálculo por dentro) 
(1 + A + B + (A * B) / (1 - C)) - 1</t>
  </si>
  <si>
    <t>Cálculo considerando CCT 2023 do SINDPD/DF
Número do Registro no MTE: DF000552/2023 em 21/08/2023</t>
  </si>
  <si>
    <t>k</t>
  </si>
  <si>
    <t>Auxílio saúde</t>
  </si>
  <si>
    <t>Vale-transporte (Lei 7.418 de 16/12/85)</t>
  </si>
  <si>
    <t>Vale-refeição</t>
  </si>
  <si>
    <t>Afastamento maternidade</t>
  </si>
  <si>
    <t>Licença paternidade</t>
  </si>
  <si>
    <t>PE 04/2023</t>
  </si>
  <si>
    <t>Férias e Adicional de Férias</t>
  </si>
  <si>
    <t>Férias - Substituição</t>
  </si>
  <si>
    <t>Desenvolvedor de Software - Pleno</t>
  </si>
  <si>
    <t>Cientista de Dados</t>
  </si>
  <si>
    <t>Analista de Requisitos - Sênior</t>
  </si>
  <si>
    <t>Analista de Segurança</t>
  </si>
  <si>
    <t>Arquiteto de Software - Sênior</t>
  </si>
  <si>
    <t>Desenvolvedor de Software - Sênior</t>
  </si>
  <si>
    <t>Arquiteto de Software - Pleno</t>
  </si>
  <si>
    <t>CGU
Planilha de Custos e Formação de Preços</t>
  </si>
  <si>
    <t>Serviços de projeto e de manutenção de software e painéis corporativos, com práticas ágeis</t>
  </si>
  <si>
    <t>00190.105180/2023-20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</si>
</sst>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_(&quot;R$ &quot;* #,##0.00_);_(&quot;R$ &quot;* \(#,##0.00\);_(&quot;R$ &quot;* &quot;-&quot;??_);_(@_)"/>
    <numFmt numFmtId="167" formatCode="_(* #,##0_);_(* \(#,##0\);_(* &quot;-&quot;??_);_(@_)"/>
    <numFmt numFmtId="168" formatCode="0.0000%"/>
    <numFmt numFmtId="169" formatCode="_(* #,##0.00_);_(* \(#,##0.00\);_(* \-??_);_(@_)"/>
    <numFmt numFmtId="170" formatCode="_-* #,##0.00_-;\-* #,##0.00_-;_-* \-??_-;_-@_-"/>
    <numFmt numFmtId="171" formatCode="_-* #,##0.0000_-;\-* #,##0.0000_-;_-* &quot;-&quot;????_-;_-@_-"/>
    <numFmt numFmtId="172" formatCode="0.0%"/>
  </numFmts>
  <fonts count="37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9"/>
      <color indexed="8"/>
      <name val="Times New Roman"/>
      <family val="1"/>
      <charset val="1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Verdana"/>
      <family val="2"/>
      <charset val="1"/>
    </font>
    <font>
      <sz val="11"/>
      <color theme="1"/>
      <name val="Calibri"/>
      <family val="2"/>
      <charset val="1"/>
    </font>
    <font>
      <u/>
      <sz val="10"/>
      <color theme="10"/>
      <name val="Arial"/>
      <family val="2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/>
    <xf numFmtId="165" fontId="7" fillId="0" borderId="0" applyFill="0" applyBorder="0" applyAlignment="0" applyProtection="0"/>
    <xf numFmtId="0" fontId="18" fillId="0" borderId="0"/>
    <xf numFmtId="9" fontId="18" fillId="0" borderId="0" applyFill="0" applyBorder="0" applyProtection="0"/>
    <xf numFmtId="170" fontId="18" fillId="0" borderId="0" applyFill="0" applyBorder="0" applyProtection="0"/>
    <xf numFmtId="169" fontId="19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70" fontId="18" fillId="0" borderId="0" applyFill="0" applyBorder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8">
    <xf numFmtId="0" fontId="0" fillId="0" borderId="0" xfId="0"/>
    <xf numFmtId="0" fontId="13" fillId="0" borderId="0" xfId="6" applyFont="1" applyAlignment="1">
      <alignment vertical="center"/>
    </xf>
    <xf numFmtId="0" fontId="9" fillId="0" borderId="0" xfId="6" applyFont="1" applyAlignment="1">
      <alignment horizontal="left" vertical="center" wrapText="1"/>
    </xf>
    <xf numFmtId="43" fontId="9" fillId="0" borderId="0" xfId="2" applyFont="1" applyAlignment="1">
      <alignment horizontal="center" vertical="center"/>
    </xf>
    <xf numFmtId="10" fontId="8" fillId="3" borderId="1" xfId="0" applyNumberFormat="1" applyFont="1" applyFill="1" applyBorder="1" applyAlignment="1">
      <alignment vertical="center" wrapText="1"/>
    </xf>
    <xf numFmtId="167" fontId="15" fillId="0" borderId="0" xfId="2" applyNumberFormat="1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9" fillId="0" borderId="1" xfId="6" applyFont="1" applyBorder="1" applyAlignment="1">
      <alignment horizontal="center" vertical="center"/>
    </xf>
    <xf numFmtId="40" fontId="12" fillId="0" borderId="1" xfId="6" applyNumberFormat="1" applyFont="1" applyBorder="1" applyAlignment="1">
      <alignment horizontal="right" vertical="center"/>
    </xf>
    <xf numFmtId="0" fontId="9" fillId="0" borderId="0" xfId="6" applyFont="1" applyAlignment="1">
      <alignment horizontal="left" vertical="center"/>
    </xf>
    <xf numFmtId="40" fontId="4" fillId="0" borderId="1" xfId="6" applyNumberFormat="1" applyFont="1" applyBorder="1" applyAlignment="1">
      <alignment horizontal="right" vertical="center"/>
    </xf>
    <xf numFmtId="0" fontId="4" fillId="0" borderId="0" xfId="27"/>
    <xf numFmtId="0" fontId="4" fillId="0" borderId="0" xfId="27" applyAlignment="1">
      <alignment vertical="center"/>
    </xf>
    <xf numFmtId="0" fontId="17" fillId="2" borderId="5" xfId="27" applyFont="1" applyFill="1" applyBorder="1" applyAlignment="1">
      <alignment horizontal="center" vertical="center" wrapText="1"/>
    </xf>
    <xf numFmtId="0" fontId="17" fillId="2" borderId="1" xfId="27" applyFont="1" applyFill="1" applyBorder="1" applyAlignment="1">
      <alignment horizontal="center" vertical="center" wrapText="1"/>
    </xf>
    <xf numFmtId="0" fontId="4" fillId="0" borderId="0" xfId="27" applyAlignment="1">
      <alignment horizontal="center" vertical="center"/>
    </xf>
    <xf numFmtId="3" fontId="4" fillId="0" borderId="0" xfId="27" applyNumberFormat="1" applyAlignment="1">
      <alignment vertical="center"/>
    </xf>
    <xf numFmtId="3" fontId="4" fillId="0" borderId="0" xfId="27" applyNumberFormat="1"/>
    <xf numFmtId="0" fontId="4" fillId="0" borderId="1" xfId="27" applyBorder="1"/>
    <xf numFmtId="10" fontId="18" fillId="0" borderId="1" xfId="16" applyNumberFormat="1" applyBorder="1"/>
    <xf numFmtId="0" fontId="8" fillId="3" borderId="1" xfId="2" applyNumberFormat="1" applyFont="1" applyFill="1" applyBorder="1" applyAlignment="1">
      <alignment horizontal="center" vertical="center" wrapText="1"/>
    </xf>
    <xf numFmtId="0" fontId="10" fillId="0" borderId="0" xfId="15" applyFont="1"/>
    <xf numFmtId="170" fontId="10" fillId="0" borderId="0" xfId="20" applyFont="1"/>
    <xf numFmtId="170" fontId="24" fillId="0" borderId="1" xfId="20" applyFont="1" applyBorder="1"/>
    <xf numFmtId="170" fontId="10" fillId="0" borderId="1" xfId="20" applyFont="1" applyBorder="1"/>
    <xf numFmtId="0" fontId="24" fillId="0" borderId="1" xfId="15" applyFont="1" applyBorder="1" applyAlignment="1">
      <alignment horizontal="center" vertical="center" wrapText="1"/>
    </xf>
    <xf numFmtId="171" fontId="10" fillId="0" borderId="0" xfId="15" applyNumberFormat="1" applyFont="1"/>
    <xf numFmtId="170" fontId="24" fillId="2" borderId="1" xfId="20" applyFont="1" applyFill="1" applyBorder="1" applyAlignment="1">
      <alignment horizontal="center" vertical="center"/>
    </xf>
    <xf numFmtId="168" fontId="23" fillId="2" borderId="1" xfId="16" applyNumberFormat="1" applyFont="1" applyFill="1" applyBorder="1" applyAlignment="1">
      <alignment horizontal="center" vertical="center"/>
    </xf>
    <xf numFmtId="168" fontId="10" fillId="0" borderId="1" xfId="15" applyNumberFormat="1" applyFont="1" applyBorder="1" applyAlignment="1">
      <alignment horizontal="center" vertical="center" wrapText="1"/>
    </xf>
    <xf numFmtId="0" fontId="22" fillId="0" borderId="1" xfId="15" applyFont="1" applyBorder="1" applyAlignment="1">
      <alignment vertical="center"/>
    </xf>
    <xf numFmtId="0" fontId="10" fillId="0" borderId="1" xfId="15" applyFont="1" applyBorder="1" applyAlignment="1">
      <alignment horizontal="center" vertical="center" wrapText="1"/>
    </xf>
    <xf numFmtId="0" fontId="22" fillId="0" borderId="1" xfId="15" applyFont="1" applyBorder="1" applyAlignment="1">
      <alignment vertical="center" wrapText="1"/>
    </xf>
    <xf numFmtId="168" fontId="21" fillId="0" borderId="1" xfId="16" applyNumberFormat="1" applyFont="1" applyBorder="1" applyAlignment="1">
      <alignment horizontal="center"/>
    </xf>
    <xf numFmtId="0" fontId="10" fillId="0" borderId="1" xfId="15" applyFont="1" applyBorder="1" applyAlignment="1">
      <alignment vertical="center" wrapText="1"/>
    </xf>
    <xf numFmtId="170" fontId="24" fillId="2" borderId="1" xfId="20" applyFont="1" applyFill="1" applyBorder="1"/>
    <xf numFmtId="170" fontId="10" fillId="0" borderId="1" xfId="20" applyFont="1" applyBorder="1" applyAlignment="1">
      <alignment horizontal="center"/>
    </xf>
    <xf numFmtId="168" fontId="24" fillId="2" borderId="1" xfId="15" applyNumberFormat="1" applyFont="1" applyFill="1" applyBorder="1" applyAlignment="1">
      <alignment horizontal="center" vertical="center" wrapText="1"/>
    </xf>
    <xf numFmtId="170" fontId="10" fillId="0" borderId="1" xfId="20" applyFont="1" applyBorder="1" applyAlignment="1">
      <alignment vertical="center"/>
    </xf>
    <xf numFmtId="168" fontId="10" fillId="3" borderId="1" xfId="15" applyNumberFormat="1" applyFont="1" applyFill="1" applyBorder="1" applyAlignment="1">
      <alignment horizontal="center" vertical="center" wrapText="1"/>
    </xf>
    <xf numFmtId="0" fontId="20" fillId="0" borderId="0" xfId="15" applyFont="1"/>
    <xf numFmtId="0" fontId="10" fillId="0" borderId="0" xfId="15" applyFont="1" applyAlignment="1">
      <alignment vertical="center"/>
    </xf>
    <xf numFmtId="43" fontId="8" fillId="0" borderId="0" xfId="6" applyNumberFormat="1" applyFont="1" applyAlignment="1">
      <alignment horizontal="center" vertical="center"/>
    </xf>
    <xf numFmtId="0" fontId="10" fillId="0" borderId="1" xfId="15" applyFont="1" applyBorder="1" applyAlignment="1">
      <alignment horizontal="center"/>
    </xf>
    <xf numFmtId="168" fontId="10" fillId="7" borderId="1" xfId="15" applyNumberFormat="1" applyFont="1" applyFill="1" applyBorder="1" applyAlignment="1">
      <alignment horizontal="center" vertical="center" wrapText="1"/>
    </xf>
    <xf numFmtId="0" fontId="24" fillId="0" borderId="0" xfId="15" applyFont="1" applyAlignment="1">
      <alignment vertical="center"/>
    </xf>
    <xf numFmtId="0" fontId="24" fillId="4" borderId="1" xfId="15" applyFont="1" applyFill="1" applyBorder="1" applyAlignment="1">
      <alignment horizontal="center" vertical="center"/>
    </xf>
    <xf numFmtId="170" fontId="24" fillId="2" borderId="1" xfId="20" applyFont="1" applyFill="1" applyBorder="1" applyAlignment="1">
      <alignment horizontal="center"/>
    </xf>
    <xf numFmtId="170" fontId="10" fillId="2" borderId="1" xfId="20" applyFont="1" applyFill="1" applyBorder="1"/>
    <xf numFmtId="0" fontId="10" fillId="2" borderId="1" xfId="15" applyFont="1" applyFill="1" applyBorder="1" applyAlignment="1">
      <alignment horizontal="center" vertical="center" wrapText="1"/>
    </xf>
    <xf numFmtId="0" fontId="22" fillId="0" borderId="0" xfId="15" applyFont="1"/>
    <xf numFmtId="0" fontId="8" fillId="3" borderId="0" xfId="6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vertical="center" wrapText="1"/>
    </xf>
    <xf numFmtId="0" fontId="25" fillId="0" borderId="1" xfId="15" applyFont="1" applyBorder="1" applyAlignment="1">
      <alignment horizontal="center" vertical="center" wrapText="1"/>
    </xf>
    <xf numFmtId="169" fontId="11" fillId="0" borderId="1" xfId="18" applyFont="1" applyBorder="1" applyAlignment="1">
      <alignment vertical="center"/>
    </xf>
    <xf numFmtId="170" fontId="10" fillId="0" borderId="1" xfId="20" applyFont="1" applyFill="1" applyBorder="1"/>
    <xf numFmtId="170" fontId="18" fillId="0" borderId="1" xfId="20" applyFill="1" applyBorder="1"/>
    <xf numFmtId="170" fontId="24" fillId="0" borderId="1" xfId="20" applyFont="1" applyFill="1" applyBorder="1"/>
    <xf numFmtId="170" fontId="9" fillId="0" borderId="1" xfId="20" applyFont="1" applyFill="1" applyBorder="1"/>
    <xf numFmtId="43" fontId="22" fillId="0" borderId="0" xfId="2" applyFont="1" applyAlignment="1">
      <alignment horizontal="right" vertical="center"/>
    </xf>
    <xf numFmtId="0" fontId="27" fillId="0" borderId="0" xfId="30"/>
    <xf numFmtId="10" fontId="26" fillId="0" borderId="1" xfId="16" applyNumberFormat="1" applyFont="1" applyFill="1" applyBorder="1"/>
    <xf numFmtId="0" fontId="22" fillId="0" borderId="0" xfId="15" applyFont="1" applyAlignment="1">
      <alignment horizontal="center"/>
    </xf>
    <xf numFmtId="43" fontId="10" fillId="0" borderId="0" xfId="15" applyNumberFormat="1" applyFont="1"/>
    <xf numFmtId="10" fontId="10" fillId="0" borderId="0" xfId="1" applyNumberFormat="1" applyFont="1"/>
    <xf numFmtId="43" fontId="9" fillId="0" borderId="0" xfId="2" applyFont="1" applyAlignment="1">
      <alignment horizontal="right" vertical="center"/>
    </xf>
    <xf numFmtId="10" fontId="9" fillId="0" borderId="0" xfId="1" applyNumberFormat="1" applyFont="1" applyAlignment="1">
      <alignment horizontal="right" vertical="center"/>
    </xf>
    <xf numFmtId="17" fontId="9" fillId="0" borderId="0" xfId="6" applyNumberFormat="1" applyFont="1" applyAlignment="1">
      <alignment vertical="center"/>
    </xf>
    <xf numFmtId="43" fontId="10" fillId="0" borderId="0" xfId="2" applyFont="1" applyAlignment="1">
      <alignment horizontal="right"/>
    </xf>
    <xf numFmtId="43" fontId="8" fillId="3" borderId="1" xfId="2" applyFont="1" applyFill="1" applyBorder="1" applyAlignment="1">
      <alignment horizontal="right" vertical="center"/>
    </xf>
    <xf numFmtId="167" fontId="9" fillId="0" borderId="0" xfId="2" applyNumberFormat="1" applyFont="1" applyAlignment="1">
      <alignment horizontal="right" vertical="center"/>
    </xf>
    <xf numFmtId="167" fontId="10" fillId="0" borderId="0" xfId="2" applyNumberFormat="1" applyFont="1" applyAlignment="1">
      <alignment horizontal="right"/>
    </xf>
    <xf numFmtId="10" fontId="24" fillId="0" borderId="0" xfId="1" applyNumberFormat="1" applyFont="1"/>
    <xf numFmtId="10" fontId="24" fillId="0" borderId="0" xfId="15" applyNumberFormat="1" applyFont="1"/>
    <xf numFmtId="0" fontId="8" fillId="0" borderId="6" xfId="6" applyFont="1" applyBorder="1" applyAlignment="1">
      <alignment vertical="center"/>
    </xf>
    <xf numFmtId="0" fontId="9" fillId="0" borderId="7" xfId="6" applyFont="1" applyBorder="1" applyAlignment="1">
      <alignment vertical="center"/>
    </xf>
    <xf numFmtId="0" fontId="9" fillId="0" borderId="8" xfId="6" applyFont="1" applyBorder="1" applyAlignment="1">
      <alignment vertical="center"/>
    </xf>
    <xf numFmtId="169" fontId="9" fillId="0" borderId="0" xfId="18" applyFont="1" applyAlignment="1">
      <alignment vertical="center"/>
    </xf>
    <xf numFmtId="0" fontId="9" fillId="0" borderId="9" xfId="6" applyFont="1" applyBorder="1" applyAlignment="1">
      <alignment horizontal="right" vertical="center"/>
    </xf>
    <xf numFmtId="43" fontId="9" fillId="0" borderId="8" xfId="6" applyNumberFormat="1" applyFont="1" applyBorder="1" applyAlignment="1">
      <alignment vertical="center"/>
    </xf>
    <xf numFmtId="169" fontId="9" fillId="0" borderId="9" xfId="18" applyFont="1" applyBorder="1" applyAlignment="1">
      <alignment vertical="center"/>
    </xf>
    <xf numFmtId="169" fontId="9" fillId="0" borderId="9" xfId="18" applyFont="1" applyFill="1" applyBorder="1" applyAlignment="1">
      <alignment vertical="center"/>
    </xf>
    <xf numFmtId="9" fontId="9" fillId="0" borderId="0" xfId="6" applyNumberFormat="1" applyFont="1" applyAlignment="1">
      <alignment vertical="center"/>
    </xf>
    <xf numFmtId="9" fontId="9" fillId="0" borderId="8" xfId="6" applyNumberFormat="1" applyFont="1" applyBorder="1" applyAlignment="1">
      <alignment vertical="center"/>
    </xf>
    <xf numFmtId="172" fontId="9" fillId="0" borderId="8" xfId="6" applyNumberFormat="1" applyFont="1" applyBorder="1" applyAlignment="1">
      <alignment vertical="center"/>
    </xf>
    <xf numFmtId="10" fontId="9" fillId="0" borderId="0" xfId="6" applyNumberFormat="1" applyFont="1" applyAlignment="1">
      <alignment vertical="center"/>
    </xf>
    <xf numFmtId="165" fontId="9" fillId="0" borderId="10" xfId="14" applyFont="1" applyBorder="1" applyAlignment="1">
      <alignment vertical="center"/>
    </xf>
    <xf numFmtId="0" fontId="12" fillId="0" borderId="0" xfId="6" applyFont="1" applyAlignment="1">
      <alignment vertical="center"/>
    </xf>
    <xf numFmtId="165" fontId="8" fillId="0" borderId="8" xfId="14" applyFont="1" applyBorder="1" applyAlignment="1">
      <alignment vertical="center"/>
    </xf>
    <xf numFmtId="165" fontId="9" fillId="0" borderId="0" xfId="14" applyFont="1" applyBorder="1" applyAlignment="1">
      <alignment vertical="center"/>
    </xf>
    <xf numFmtId="165" fontId="9" fillId="0" borderId="9" xfId="14" applyFont="1" applyBorder="1" applyAlignment="1">
      <alignment vertical="center"/>
    </xf>
    <xf numFmtId="2" fontId="11" fillId="0" borderId="1" xfId="6" applyNumberFormat="1" applyFont="1" applyBorder="1" applyAlignment="1">
      <alignment vertical="center"/>
    </xf>
    <xf numFmtId="43" fontId="9" fillId="0" borderId="0" xfId="6" applyNumberFormat="1" applyFont="1" applyAlignment="1">
      <alignment vertical="center"/>
    </xf>
    <xf numFmtId="9" fontId="9" fillId="0" borderId="8" xfId="16" applyFont="1" applyFill="1" applyBorder="1" applyAlignment="1">
      <alignment vertical="center"/>
    </xf>
    <xf numFmtId="9" fontId="9" fillId="0" borderId="8" xfId="16" applyFont="1" applyBorder="1" applyAlignment="1">
      <alignment vertical="center"/>
    </xf>
    <xf numFmtId="169" fontId="9" fillId="0" borderId="10" xfId="18" applyFont="1" applyBorder="1" applyAlignment="1">
      <alignment vertical="center"/>
    </xf>
    <xf numFmtId="4" fontId="22" fillId="0" borderId="0" xfId="15" applyNumberFormat="1" applyFont="1"/>
    <xf numFmtId="10" fontId="22" fillId="0" borderId="0" xfId="1" applyNumberFormat="1" applyFont="1" applyAlignment="1">
      <alignment horizontal="right" vertical="center"/>
    </xf>
    <xf numFmtId="0" fontId="16" fillId="0" borderId="0" xfId="6" quotePrefix="1" applyFont="1" applyAlignment="1">
      <alignment vertical="center" wrapText="1"/>
    </xf>
    <xf numFmtId="168" fontId="13" fillId="0" borderId="2" xfId="1" applyNumberFormat="1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0" fontId="24" fillId="4" borderId="1" xfId="15" applyFont="1" applyFill="1" applyBorder="1" applyAlignment="1">
      <alignment vertical="center"/>
    </xf>
    <xf numFmtId="10" fontId="17" fillId="0" borderId="1" xfId="6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0" fontId="18" fillId="3" borderId="1" xfId="20" applyFill="1" applyBorder="1"/>
    <xf numFmtId="170" fontId="22" fillId="0" borderId="0" xfId="15" applyNumberFormat="1" applyFont="1"/>
    <xf numFmtId="164" fontId="22" fillId="0" borderId="0" xfId="15" applyNumberFormat="1" applyFont="1"/>
    <xf numFmtId="0" fontId="10" fillId="3" borderId="1" xfId="15" applyFont="1" applyFill="1" applyBorder="1" applyAlignment="1">
      <alignment horizontal="center" vertical="center" wrapText="1"/>
    </xf>
    <xf numFmtId="170" fontId="10" fillId="3" borderId="1" xfId="20" applyFont="1" applyFill="1" applyBorder="1"/>
    <xf numFmtId="168" fontId="24" fillId="0" borderId="1" xfId="15" applyNumberFormat="1" applyFont="1" applyBorder="1" applyAlignment="1">
      <alignment horizontal="center" vertical="center" wrapText="1"/>
    </xf>
    <xf numFmtId="0" fontId="28" fillId="0" borderId="0" xfId="6" quotePrefix="1" applyFont="1" applyAlignment="1">
      <alignment vertical="center"/>
    </xf>
    <xf numFmtId="9" fontId="10" fillId="0" borderId="0" xfId="15" applyNumberFormat="1" applyFont="1" applyAlignment="1">
      <alignment horizontal="center"/>
    </xf>
    <xf numFmtId="0" fontId="29" fillId="0" borderId="0" xfId="15" applyFont="1"/>
    <xf numFmtId="168" fontId="10" fillId="0" borderId="1" xfId="1" applyNumberFormat="1" applyFont="1" applyFill="1" applyBorder="1"/>
    <xf numFmtId="170" fontId="10" fillId="0" borderId="1" xfId="20" applyFont="1" applyFill="1" applyBorder="1" applyAlignment="1">
      <alignment vertical="center"/>
    </xf>
    <xf numFmtId="170" fontId="24" fillId="0" borderId="1" xfId="20" applyFont="1" applyFill="1" applyBorder="1" applyAlignment="1">
      <alignment vertical="center"/>
    </xf>
    <xf numFmtId="0" fontId="10" fillId="2" borderId="0" xfId="15" applyFont="1" applyFill="1"/>
    <xf numFmtId="168" fontId="4" fillId="0" borderId="1" xfId="1" applyNumberFormat="1" applyFont="1" applyBorder="1" applyAlignment="1">
      <alignment horizontal="right" vertical="center"/>
    </xf>
    <xf numFmtId="14" fontId="3" fillId="6" borderId="1" xfId="26" applyNumberFormat="1" applyFont="1" applyFill="1" applyBorder="1" applyAlignment="1">
      <alignment horizontal="center" vertical="center" wrapText="1"/>
    </xf>
    <xf numFmtId="0" fontId="31" fillId="6" borderId="1" xfId="26" applyNumberFormat="1" applyFont="1" applyFill="1" applyBorder="1" applyAlignment="1">
      <alignment horizontal="center" vertical="center" wrapText="1"/>
    </xf>
    <xf numFmtId="0" fontId="32" fillId="5" borderId="1" xfId="15" applyFont="1" applyFill="1" applyBorder="1" applyAlignment="1">
      <alignment horizontal="center" vertical="center" wrapText="1"/>
    </xf>
    <xf numFmtId="0" fontId="3" fillId="0" borderId="0" xfId="15" applyFont="1"/>
    <xf numFmtId="0" fontId="3" fillId="0" borderId="1" xfId="15" applyFont="1" applyBorder="1" applyAlignment="1">
      <alignment horizontal="center" vertical="center"/>
    </xf>
    <xf numFmtId="0" fontId="3" fillId="6" borderId="1" xfId="26" applyNumberFormat="1" applyFont="1" applyFill="1" applyBorder="1" applyAlignment="1">
      <alignment horizontal="center" vertical="center" wrapText="1"/>
    </xf>
    <xf numFmtId="3" fontId="3" fillId="6" borderId="1" xfId="2" applyNumberFormat="1" applyFont="1" applyFill="1" applyBorder="1" applyAlignment="1">
      <alignment horizontal="center" vertical="center" wrapText="1"/>
    </xf>
    <xf numFmtId="0" fontId="3" fillId="0" borderId="0" xfId="15" applyFont="1" applyAlignment="1">
      <alignment horizontal="center" vertical="center"/>
    </xf>
    <xf numFmtId="0" fontId="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/>
    </xf>
    <xf numFmtId="0" fontId="34" fillId="0" borderId="1" xfId="15" applyFont="1" applyBorder="1" applyAlignment="1">
      <alignment horizontal="left" vertical="center" wrapText="1"/>
    </xf>
    <xf numFmtId="167" fontId="3" fillId="0" borderId="1" xfId="2" applyNumberFormat="1" applyFont="1" applyBorder="1" applyAlignment="1">
      <alignment horizontal="right" vertical="center"/>
    </xf>
    <xf numFmtId="170" fontId="35" fillId="0" borderId="1" xfId="20" applyFont="1" applyBorder="1" applyAlignment="1">
      <alignment vertical="center"/>
    </xf>
    <xf numFmtId="0" fontId="3" fillId="0" borderId="0" xfId="15" applyFont="1" applyAlignment="1">
      <alignment vertical="center"/>
    </xf>
    <xf numFmtId="167" fontId="15" fillId="2" borderId="1" xfId="2" applyNumberFormat="1" applyFont="1" applyFill="1" applyBorder="1" applyAlignment="1">
      <alignment horizontal="right" vertical="center"/>
    </xf>
    <xf numFmtId="170" fontId="3" fillId="2" borderId="1" xfId="15" applyNumberFormat="1" applyFont="1" applyFill="1" applyBorder="1" applyAlignment="1">
      <alignment vertical="center"/>
    </xf>
    <xf numFmtId="170" fontId="15" fillId="2" borderId="1" xfId="15" applyNumberFormat="1" applyFont="1" applyFill="1" applyBorder="1" applyAlignment="1">
      <alignment vertical="center"/>
    </xf>
    <xf numFmtId="170" fontId="15" fillId="8" borderId="1" xfId="15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43" fontId="36" fillId="0" borderId="0" xfId="2" applyFont="1"/>
    <xf numFmtId="43" fontId="4" fillId="0" borderId="0" xfId="2" applyFont="1" applyAlignment="1">
      <alignment horizontal="right" vertical="center"/>
    </xf>
    <xf numFmtId="10" fontId="4" fillId="0" borderId="0" xfId="1" applyNumberFormat="1" applyFont="1" applyAlignment="1">
      <alignment horizontal="right" vertical="center"/>
    </xf>
    <xf numFmtId="0" fontId="3" fillId="0" borderId="1" xfId="15" applyFont="1" applyBorder="1" applyAlignment="1">
      <alignment horizontal="center" vertical="center"/>
    </xf>
    <xf numFmtId="0" fontId="24" fillId="4" borderId="1" xfId="15" applyFont="1" applyFill="1" applyBorder="1" applyAlignment="1">
      <alignment horizontal="center" vertical="center"/>
    </xf>
    <xf numFmtId="0" fontId="10" fillId="0" borderId="1" xfId="15" applyFont="1" applyFill="1" applyBorder="1" applyAlignment="1">
      <alignment vertical="center" wrapText="1"/>
    </xf>
    <xf numFmtId="14" fontId="2" fillId="6" borderId="1" xfId="26" applyNumberFormat="1" applyFont="1" applyFill="1" applyBorder="1" applyAlignment="1">
      <alignment horizontal="center" vertical="center" wrapText="1"/>
    </xf>
    <xf numFmtId="0" fontId="1" fillId="6" borderId="1" xfId="26" quotePrefix="1" applyNumberFormat="1" applyFont="1" applyFill="1" applyBorder="1" applyAlignment="1">
      <alignment horizontal="center" vertical="center" wrapText="1"/>
    </xf>
    <xf numFmtId="170" fontId="35" fillId="0" borderId="1" xfId="20" applyNumberFormat="1" applyFont="1" applyBorder="1" applyAlignment="1">
      <alignment vertical="center"/>
    </xf>
    <xf numFmtId="0" fontId="25" fillId="0" borderId="1" xfId="15" applyFont="1" applyFill="1" applyBorder="1" applyAlignment="1">
      <alignment vertical="center" wrapText="1"/>
    </xf>
    <xf numFmtId="168" fontId="9" fillId="3" borderId="1" xfId="15" applyNumberFormat="1" applyFont="1" applyFill="1" applyBorder="1" applyAlignment="1">
      <alignment horizontal="center" vertical="center" wrapText="1"/>
    </xf>
    <xf numFmtId="43" fontId="9" fillId="0" borderId="1" xfId="2" applyFont="1" applyFill="1" applyBorder="1" applyAlignment="1">
      <alignment horizontal="right" vertical="center"/>
    </xf>
    <xf numFmtId="0" fontId="17" fillId="0" borderId="1" xfId="27" applyFont="1" applyBorder="1" applyAlignment="1">
      <alignment horizontal="center" vertical="center"/>
    </xf>
    <xf numFmtId="0" fontId="15" fillId="5" borderId="1" xfId="15" applyFont="1" applyFill="1" applyBorder="1" applyAlignment="1">
      <alignment horizontal="center" vertical="center" wrapText="1"/>
    </xf>
    <xf numFmtId="0" fontId="15" fillId="5" borderId="1" xfId="15" applyFont="1" applyFill="1" applyBorder="1" applyAlignment="1">
      <alignment horizontal="center" vertical="center"/>
    </xf>
    <xf numFmtId="0" fontId="15" fillId="5" borderId="2" xfId="15" quotePrefix="1" applyFont="1" applyFill="1" applyBorder="1" applyAlignment="1">
      <alignment horizontal="center" vertical="center" wrapText="1"/>
    </xf>
    <xf numFmtId="0" fontId="15" fillId="5" borderId="4" xfId="15" applyFont="1" applyFill="1" applyBorder="1" applyAlignment="1">
      <alignment horizontal="center" vertical="center"/>
    </xf>
    <xf numFmtId="0" fontId="3" fillId="0" borderId="2" xfId="15" applyFont="1" applyBorder="1" applyAlignment="1">
      <alignment horizontal="left" vertical="center" wrapText="1"/>
    </xf>
    <xf numFmtId="0" fontId="3" fillId="0" borderId="4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/>
    </xf>
    <xf numFmtId="0" fontId="3" fillId="0" borderId="4" xfId="15" applyFont="1" applyBorder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15" fillId="2" borderId="2" xfId="15" applyFont="1" applyFill="1" applyBorder="1" applyAlignment="1">
      <alignment horizontal="center" vertical="center"/>
    </xf>
    <xf numFmtId="0" fontId="15" fillId="2" borderId="3" xfId="15" applyFont="1" applyFill="1" applyBorder="1" applyAlignment="1">
      <alignment horizontal="center" vertical="center"/>
    </xf>
    <xf numFmtId="0" fontId="24" fillId="4" borderId="2" xfId="15" applyFont="1" applyFill="1" applyBorder="1" applyAlignment="1">
      <alignment horizontal="center" vertical="center"/>
    </xf>
    <xf numFmtId="0" fontId="24" fillId="4" borderId="4" xfId="15" applyFont="1" applyFill="1" applyBorder="1" applyAlignment="1">
      <alignment horizontal="center" vertical="center"/>
    </xf>
    <xf numFmtId="0" fontId="24" fillId="4" borderId="3" xfId="15" applyFont="1" applyFill="1" applyBorder="1" applyAlignment="1">
      <alignment horizontal="center" vertical="center"/>
    </xf>
    <xf numFmtId="0" fontId="10" fillId="2" borderId="1" xfId="15" applyFont="1" applyFill="1" applyBorder="1" applyAlignment="1">
      <alignment horizontal="left" vertical="center" wrapText="1"/>
    </xf>
    <xf numFmtId="0" fontId="10" fillId="0" borderId="1" xfId="15" applyFont="1" applyFill="1" applyBorder="1" applyAlignment="1">
      <alignment horizontal="left" vertical="center" wrapText="1"/>
    </xf>
    <xf numFmtId="0" fontId="10" fillId="0" borderId="1" xfId="15" applyFont="1" applyBorder="1" applyAlignment="1">
      <alignment horizontal="left" vertical="center" wrapText="1"/>
    </xf>
    <xf numFmtId="0" fontId="13" fillId="2" borderId="1" xfId="6" quotePrefix="1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4" fillId="4" borderId="1" xfId="15" applyFont="1" applyFill="1" applyBorder="1" applyAlignment="1">
      <alignment horizontal="center" vertical="center"/>
    </xf>
    <xf numFmtId="0" fontId="24" fillId="2" borderId="1" xfId="15" applyFont="1" applyFill="1" applyBorder="1" applyAlignment="1">
      <alignment horizontal="center" vertical="center" wrapText="1"/>
    </xf>
    <xf numFmtId="0" fontId="24" fillId="4" borderId="8" xfId="15" applyFont="1" applyFill="1" applyBorder="1" applyAlignment="1">
      <alignment horizontal="center" vertical="center"/>
    </xf>
    <xf numFmtId="0" fontId="24" fillId="4" borderId="0" xfId="15" applyFont="1" applyFill="1" applyAlignment="1">
      <alignment horizontal="center" vertical="center"/>
    </xf>
    <xf numFmtId="0" fontId="24" fillId="4" borderId="10" xfId="15" applyFont="1" applyFill="1" applyBorder="1" applyAlignment="1">
      <alignment horizontal="center" vertical="center"/>
    </xf>
    <xf numFmtId="0" fontId="24" fillId="4" borderId="11" xfId="15" applyFont="1" applyFill="1" applyBorder="1" applyAlignment="1">
      <alignment horizontal="center" vertical="center"/>
    </xf>
    <xf numFmtId="0" fontId="10" fillId="0" borderId="2" xfId="15" applyFont="1" applyBorder="1" applyAlignment="1">
      <alignment horizontal="left" vertical="center" wrapText="1"/>
    </xf>
    <xf numFmtId="0" fontId="10" fillId="0" borderId="3" xfId="15" applyFont="1" applyBorder="1" applyAlignment="1">
      <alignment horizontal="left" vertical="center" wrapText="1"/>
    </xf>
    <xf numFmtId="0" fontId="24" fillId="2" borderId="2" xfId="15" applyFont="1" applyFill="1" applyBorder="1" applyAlignment="1">
      <alignment horizontal="center" vertical="center" wrapText="1"/>
    </xf>
    <xf numFmtId="0" fontId="24" fillId="2" borderId="4" xfId="15" applyFont="1" applyFill="1" applyBorder="1" applyAlignment="1">
      <alignment horizontal="center" vertical="center" wrapText="1"/>
    </xf>
    <xf numFmtId="0" fontId="24" fillId="2" borderId="3" xfId="15" applyFont="1" applyFill="1" applyBorder="1" applyAlignment="1">
      <alignment horizontal="center" vertical="center" wrapText="1"/>
    </xf>
    <xf numFmtId="0" fontId="24" fillId="0" borderId="1" xfId="15" applyFont="1" applyBorder="1" applyAlignment="1">
      <alignment horizontal="center" vertical="center" wrapText="1"/>
    </xf>
    <xf numFmtId="165" fontId="4" fillId="3" borderId="0" xfId="14" applyFont="1" applyFill="1" applyBorder="1" applyAlignment="1">
      <alignment horizontal="center" vertical="center"/>
    </xf>
    <xf numFmtId="0" fontId="10" fillId="3" borderId="1" xfId="15" applyFont="1" applyFill="1" applyBorder="1" applyAlignment="1">
      <alignment horizontal="left" vertical="center" wrapText="1"/>
    </xf>
    <xf numFmtId="0" fontId="10" fillId="0" borderId="5" xfId="15" applyFont="1" applyBorder="1" applyAlignment="1">
      <alignment horizontal="center" vertical="center" wrapText="1"/>
    </xf>
    <xf numFmtId="0" fontId="10" fillId="0" borderId="12" xfId="15" applyFont="1" applyBorder="1" applyAlignment="1">
      <alignment horizontal="center" vertical="center" wrapText="1"/>
    </xf>
    <xf numFmtId="0" fontId="24" fillId="2" borderId="6" xfId="15" applyFont="1" applyFill="1" applyBorder="1" applyAlignment="1">
      <alignment horizontal="center" vertical="center" wrapText="1"/>
    </xf>
    <xf numFmtId="0" fontId="24" fillId="2" borderId="13" xfId="15" applyFont="1" applyFill="1" applyBorder="1" applyAlignment="1">
      <alignment horizontal="center" vertical="center" wrapText="1"/>
    </xf>
    <xf numFmtId="0" fontId="24" fillId="2" borderId="10" xfId="15" applyFont="1" applyFill="1" applyBorder="1" applyAlignment="1">
      <alignment horizontal="center" vertical="center" wrapText="1"/>
    </xf>
    <xf numFmtId="0" fontId="24" fillId="2" borderId="14" xfId="15" applyFont="1" applyFill="1" applyBorder="1" applyAlignment="1">
      <alignment horizontal="center" vertical="center" wrapText="1"/>
    </xf>
    <xf numFmtId="0" fontId="10" fillId="0" borderId="6" xfId="15" applyFont="1" applyBorder="1" applyAlignment="1">
      <alignment horizontal="right" vertical="center" wrapText="1"/>
    </xf>
    <xf numFmtId="0" fontId="10" fillId="0" borderId="13" xfId="15" applyFont="1" applyBorder="1" applyAlignment="1">
      <alignment horizontal="right" vertical="center" wrapText="1"/>
    </xf>
    <xf numFmtId="0" fontId="10" fillId="0" borderId="10" xfId="15" applyFont="1" applyBorder="1" applyAlignment="1">
      <alignment horizontal="right" vertical="center" wrapText="1"/>
    </xf>
    <xf numFmtId="0" fontId="10" fillId="0" borderId="14" xfId="15" applyFont="1" applyBorder="1" applyAlignment="1">
      <alignment horizontal="right" vertical="center" wrapText="1"/>
    </xf>
    <xf numFmtId="43" fontId="22" fillId="0" borderId="0" xfId="2" applyFont="1"/>
  </cellXfs>
  <cellStyles count="31">
    <cellStyle name="Comma" xfId="2" builtinId="3"/>
    <cellStyle name="Hyperlink" xfId="30" builtinId="8"/>
    <cellStyle name="Moeda 2" xfId="4" xr:uid="{00000000-0005-0000-0000-000001000000}"/>
    <cellStyle name="Moeda 2 2" xfId="26" xr:uid="{D3F14FDE-BBC1-44DE-830A-19E6CBB82D27}"/>
    <cellStyle name="Moeda 3" xfId="11" xr:uid="{4D8C4880-F377-44C1-802B-7ED1396D9DB4}"/>
    <cellStyle name="Moeda 3 2" xfId="29" xr:uid="{4734631C-E83E-483E-98DD-0D5DF9A96272}"/>
    <cellStyle name="Moeda 4" xfId="14" xr:uid="{AE076E6D-6D50-45E8-9539-34B4498DA8D2}"/>
    <cellStyle name="Normal" xfId="0" builtinId="0"/>
    <cellStyle name="Normal 2" xfId="3" xr:uid="{00000000-0005-0000-0000-000003000000}"/>
    <cellStyle name="Normal 2 2" xfId="9" xr:uid="{5D3D2003-611D-4AF6-8E3A-1B37264FEA67}"/>
    <cellStyle name="Normal 2 3" xfId="15" xr:uid="{40F829AF-9AAD-4480-8B54-A77D0A52CF9A}"/>
    <cellStyle name="Normal 3" xfId="6" xr:uid="{EEDE19CF-28D3-43DD-895F-9927D608670F}"/>
    <cellStyle name="Normal 4" xfId="7" xr:uid="{8C01C8BF-AEA9-4E96-8434-7DD2312620DC}"/>
    <cellStyle name="Normal 4 2" xfId="27" xr:uid="{519EC378-48B5-4958-A711-42B0C2ACFD29}"/>
    <cellStyle name="Normal 5" xfId="28" xr:uid="{61B9D19A-9541-499E-97CC-7EF43ACDEC7B}"/>
    <cellStyle name="Normal 6" xfId="13" xr:uid="{BE33FBCF-F06C-472E-88DD-28369F4F2F13}"/>
    <cellStyle name="Percent" xfId="1" builtinId="5"/>
    <cellStyle name="Porcentagem 2" xfId="8" xr:uid="{EBC7EC0A-BB7E-4B00-A86A-64B64EF7DAD0}"/>
    <cellStyle name="Porcentagem 3" xfId="16" xr:uid="{252DB17D-BEC9-4E43-89AC-858279F2FB99}"/>
    <cellStyle name="Separador de milhares 2" xfId="5" xr:uid="{00000000-0005-0000-0000-000005000000}"/>
    <cellStyle name="Vírgula 2" xfId="10" xr:uid="{A5628688-0AF9-4B4E-AC72-EA76B3CBFF56}"/>
    <cellStyle name="Vírgula 2 2" xfId="18" xr:uid="{72651765-6402-4EF0-8505-EEE059DE896B}"/>
    <cellStyle name="Vírgula 3" xfId="12" xr:uid="{1F13A161-F9AE-449B-A4DE-85CC1A362A80}"/>
    <cellStyle name="Vírgula 3 2" xfId="20" xr:uid="{70F17B56-035B-46A0-AF7A-E19BA0FD18F7}"/>
    <cellStyle name="Vírgula 3 3" xfId="19" xr:uid="{C847FD99-524E-4ACC-BCDD-59BB2816019C}"/>
    <cellStyle name="Vírgula 4" xfId="21" xr:uid="{9433DCDF-6075-4708-8A00-C013ADCA165F}"/>
    <cellStyle name="Vírgula 4 2" xfId="22" xr:uid="{43134B6B-E5CB-4F25-8668-2DC26C664493}"/>
    <cellStyle name="Vírgula 5" xfId="23" xr:uid="{A2B10B69-14A3-4883-97AF-794D01ABD533}"/>
    <cellStyle name="Vírgula 5 2" xfId="24" xr:uid="{072681CB-B269-4E4B-B05E-D36EEE1D4136}"/>
    <cellStyle name="Vírgula 6" xfId="25" xr:uid="{C510D9B2-BBD6-4617-8F9C-0A618FADFEEB}"/>
    <cellStyle name="Vírgula 7" xfId="17" xr:uid="{B456B13B-7918-4170-AEA0-43893E4565C6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44769</xdr:colOff>
      <xdr:row>0</xdr:row>
      <xdr:rowOff>76414</xdr:rowOff>
    </xdr:from>
    <xdr:to>
      <xdr:col>1</xdr:col>
      <xdr:colOff>7833</xdr:colOff>
      <xdr:row>0</xdr:row>
      <xdr:rowOff>430853</xdr:rowOff>
    </xdr:to>
    <xdr:pic>
      <xdr:nvPicPr>
        <xdr:cNvPr id="2" name="Imagem 1" descr="Basis Tecnologia da InformaÃ§Ã£o S.A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9" y="76414"/>
          <a:ext cx="565044" cy="35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5411-F57B-4225-B104-E1EFB3DE6CF9}">
  <sheetPr codeName="Sheet1">
    <tabColor rgb="FFFFFF00"/>
  </sheetPr>
  <dimension ref="A1:J16"/>
  <sheetViews>
    <sheetView showGridLines="0" view="pageBreakPreview" zoomScale="120" zoomScaleNormal="120" zoomScaleSheetLayoutView="120" workbookViewId="0"/>
  </sheetViews>
  <sheetFormatPr baseColWidth="10" defaultColWidth="9" defaultRowHeight="15" x14ac:dyDescent="0.2"/>
  <cols>
    <col min="1" max="1" width="9" style="12"/>
    <col min="2" max="2" width="11.5" style="12" customWidth="1"/>
    <col min="3" max="3" width="34.83203125" style="12" customWidth="1"/>
    <col min="4" max="4" width="9.6640625" style="12" customWidth="1"/>
    <col min="5" max="5" width="10.1640625" style="12" customWidth="1"/>
    <col min="6" max="6" width="13.5" style="12" bestFit="1" customWidth="1"/>
    <col min="7" max="7" width="9" style="12" bestFit="1" customWidth="1"/>
    <col min="8" max="8" width="10" style="12" bestFit="1" customWidth="1"/>
    <col min="9" max="9" width="10.6640625" style="12" bestFit="1" customWidth="1"/>
    <col min="10" max="16384" width="9" style="12"/>
  </cols>
  <sheetData>
    <row r="1" spans="1:10" x14ac:dyDescent="0.2"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/>
    </row>
    <row r="2" spans="1:10" ht="32" x14ac:dyDescent="0.2">
      <c r="A2" s="14" t="s">
        <v>99</v>
      </c>
      <c r="B2" s="14" t="s">
        <v>78</v>
      </c>
      <c r="C2" s="14" t="s">
        <v>7</v>
      </c>
      <c r="D2" s="14" t="s">
        <v>100</v>
      </c>
      <c r="E2" s="15" t="s">
        <v>87</v>
      </c>
      <c r="F2" s="15" t="s">
        <v>8</v>
      </c>
      <c r="G2" s="15" t="s">
        <v>9</v>
      </c>
      <c r="H2" s="15" t="s">
        <v>10</v>
      </c>
      <c r="I2" s="16"/>
    </row>
    <row r="3" spans="1:10" ht="16" x14ac:dyDescent="0.2">
      <c r="A3" s="152">
        <v>1</v>
      </c>
      <c r="B3" s="21">
        <f>ROW()-2</f>
        <v>1</v>
      </c>
      <c r="C3" s="4" t="s">
        <v>129</v>
      </c>
      <c r="D3" s="106"/>
      <c r="E3" s="106">
        <v>6</v>
      </c>
      <c r="F3" s="151">
        <v>16000</v>
      </c>
      <c r="G3" s="120">
        <v>0.03</v>
      </c>
      <c r="H3" s="120">
        <v>0.10931878098156576</v>
      </c>
      <c r="I3" s="141"/>
      <c r="J3" s="142"/>
    </row>
    <row r="4" spans="1:10" ht="16" x14ac:dyDescent="0.2">
      <c r="A4" s="152"/>
      <c r="B4" s="21">
        <f t="shared" ref="B4:B9" si="0">ROW()-2</f>
        <v>2</v>
      </c>
      <c r="C4" s="4" t="s">
        <v>131</v>
      </c>
      <c r="D4" s="106"/>
      <c r="E4" s="106">
        <v>6</v>
      </c>
      <c r="F4" s="151">
        <v>12073.7</v>
      </c>
      <c r="G4" s="120">
        <f>G3</f>
        <v>0.03</v>
      </c>
      <c r="H4" s="120">
        <v>0.10940702565185578</v>
      </c>
      <c r="I4" s="141"/>
      <c r="J4" s="142"/>
    </row>
    <row r="5" spans="1:10" ht="16" x14ac:dyDescent="0.2">
      <c r="A5" s="152"/>
      <c r="B5" s="21">
        <f t="shared" si="0"/>
        <v>3</v>
      </c>
      <c r="C5" s="4" t="s">
        <v>130</v>
      </c>
      <c r="D5" s="106"/>
      <c r="E5" s="106">
        <v>9</v>
      </c>
      <c r="F5" s="151">
        <v>11000</v>
      </c>
      <c r="G5" s="120">
        <f t="shared" ref="G5:G9" si="1">G4</f>
        <v>0.03</v>
      </c>
      <c r="H5" s="120">
        <v>0.10944162998699009</v>
      </c>
      <c r="I5" s="141"/>
      <c r="J5" s="142"/>
    </row>
    <row r="6" spans="1:10" ht="16" x14ac:dyDescent="0.2">
      <c r="A6" s="152"/>
      <c r="B6" s="21">
        <f t="shared" si="0"/>
        <v>4</v>
      </c>
      <c r="C6" s="4" t="s">
        <v>125</v>
      </c>
      <c r="D6" s="106"/>
      <c r="E6" s="106">
        <v>9</v>
      </c>
      <c r="F6" s="151">
        <v>8000</v>
      </c>
      <c r="G6" s="120">
        <f t="shared" si="1"/>
        <v>0.03</v>
      </c>
      <c r="H6" s="120">
        <v>0.10960824814473712</v>
      </c>
      <c r="I6" s="141"/>
      <c r="J6" s="142"/>
    </row>
    <row r="7" spans="1:10" ht="16" x14ac:dyDescent="0.2">
      <c r="A7" s="152"/>
      <c r="B7" s="21">
        <f t="shared" si="0"/>
        <v>5</v>
      </c>
      <c r="C7" s="4" t="s">
        <v>126</v>
      </c>
      <c r="D7" s="106"/>
      <c r="E7" s="106">
        <v>3</v>
      </c>
      <c r="F7" s="151">
        <v>17498.8</v>
      </c>
      <c r="G7" s="120">
        <f t="shared" si="1"/>
        <v>0.03</v>
      </c>
      <c r="H7" s="120">
        <v>0.10929524139623746</v>
      </c>
      <c r="I7" s="141"/>
      <c r="J7" s="142"/>
    </row>
    <row r="8" spans="1:10" ht="16" x14ac:dyDescent="0.2">
      <c r="A8" s="152"/>
      <c r="B8" s="21">
        <f t="shared" si="0"/>
        <v>6</v>
      </c>
      <c r="C8" s="4" t="s">
        <v>127</v>
      </c>
      <c r="D8" s="106"/>
      <c r="E8" s="106">
        <v>6</v>
      </c>
      <c r="F8" s="151">
        <v>10000</v>
      </c>
      <c r="G8" s="120">
        <f t="shared" si="1"/>
        <v>0.03</v>
      </c>
      <c r="H8" s="120">
        <v>0.1094801885166085</v>
      </c>
      <c r="I8" s="141"/>
      <c r="J8" s="142"/>
    </row>
    <row r="9" spans="1:10" ht="16" x14ac:dyDescent="0.2">
      <c r="A9" s="152"/>
      <c r="B9" s="21">
        <f t="shared" si="0"/>
        <v>7</v>
      </c>
      <c r="C9" s="4" t="s">
        <v>128</v>
      </c>
      <c r="D9" s="106"/>
      <c r="E9" s="106">
        <v>3</v>
      </c>
      <c r="F9" s="151">
        <v>14845.15</v>
      </c>
      <c r="G9" s="120">
        <f t="shared" si="1"/>
        <v>0.03</v>
      </c>
      <c r="H9" s="120">
        <v>0.10934005921888849</v>
      </c>
      <c r="I9" s="141"/>
      <c r="J9" s="142"/>
    </row>
    <row r="10" spans="1:10" x14ac:dyDescent="0.2">
      <c r="B10" s="13"/>
      <c r="C10" s="13"/>
      <c r="D10" s="13"/>
      <c r="E10" s="13"/>
      <c r="F10" s="17"/>
    </row>
    <row r="11" spans="1:10" x14ac:dyDescent="0.2">
      <c r="B11" s="13"/>
      <c r="C11" s="13"/>
      <c r="D11" s="13"/>
      <c r="E11" s="13"/>
      <c r="F11" s="17"/>
    </row>
    <row r="12" spans="1:10" x14ac:dyDescent="0.2">
      <c r="C12" s="19" t="s">
        <v>12</v>
      </c>
      <c r="D12" s="19"/>
      <c r="E12" s="20">
        <v>0.03</v>
      </c>
    </row>
    <row r="13" spans="1:10" x14ac:dyDescent="0.2">
      <c r="C13" s="19" t="s">
        <v>13</v>
      </c>
      <c r="D13" s="19"/>
      <c r="E13" s="20">
        <v>6.4999999999999997E-3</v>
      </c>
    </row>
    <row r="14" spans="1:10" x14ac:dyDescent="0.2">
      <c r="C14" s="19" t="s">
        <v>14</v>
      </c>
      <c r="D14" s="19"/>
      <c r="E14" s="64">
        <v>0.02</v>
      </c>
      <c r="F14" s="63"/>
    </row>
    <row r="15" spans="1:10" x14ac:dyDescent="0.2">
      <c r="C15" s="19" t="s">
        <v>15</v>
      </c>
      <c r="D15" s="19"/>
      <c r="E15" s="20">
        <v>0</v>
      </c>
      <c r="F15" s="18"/>
    </row>
    <row r="16" spans="1:10" x14ac:dyDescent="0.2">
      <c r="C16" s="19" t="s">
        <v>16</v>
      </c>
      <c r="D16" s="19"/>
      <c r="E16" s="20">
        <v>4.4999999999999998E-2</v>
      </c>
    </row>
  </sheetData>
  <dataConsolidate/>
  <mergeCells count="1">
    <mergeCell ref="A3:A9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8D81-E513-4FF1-98ED-B71DA40A8F28}">
  <sheetPr codeName="Sheet2">
    <tabColor rgb="FF00B050"/>
  </sheetPr>
  <dimension ref="A2:K28"/>
  <sheetViews>
    <sheetView showGridLines="0" tabSelected="1" view="pageBreakPreview" zoomScale="120" zoomScaleNormal="120" zoomScaleSheetLayoutView="120" workbookViewId="0"/>
  </sheetViews>
  <sheetFormatPr baseColWidth="10" defaultColWidth="9.1640625" defaultRowHeight="14" x14ac:dyDescent="0.2"/>
  <cols>
    <col min="1" max="1" width="6.33203125" style="51" bestFit="1" customWidth="1"/>
    <col min="2" max="2" width="5.6640625" style="51" customWidth="1"/>
    <col min="3" max="3" width="49.33203125" style="51" bestFit="1" customWidth="1"/>
    <col min="4" max="4" width="10.1640625" style="51" customWidth="1"/>
    <col min="5" max="5" width="22" style="51" bestFit="1" customWidth="1"/>
    <col min="6" max="6" width="19.6640625" style="51" bestFit="1" customWidth="1"/>
    <col min="7" max="7" width="16.83203125" style="51" bestFit="1" customWidth="1"/>
    <col min="8" max="8" width="19.5" style="51" bestFit="1" customWidth="1"/>
    <col min="9" max="9" width="8.6640625" style="51" customWidth="1"/>
    <col min="10" max="10" width="11.83203125" style="51" bestFit="1" customWidth="1"/>
    <col min="11" max="11" width="9.33203125" style="51" bestFit="1" customWidth="1"/>
    <col min="12" max="16384" width="9.1640625" style="51"/>
  </cols>
  <sheetData>
    <row r="2" spans="1:11" ht="44.5" customHeight="1" x14ac:dyDescent="0.2">
      <c r="A2" s="124"/>
      <c r="B2" s="124"/>
      <c r="C2" s="153" t="s">
        <v>132</v>
      </c>
      <c r="D2" s="154"/>
      <c r="E2" s="154"/>
      <c r="F2" s="154"/>
      <c r="G2" s="154"/>
      <c r="H2" s="154"/>
    </row>
    <row r="3" spans="1:11" ht="16" x14ac:dyDescent="0.2">
      <c r="A3" s="124"/>
      <c r="B3" s="124"/>
      <c r="C3" s="124"/>
      <c r="D3" s="124"/>
      <c r="E3" s="124"/>
      <c r="F3" s="124"/>
      <c r="G3" s="124"/>
      <c r="H3" s="124"/>
    </row>
    <row r="4" spans="1:11" ht="16" x14ac:dyDescent="0.2">
      <c r="A4" s="124"/>
      <c r="B4" s="124"/>
      <c r="C4" s="155" t="s">
        <v>133</v>
      </c>
      <c r="D4" s="156"/>
      <c r="E4" s="156"/>
      <c r="F4" s="156"/>
      <c r="G4" s="156"/>
      <c r="H4" s="156"/>
    </row>
    <row r="5" spans="1:11" ht="15" customHeight="1" x14ac:dyDescent="0.2">
      <c r="A5" s="124"/>
      <c r="B5" s="124"/>
      <c r="C5" s="125" t="s">
        <v>18</v>
      </c>
      <c r="D5" s="157" t="s">
        <v>86</v>
      </c>
      <c r="E5" s="158"/>
      <c r="F5" s="158"/>
      <c r="G5" s="158"/>
      <c r="H5" s="146" t="s">
        <v>122</v>
      </c>
    </row>
    <row r="6" spans="1:11" ht="14" customHeight="1" x14ac:dyDescent="0.2">
      <c r="A6" s="124"/>
      <c r="B6" s="124"/>
      <c r="C6" s="125" t="s">
        <v>19</v>
      </c>
      <c r="D6" s="157" t="s">
        <v>72</v>
      </c>
      <c r="E6" s="158"/>
      <c r="F6" s="158"/>
      <c r="G6" s="158"/>
      <c r="H6" s="121">
        <v>45236</v>
      </c>
    </row>
    <row r="7" spans="1:11" ht="34" x14ac:dyDescent="0.2">
      <c r="A7" s="124"/>
      <c r="B7" s="124"/>
      <c r="C7" s="125" t="s">
        <v>20</v>
      </c>
      <c r="D7" s="159" t="s">
        <v>77</v>
      </c>
      <c r="E7" s="160"/>
      <c r="F7" s="160"/>
      <c r="G7" s="160"/>
      <c r="H7" s="147" t="s">
        <v>134</v>
      </c>
    </row>
    <row r="8" spans="1:11" ht="15" customHeight="1" x14ac:dyDescent="0.2">
      <c r="A8" s="124"/>
      <c r="B8" s="124"/>
      <c r="C8" s="125" t="s">
        <v>21</v>
      </c>
      <c r="D8" s="157" t="s">
        <v>73</v>
      </c>
      <c r="E8" s="158"/>
      <c r="F8" s="158"/>
      <c r="G8" s="158"/>
      <c r="H8" s="126" t="s">
        <v>89</v>
      </c>
    </row>
    <row r="9" spans="1:11" ht="30" customHeight="1" x14ac:dyDescent="0.2">
      <c r="A9" s="124"/>
      <c r="B9" s="124"/>
      <c r="C9" s="125" t="s">
        <v>22</v>
      </c>
      <c r="D9" s="157" t="s">
        <v>115</v>
      </c>
      <c r="E9" s="158"/>
      <c r="F9" s="158"/>
      <c r="G9" s="158"/>
      <c r="H9" s="126">
        <v>2023</v>
      </c>
    </row>
    <row r="10" spans="1:11" ht="16" x14ac:dyDescent="0.2">
      <c r="A10" s="124"/>
      <c r="B10" s="124"/>
      <c r="C10" s="125" t="s">
        <v>23</v>
      </c>
      <c r="D10" s="159" t="s">
        <v>74</v>
      </c>
      <c r="E10" s="160"/>
      <c r="F10" s="160"/>
      <c r="G10" s="160"/>
      <c r="H10" s="121">
        <v>45047</v>
      </c>
    </row>
    <row r="11" spans="1:11" ht="14" customHeight="1" x14ac:dyDescent="0.2">
      <c r="A11" s="124"/>
      <c r="B11" s="124"/>
      <c r="C11" s="125" t="s">
        <v>24</v>
      </c>
      <c r="D11" s="157" t="s">
        <v>75</v>
      </c>
      <c r="E11" s="158"/>
      <c r="F11" s="158"/>
      <c r="G11" s="158"/>
      <c r="H11" s="122">
        <v>12</v>
      </c>
    </row>
    <row r="12" spans="1:11" ht="14" customHeight="1" x14ac:dyDescent="0.2">
      <c r="A12" s="124"/>
      <c r="B12" s="124"/>
      <c r="C12" s="125" t="s">
        <v>25</v>
      </c>
      <c r="D12" s="157" t="s">
        <v>105</v>
      </c>
      <c r="E12" s="158"/>
      <c r="F12" s="158"/>
      <c r="G12" s="158"/>
      <c r="H12" s="127">
        <v>168</v>
      </c>
    </row>
    <row r="13" spans="1:11" ht="14" customHeight="1" x14ac:dyDescent="0.2">
      <c r="A13" s="124"/>
      <c r="B13" s="124"/>
      <c r="C13" s="128"/>
      <c r="D13" s="129"/>
      <c r="E13" s="129"/>
      <c r="F13" s="129"/>
      <c r="G13" s="129"/>
      <c r="H13" s="130"/>
    </row>
    <row r="14" spans="1:11" ht="34" x14ac:dyDescent="0.2">
      <c r="A14" s="123" t="s">
        <v>104</v>
      </c>
      <c r="B14" s="123" t="s">
        <v>85</v>
      </c>
      <c r="C14" s="123" t="s">
        <v>111</v>
      </c>
      <c r="D14" s="123" t="s">
        <v>88</v>
      </c>
      <c r="E14" s="123" t="s">
        <v>83</v>
      </c>
      <c r="F14" s="123" t="s">
        <v>84</v>
      </c>
      <c r="G14" s="123" t="s">
        <v>79</v>
      </c>
      <c r="H14" s="123" t="s">
        <v>80</v>
      </c>
      <c r="I14" s="65" t="s">
        <v>116</v>
      </c>
    </row>
    <row r="15" spans="1:11" ht="17" x14ac:dyDescent="0.2">
      <c r="A15" s="161">
        <v>1</v>
      </c>
      <c r="B15" s="125">
        <v>1</v>
      </c>
      <c r="C15" s="131" t="str">
        <f>VLOOKUP($B15,'Tabela de Apoio'!$B$3:$H$10,'Tabela de Apoio'!$C$1,0)</f>
        <v>Arquiteto de Software - Sênior</v>
      </c>
      <c r="D15" s="132">
        <f>VLOOKUP($B15,'Tabela de Apoio'!$B$3:$H$10,'Tabela de Apoio'!$E$1,0)</f>
        <v>6</v>
      </c>
      <c r="E15" s="133">
        <f>HLOOKUP($B15,Analítico!$A$92:$J$101,3,0)</f>
        <v>16000</v>
      </c>
      <c r="F15" s="148">
        <f>HLOOKUP($B15,Analítico!$A$92:$J$101,10,0)</f>
        <v>30085.068329968548</v>
      </c>
      <c r="G15" s="148">
        <f>F15*D15</f>
        <v>180510.40997981129</v>
      </c>
      <c r="H15" s="148">
        <f>G15*$H$11</f>
        <v>2166124.9197577354</v>
      </c>
      <c r="I15" s="62">
        <f t="shared" ref="I15:I21" si="0">F15/E15</f>
        <v>1.8803167706230342</v>
      </c>
      <c r="J15" s="197"/>
      <c r="K15" s="197"/>
    </row>
    <row r="16" spans="1:11" ht="17" x14ac:dyDescent="0.2">
      <c r="A16" s="161"/>
      <c r="B16" s="125">
        <v>2</v>
      </c>
      <c r="C16" s="131" t="str">
        <f>VLOOKUP($B16,'Tabela de Apoio'!$B$3:$H$10,'Tabela de Apoio'!$C$1,0)</f>
        <v>Arquiteto de Software - Pleno</v>
      </c>
      <c r="D16" s="132">
        <f>VLOOKUP($B16,'Tabela de Apoio'!$B$3:$H$10,'Tabela de Apoio'!$E$1,0)</f>
        <v>6</v>
      </c>
      <c r="E16" s="133">
        <f>HLOOKUP($B16,Analítico!$A$92:$J$101,3,0)</f>
        <v>12073.7</v>
      </c>
      <c r="F16" s="148">
        <f>HLOOKUP($B16,Analítico!$A$92:$J$101,10,0)</f>
        <v>22941.087495035175</v>
      </c>
      <c r="G16" s="148">
        <f t="shared" ref="G16:G21" si="1">F16*D16</f>
        <v>137646.52497021106</v>
      </c>
      <c r="H16" s="148">
        <f t="shared" ref="H16:H21" si="2">G16*$H$11</f>
        <v>1651758.2996425326</v>
      </c>
      <c r="I16" s="62">
        <f t="shared" si="0"/>
        <v>1.9000875866582054</v>
      </c>
      <c r="J16" s="197"/>
      <c r="K16" s="197"/>
    </row>
    <row r="17" spans="1:11" ht="17" x14ac:dyDescent="0.2">
      <c r="A17" s="161"/>
      <c r="B17" s="143">
        <v>3</v>
      </c>
      <c r="C17" s="131" t="str">
        <f>VLOOKUP($B17,'Tabela de Apoio'!$B$3:$H$10,'Tabela de Apoio'!$C$1,0)</f>
        <v>Desenvolvedor de Software - Sênior</v>
      </c>
      <c r="D17" s="132">
        <f>VLOOKUP($B17,'Tabela de Apoio'!$B$3:$H$10,'Tabela de Apoio'!$E$1,0)</f>
        <v>9</v>
      </c>
      <c r="E17" s="133">
        <f>HLOOKUP($B17,Analítico!$A$92:$J$101,3,0)</f>
        <v>11000</v>
      </c>
      <c r="F17" s="148">
        <f>HLOOKUP($B17,Analítico!$A$92:$J$101,10,0)</f>
        <v>20987.469175932703</v>
      </c>
      <c r="G17" s="148">
        <f t="shared" si="1"/>
        <v>188887.22258339432</v>
      </c>
      <c r="H17" s="148">
        <f t="shared" si="2"/>
        <v>2266646.6710007321</v>
      </c>
      <c r="I17" s="62">
        <f t="shared" si="0"/>
        <v>1.9079517432666093</v>
      </c>
      <c r="J17" s="197"/>
      <c r="K17" s="197"/>
    </row>
    <row r="18" spans="1:11" ht="17" x14ac:dyDescent="0.2">
      <c r="A18" s="161"/>
      <c r="B18" s="143">
        <v>4</v>
      </c>
      <c r="C18" s="131" t="str">
        <f>VLOOKUP($B18,'Tabela de Apoio'!$B$3:$H$10,'Tabela de Apoio'!$C$1,0)</f>
        <v>Desenvolvedor de Software - Pleno</v>
      </c>
      <c r="D18" s="132">
        <f>VLOOKUP($B18,'Tabela de Apoio'!$B$3:$H$10,'Tabela de Apoio'!$E$1,0)</f>
        <v>9</v>
      </c>
      <c r="E18" s="133">
        <f>HLOOKUP($B18,Analítico!$A$92:$J$101,3,0)</f>
        <v>8000</v>
      </c>
      <c r="F18" s="148">
        <f>HLOOKUP($B18,Analítico!$A$92:$J$101,10,0)</f>
        <v>15573.991659025243</v>
      </c>
      <c r="G18" s="148">
        <f t="shared" si="1"/>
        <v>140165.9249312272</v>
      </c>
      <c r="H18" s="148">
        <f t="shared" si="2"/>
        <v>1681991.0991747263</v>
      </c>
      <c r="I18" s="62">
        <f t="shared" si="0"/>
        <v>1.9467489573781553</v>
      </c>
      <c r="J18" s="197"/>
      <c r="K18" s="197"/>
    </row>
    <row r="19" spans="1:11" ht="17" x14ac:dyDescent="0.2">
      <c r="A19" s="161"/>
      <c r="B19" s="143">
        <v>5</v>
      </c>
      <c r="C19" s="131" t="str">
        <f>VLOOKUP($B19,'Tabela de Apoio'!$B$3:$H$10,'Tabela de Apoio'!$C$1,0)</f>
        <v>Cientista de Dados</v>
      </c>
      <c r="D19" s="132">
        <f>VLOOKUP($B19,'Tabela de Apoio'!$B$3:$H$10,'Tabela de Apoio'!$E$1,0)</f>
        <v>3</v>
      </c>
      <c r="E19" s="133">
        <f>HLOOKUP($B19,Analítico!$A$92:$J$101,3,0)</f>
        <v>17498.8</v>
      </c>
      <c r="F19" s="148">
        <f>HLOOKUP($B19,Analítico!$A$92:$J$101,10,0)</f>
        <v>32812.164996885069</v>
      </c>
      <c r="G19" s="148">
        <f t="shared" si="1"/>
        <v>98436.494990655206</v>
      </c>
      <c r="H19" s="148">
        <f t="shared" si="2"/>
        <v>1181237.9398878624</v>
      </c>
      <c r="I19" s="62">
        <f t="shared" si="0"/>
        <v>1.8751094358976084</v>
      </c>
      <c r="J19" s="197"/>
      <c r="K19" s="197"/>
    </row>
    <row r="20" spans="1:11" ht="17" x14ac:dyDescent="0.2">
      <c r="A20" s="161"/>
      <c r="B20" s="143">
        <v>6</v>
      </c>
      <c r="C20" s="131" t="str">
        <f>VLOOKUP($B20,'Tabela de Apoio'!$B$3:$H$10,'Tabela de Apoio'!$C$1,0)</f>
        <v>Analista de Requisitos - Sênior</v>
      </c>
      <c r="D20" s="132">
        <f>VLOOKUP($B20,'Tabela de Apoio'!$B$3:$H$10,'Tabela de Apoio'!$E$1,0)</f>
        <v>6</v>
      </c>
      <c r="E20" s="133">
        <f>HLOOKUP($B20,Analítico!$A$92:$J$101,3,0)</f>
        <v>10000</v>
      </c>
      <c r="F20" s="148">
        <f>HLOOKUP($B20,Analítico!$A$92:$J$101,10,0)</f>
        <v>19167.949160383574</v>
      </c>
      <c r="G20" s="148">
        <f t="shared" si="1"/>
        <v>115007.69496230144</v>
      </c>
      <c r="H20" s="148">
        <f t="shared" si="2"/>
        <v>1380092.3395476174</v>
      </c>
      <c r="I20" s="62">
        <f t="shared" si="0"/>
        <v>1.9167949160383575</v>
      </c>
      <c r="J20" s="197"/>
      <c r="K20" s="197"/>
    </row>
    <row r="21" spans="1:11" ht="17" x14ac:dyDescent="0.2">
      <c r="A21" s="161"/>
      <c r="B21" s="143">
        <v>7</v>
      </c>
      <c r="C21" s="131" t="str">
        <f>VLOOKUP($B21,'Tabela de Apoio'!$B$3:$H$10,'Tabela de Apoio'!$C$1,0)</f>
        <v>Analista de Segurança</v>
      </c>
      <c r="D21" s="132">
        <f>VLOOKUP($B21,'Tabela de Apoio'!$B$3:$H$10,'Tabela de Apoio'!$E$1,0)</f>
        <v>3</v>
      </c>
      <c r="E21" s="133">
        <f>HLOOKUP($B21,Analítico!$A$92:$J$101,3,0)</f>
        <v>14845.15</v>
      </c>
      <c r="F21" s="148">
        <f>HLOOKUP($B21,Analítico!$A$92:$J$101,10,0)</f>
        <v>27983.795846453828</v>
      </c>
      <c r="G21" s="148">
        <f t="shared" si="1"/>
        <v>83951.387539361487</v>
      </c>
      <c r="H21" s="148">
        <f t="shared" si="2"/>
        <v>1007416.6504723378</v>
      </c>
      <c r="I21" s="62">
        <f t="shared" si="0"/>
        <v>1.8850463515999385</v>
      </c>
      <c r="J21" s="197"/>
      <c r="K21" s="197"/>
    </row>
    <row r="22" spans="1:11" ht="16.75" customHeight="1" x14ac:dyDescent="0.2">
      <c r="A22" s="134"/>
      <c r="B22" s="162" t="s">
        <v>110</v>
      </c>
      <c r="C22" s="163"/>
      <c r="D22" s="135">
        <f>SUM(D15:D21)</f>
        <v>42</v>
      </c>
      <c r="E22" s="136"/>
      <c r="F22" s="136"/>
      <c r="G22" s="137">
        <f>SUM(G15:G21)</f>
        <v>944605.65995696199</v>
      </c>
      <c r="H22" s="138">
        <f>SUM(H15:H21)</f>
        <v>11335267.919483544</v>
      </c>
      <c r="I22" s="99"/>
      <c r="J22" s="197"/>
      <c r="K22" s="197"/>
    </row>
    <row r="23" spans="1:11" ht="15.5" customHeight="1" x14ac:dyDescent="0.25">
      <c r="B23" s="115"/>
      <c r="C23" s="115"/>
      <c r="D23" s="115"/>
      <c r="E23" s="115"/>
      <c r="F23" s="115"/>
      <c r="G23" s="115"/>
      <c r="H23" s="140"/>
      <c r="I23" s="100"/>
    </row>
    <row r="25" spans="1:11" x14ac:dyDescent="0.2">
      <c r="H25" s="108"/>
    </row>
    <row r="26" spans="1:11" x14ac:dyDescent="0.2">
      <c r="H26" s="109"/>
    </row>
    <row r="27" spans="1:11" x14ac:dyDescent="0.2">
      <c r="H27" s="109"/>
    </row>
    <row r="28" spans="1:11" x14ac:dyDescent="0.2">
      <c r="I28" s="62"/>
    </row>
  </sheetData>
  <mergeCells count="12">
    <mergeCell ref="A15:A21"/>
    <mergeCell ref="D12:G12"/>
    <mergeCell ref="D10:G10"/>
    <mergeCell ref="B22:C22"/>
    <mergeCell ref="C2:H2"/>
    <mergeCell ref="C4:H4"/>
    <mergeCell ref="D11:G11"/>
    <mergeCell ref="D5:G5"/>
    <mergeCell ref="D6:G6"/>
    <mergeCell ref="D7:G7"/>
    <mergeCell ref="D8:G8"/>
    <mergeCell ref="D9:G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7CFF-B497-4008-975F-1412F5643310}">
  <sheetPr codeName="Sheet3">
    <tabColor theme="4" tint="-0.249977111117893"/>
  </sheetPr>
  <dimension ref="A1:U113"/>
  <sheetViews>
    <sheetView showGridLines="0" view="pageBreakPreview" zoomScale="120" zoomScaleNormal="120" zoomScaleSheetLayoutView="120" workbookViewId="0"/>
  </sheetViews>
  <sheetFormatPr baseColWidth="10" defaultColWidth="9" defaultRowHeight="15" x14ac:dyDescent="0.2"/>
  <cols>
    <col min="1" max="1" width="8.83203125" style="22" customWidth="1"/>
    <col min="2" max="2" width="60.33203125" style="22" customWidth="1"/>
    <col min="3" max="3" width="13.5" style="22" customWidth="1"/>
    <col min="4" max="10" width="14.6640625" style="23" customWidth="1"/>
    <col min="11" max="11" width="12.6640625" style="22" customWidth="1"/>
    <col min="12" max="12" width="11.6640625" style="22" customWidth="1"/>
    <col min="13" max="13" width="14.83203125" style="22" customWidth="1"/>
    <col min="14" max="21" width="13.83203125" style="22" customWidth="1"/>
    <col min="22" max="16384" width="9" style="22"/>
  </cols>
  <sheetData>
    <row r="1" spans="1:21" s="1" customFormat="1" ht="40.25" customHeight="1" x14ac:dyDescent="0.15">
      <c r="B1" s="113" t="s">
        <v>107</v>
      </c>
      <c r="C1" s="101"/>
      <c r="D1" s="101"/>
      <c r="E1" s="101"/>
      <c r="F1" s="101"/>
      <c r="G1" s="101"/>
      <c r="H1" s="101"/>
      <c r="I1" s="101"/>
      <c r="J1" s="101"/>
      <c r="L1" s="5"/>
    </row>
    <row r="2" spans="1:21" s="7" customFormat="1" ht="37.75" customHeight="1" x14ac:dyDescent="0.15">
      <c r="A2" s="170" t="s">
        <v>133</v>
      </c>
      <c r="B2" s="171"/>
      <c r="C2" s="102" t="str">
        <f>'Quadro Resumo'!H5</f>
        <v>PE 04/2023</v>
      </c>
      <c r="D2" s="53">
        <v>1</v>
      </c>
      <c r="E2" s="53">
        <v>2</v>
      </c>
      <c r="F2" s="53">
        <v>3</v>
      </c>
      <c r="G2" s="53">
        <v>4</v>
      </c>
      <c r="H2" s="53">
        <v>5</v>
      </c>
      <c r="I2" s="53">
        <v>6</v>
      </c>
      <c r="J2" s="53">
        <v>7</v>
      </c>
      <c r="K2" s="1"/>
      <c r="L2" s="5"/>
    </row>
    <row r="3" spans="1:21" s="7" customFormat="1" ht="48" x14ac:dyDescent="0.15">
      <c r="A3" s="172" t="s">
        <v>115</v>
      </c>
      <c r="B3" s="172"/>
      <c r="C3" s="103" t="s">
        <v>95</v>
      </c>
      <c r="D3" s="105" t="str">
        <f>VLOOKUP(D$2,'Tabela de Apoio'!$B$3:$H$10,'Tabela de Apoio'!$C$1,0)</f>
        <v>Arquiteto de Software - Sênior</v>
      </c>
      <c r="E3" s="105" t="str">
        <f>VLOOKUP(E$2,'Tabela de Apoio'!$B$3:$H$10,'Tabela de Apoio'!$C$1,0)</f>
        <v>Arquiteto de Software - Pleno</v>
      </c>
      <c r="F3" s="105" t="str">
        <f>VLOOKUP(F$2,'Tabela de Apoio'!$B$3:$H$10,'Tabela de Apoio'!$C$1,0)</f>
        <v>Desenvolvedor de Software - Sênior</v>
      </c>
      <c r="G3" s="105" t="str">
        <f>VLOOKUP(G$2,'Tabela de Apoio'!$B$3:$H$10,'Tabela de Apoio'!$C$1,0)</f>
        <v>Desenvolvedor de Software - Pleno</v>
      </c>
      <c r="H3" s="105" t="str">
        <f>VLOOKUP(H$2,'Tabela de Apoio'!$B$3:$H$10,'Tabela de Apoio'!$C$1,0)</f>
        <v>Cientista de Dados</v>
      </c>
      <c r="I3" s="105" t="str">
        <f>VLOOKUP(I$2,'Tabela de Apoio'!$B$3:$H$10,'Tabela de Apoio'!$C$1,0)</f>
        <v>Analista de Requisitos - Sênior</v>
      </c>
      <c r="J3" s="105" t="str">
        <f>VLOOKUP(J$2,'Tabela de Apoio'!$B$3:$H$10,'Tabela de Apoio'!$C$1,0)</f>
        <v>Analista de Segurança</v>
      </c>
    </row>
    <row r="4" spans="1:21" s="7" customFormat="1" x14ac:dyDescent="0.15">
      <c r="A4" s="52"/>
      <c r="B4" s="52"/>
      <c r="N4" s="70"/>
      <c r="O4" s="73"/>
      <c r="P4" s="68"/>
      <c r="Q4" s="68"/>
      <c r="R4" s="69"/>
      <c r="S4" s="68"/>
      <c r="T4" s="69"/>
      <c r="U4" s="69"/>
    </row>
    <row r="5" spans="1:21" s="7" customFormat="1" x14ac:dyDescent="0.15">
      <c r="A5" s="177" t="s">
        <v>36</v>
      </c>
      <c r="B5" s="178"/>
      <c r="C5" s="178"/>
      <c r="D5" s="178"/>
      <c r="E5" s="178"/>
      <c r="F5" s="178"/>
      <c r="G5" s="178"/>
      <c r="H5" s="178"/>
      <c r="I5" s="178"/>
      <c r="J5" s="178"/>
      <c r="N5" s="70"/>
      <c r="O5" s="73"/>
      <c r="P5" s="68"/>
      <c r="Q5" s="68"/>
      <c r="R5" s="69"/>
      <c r="S5" s="68"/>
      <c r="T5" s="69"/>
      <c r="U5" s="69"/>
    </row>
    <row r="6" spans="1:21" s="7" customFormat="1" ht="15" customHeight="1" x14ac:dyDescent="0.15">
      <c r="A6" s="53" t="s">
        <v>18</v>
      </c>
      <c r="B6" s="54" t="s">
        <v>71</v>
      </c>
      <c r="C6" s="55"/>
      <c r="D6" s="72">
        <f>VLOOKUP(D$2,'Tabela de Apoio'!$B$3:$H$10,'Tabela de Apoio'!$F$1,0)</f>
        <v>16000</v>
      </c>
      <c r="E6" s="72">
        <f>VLOOKUP(E$2,'Tabela de Apoio'!$B$3:$H$10,'Tabela de Apoio'!$F$1,0)</f>
        <v>12073.7</v>
      </c>
      <c r="F6" s="72">
        <f>VLOOKUP(F$2,'Tabela de Apoio'!$B$3:$H$10,'Tabela de Apoio'!$F$1,0)</f>
        <v>11000</v>
      </c>
      <c r="G6" s="72">
        <f>VLOOKUP(G$2,'Tabela de Apoio'!$B$3:$H$10,'Tabela de Apoio'!$F$1,0)</f>
        <v>8000</v>
      </c>
      <c r="H6" s="72">
        <f>VLOOKUP(H$2,'Tabela de Apoio'!$B$3:$H$10,'Tabela de Apoio'!$F$1,0)</f>
        <v>17498.8</v>
      </c>
      <c r="I6" s="72">
        <f>VLOOKUP(I$2,'Tabela de Apoio'!$B$3:$H$10,'Tabela de Apoio'!$F$1,0)</f>
        <v>10000</v>
      </c>
      <c r="J6" s="72">
        <f>VLOOKUP(J$2,'Tabela de Apoio'!$B$3:$H$10,'Tabela de Apoio'!$F$1,0)</f>
        <v>14845.15</v>
      </c>
      <c r="K6" s="68"/>
      <c r="L6" s="68"/>
      <c r="M6" s="69"/>
      <c r="N6" s="70"/>
      <c r="O6" s="73"/>
      <c r="P6" s="68"/>
      <c r="Q6" s="68"/>
      <c r="R6" s="69"/>
      <c r="S6" s="68"/>
      <c r="T6" s="69"/>
      <c r="U6" s="69"/>
    </row>
    <row r="7" spans="1:21" s="7" customFormat="1" x14ac:dyDescent="0.15">
      <c r="A7" s="6"/>
      <c r="B7" s="2"/>
      <c r="C7" s="10"/>
      <c r="D7" s="3"/>
      <c r="E7" s="3"/>
      <c r="F7" s="3"/>
      <c r="G7" s="3"/>
      <c r="H7" s="3"/>
      <c r="I7" s="3"/>
      <c r="J7" s="3"/>
      <c r="N7" s="70"/>
      <c r="O7" s="73"/>
      <c r="P7" s="68"/>
      <c r="Q7" s="68"/>
      <c r="R7" s="69"/>
      <c r="S7" s="68"/>
      <c r="T7" s="69"/>
      <c r="U7" s="69"/>
    </row>
    <row r="8" spans="1:21" x14ac:dyDescent="0.2">
      <c r="A8" s="175" t="s">
        <v>35</v>
      </c>
      <c r="B8" s="176"/>
      <c r="C8" s="176"/>
      <c r="D8" s="176"/>
      <c r="E8" s="176"/>
      <c r="F8" s="176"/>
      <c r="G8" s="176"/>
      <c r="H8" s="176"/>
      <c r="I8" s="176"/>
      <c r="J8" s="176"/>
      <c r="N8" s="70"/>
      <c r="O8" s="74"/>
      <c r="P8" s="68"/>
      <c r="Q8" s="68"/>
      <c r="R8" s="69"/>
      <c r="S8" s="71"/>
      <c r="T8" s="69"/>
      <c r="U8" s="69"/>
    </row>
    <row r="9" spans="1:21" x14ac:dyDescent="0.2">
      <c r="A9" s="46"/>
      <c r="N9" s="70"/>
      <c r="O9" s="74"/>
      <c r="P9" s="68"/>
      <c r="Q9" s="68"/>
      <c r="R9" s="69"/>
      <c r="S9" s="71"/>
      <c r="T9" s="69"/>
      <c r="U9" s="69"/>
    </row>
    <row r="10" spans="1:21" x14ac:dyDescent="0.2">
      <c r="A10" s="164" t="s">
        <v>70</v>
      </c>
      <c r="B10" s="165"/>
      <c r="C10" s="166"/>
      <c r="D10" s="47" t="s">
        <v>37</v>
      </c>
      <c r="E10" s="47" t="s">
        <v>37</v>
      </c>
      <c r="F10" s="47" t="s">
        <v>37</v>
      </c>
      <c r="G10" s="47" t="s">
        <v>37</v>
      </c>
      <c r="H10" s="47" t="s">
        <v>37</v>
      </c>
      <c r="I10" s="144" t="s">
        <v>37</v>
      </c>
      <c r="J10" s="144" t="s">
        <v>37</v>
      </c>
      <c r="N10" s="70"/>
      <c r="O10" s="74"/>
      <c r="P10" s="68"/>
      <c r="Q10" s="68"/>
      <c r="R10" s="69"/>
      <c r="S10" s="71"/>
      <c r="T10" s="69"/>
      <c r="U10" s="69"/>
    </row>
    <row r="11" spans="1:21" ht="16" x14ac:dyDescent="0.2">
      <c r="A11" s="32" t="s">
        <v>18</v>
      </c>
      <c r="B11" s="35" t="s">
        <v>69</v>
      </c>
      <c r="C11" s="30">
        <f>1/12</f>
        <v>8.3333333333333329E-2</v>
      </c>
      <c r="D11" s="25">
        <f t="shared" ref="D11:E13" si="0">D$6*$C11</f>
        <v>1333.3333333333333</v>
      </c>
      <c r="E11" s="25">
        <f t="shared" si="0"/>
        <v>1006.1416666666667</v>
      </c>
      <c r="F11" s="25">
        <f t="shared" ref="F11:G13" si="1">F$6*$C11</f>
        <v>916.66666666666663</v>
      </c>
      <c r="G11" s="25">
        <f t="shared" si="1"/>
        <v>666.66666666666663</v>
      </c>
      <c r="H11" s="25">
        <f t="shared" ref="H11:J13" si="2">H$6*$C11</f>
        <v>1458.2333333333331</v>
      </c>
      <c r="I11" s="25">
        <f t="shared" si="2"/>
        <v>833.33333333333326</v>
      </c>
      <c r="J11" s="25">
        <f t="shared" si="2"/>
        <v>1237.0958333333333</v>
      </c>
      <c r="N11" s="70"/>
      <c r="O11" s="74"/>
      <c r="P11" s="68"/>
      <c r="Q11" s="68"/>
      <c r="R11" s="69"/>
      <c r="S11" s="71"/>
      <c r="T11" s="69"/>
      <c r="U11" s="69"/>
    </row>
    <row r="12" spans="1:21" ht="16" x14ac:dyDescent="0.2">
      <c r="A12" s="32" t="s">
        <v>19</v>
      </c>
      <c r="B12" s="145" t="s">
        <v>123</v>
      </c>
      <c r="C12" s="30">
        <f>ROUND(1/11 + 1/11/3,3)</f>
        <v>0.121</v>
      </c>
      <c r="D12" s="25">
        <f t="shared" si="0"/>
        <v>1936</v>
      </c>
      <c r="E12" s="25">
        <f t="shared" si="0"/>
        <v>1460.9177</v>
      </c>
      <c r="F12" s="25">
        <f t="shared" si="1"/>
        <v>1331</v>
      </c>
      <c r="G12" s="25">
        <f t="shared" si="1"/>
        <v>968</v>
      </c>
      <c r="H12" s="25">
        <f t="shared" si="2"/>
        <v>2117.3548000000001</v>
      </c>
      <c r="I12" s="25">
        <f t="shared" si="2"/>
        <v>1210</v>
      </c>
      <c r="J12" s="25">
        <f t="shared" si="2"/>
        <v>1796.26315</v>
      </c>
      <c r="N12" s="70"/>
      <c r="O12" s="74"/>
      <c r="P12" s="68"/>
      <c r="Q12" s="68"/>
      <c r="R12" s="69"/>
      <c r="S12" s="71"/>
      <c r="T12" s="69"/>
      <c r="U12" s="69"/>
    </row>
    <row r="13" spans="1:21" ht="15.75" customHeight="1" x14ac:dyDescent="0.2">
      <c r="A13" s="32" t="s">
        <v>20</v>
      </c>
      <c r="B13" s="35" t="s">
        <v>94</v>
      </c>
      <c r="C13" s="30">
        <f>SUM(C11:C12)*C25</f>
        <v>2.9219666666666668E-2</v>
      </c>
      <c r="D13" s="25">
        <f t="shared" si="0"/>
        <v>467.5146666666667</v>
      </c>
      <c r="E13" s="25">
        <f t="shared" si="0"/>
        <v>352.78948943333336</v>
      </c>
      <c r="F13" s="25">
        <f t="shared" si="1"/>
        <v>321.41633333333334</v>
      </c>
      <c r="G13" s="25">
        <f t="shared" si="1"/>
        <v>233.75733333333335</v>
      </c>
      <c r="H13" s="25">
        <f t="shared" si="2"/>
        <v>511.30910306666669</v>
      </c>
      <c r="I13" s="25">
        <f t="shared" si="2"/>
        <v>292.19666666666666</v>
      </c>
      <c r="J13" s="25">
        <f t="shared" si="2"/>
        <v>433.77033461666667</v>
      </c>
      <c r="N13" s="70"/>
      <c r="O13" s="74"/>
      <c r="P13" s="68"/>
      <c r="Q13" s="68"/>
      <c r="R13" s="69"/>
      <c r="S13" s="71"/>
      <c r="T13" s="69"/>
      <c r="U13" s="69"/>
    </row>
    <row r="14" spans="1:21" ht="15.75" customHeight="1" x14ac:dyDescent="0.2">
      <c r="A14" s="174" t="s">
        <v>55</v>
      </c>
      <c r="B14" s="174"/>
      <c r="C14" s="38">
        <f>SUM(C11:C13)</f>
        <v>0.23355299999999998</v>
      </c>
      <c r="D14" s="36">
        <f>SUM(D11:D13)</f>
        <v>3736.848</v>
      </c>
      <c r="E14" s="36">
        <f t="shared" ref="E14:H14" si="3">SUM(E11:E13)</f>
        <v>2819.8488560999999</v>
      </c>
      <c r="F14" s="36">
        <f t="shared" si="3"/>
        <v>2569.0829999999996</v>
      </c>
      <c r="G14" s="36">
        <f t="shared" si="3"/>
        <v>1868.424</v>
      </c>
      <c r="H14" s="36">
        <f t="shared" si="3"/>
        <v>4086.8972364000001</v>
      </c>
      <c r="I14" s="36">
        <f t="shared" ref="I14:J14" si="4">SUM(I11:I13)</f>
        <v>2335.5299999999997</v>
      </c>
      <c r="J14" s="36">
        <f t="shared" si="4"/>
        <v>3467.1293179500003</v>
      </c>
      <c r="N14" s="70"/>
      <c r="O14" s="74"/>
      <c r="P14" s="68"/>
      <c r="Q14" s="68"/>
      <c r="R14" s="69"/>
      <c r="S14" s="71"/>
      <c r="T14" s="69"/>
      <c r="U14" s="69"/>
    </row>
    <row r="15" spans="1:21" ht="15.75" customHeight="1" x14ac:dyDescent="0.2">
      <c r="N15" s="70"/>
      <c r="O15" s="74"/>
      <c r="P15" s="68"/>
      <c r="Q15" s="68"/>
      <c r="R15" s="69"/>
      <c r="S15" s="71"/>
      <c r="T15" s="69"/>
      <c r="U15" s="69"/>
    </row>
    <row r="16" spans="1:21" ht="16.5" customHeight="1" x14ac:dyDescent="0.2">
      <c r="A16" s="164" t="s">
        <v>68</v>
      </c>
      <c r="B16" s="165"/>
      <c r="C16" s="166"/>
      <c r="D16" s="47" t="s">
        <v>37</v>
      </c>
      <c r="E16" s="47" t="s">
        <v>37</v>
      </c>
      <c r="F16" s="47" t="s">
        <v>37</v>
      </c>
      <c r="G16" s="47" t="s">
        <v>37</v>
      </c>
      <c r="H16" s="47" t="s">
        <v>37</v>
      </c>
      <c r="I16" s="144" t="s">
        <v>37</v>
      </c>
      <c r="J16" s="144" t="s">
        <v>37</v>
      </c>
      <c r="O16" s="67"/>
      <c r="P16" s="67"/>
      <c r="Q16" s="67"/>
      <c r="R16" s="75"/>
      <c r="S16" s="67"/>
      <c r="T16" s="67"/>
      <c r="U16" s="76"/>
    </row>
    <row r="17" spans="1:21" ht="16" x14ac:dyDescent="0.2">
      <c r="A17" s="32" t="s">
        <v>18</v>
      </c>
      <c r="B17" s="35" t="s">
        <v>96</v>
      </c>
      <c r="C17" s="30">
        <v>0</v>
      </c>
      <c r="D17" s="39">
        <f t="shared" ref="D17:D24" si="5">D$6*$C17</f>
        <v>0</v>
      </c>
      <c r="E17" s="39">
        <f t="shared" ref="E17:G24" si="6">E$6*$C17</f>
        <v>0</v>
      </c>
      <c r="F17" s="39">
        <f t="shared" si="6"/>
        <v>0</v>
      </c>
      <c r="G17" s="39">
        <f t="shared" si="6"/>
        <v>0</v>
      </c>
      <c r="H17" s="39">
        <f t="shared" ref="H17:J24" si="7">H$6*$C17</f>
        <v>0</v>
      </c>
      <c r="I17" s="39">
        <f t="shared" si="7"/>
        <v>0</v>
      </c>
      <c r="J17" s="39">
        <f t="shared" si="7"/>
        <v>0</v>
      </c>
      <c r="O17" s="67"/>
      <c r="P17" s="67"/>
    </row>
    <row r="18" spans="1:21" ht="16" x14ac:dyDescent="0.2">
      <c r="A18" s="32" t="s">
        <v>19</v>
      </c>
      <c r="B18" s="35" t="s">
        <v>27</v>
      </c>
      <c r="C18" s="30">
        <v>2.5000000000000001E-2</v>
      </c>
      <c r="D18" s="39">
        <f t="shared" si="5"/>
        <v>400</v>
      </c>
      <c r="E18" s="39">
        <f t="shared" si="6"/>
        <v>301.84250000000003</v>
      </c>
      <c r="F18" s="39">
        <f t="shared" si="6"/>
        <v>275</v>
      </c>
      <c r="G18" s="39">
        <f t="shared" si="6"/>
        <v>200</v>
      </c>
      <c r="H18" s="39">
        <f t="shared" si="7"/>
        <v>437.47</v>
      </c>
      <c r="I18" s="39">
        <f t="shared" si="7"/>
        <v>250</v>
      </c>
      <c r="J18" s="39">
        <f t="shared" si="7"/>
        <v>371.12875000000003</v>
      </c>
      <c r="O18" s="67"/>
      <c r="P18" s="67"/>
    </row>
    <row r="19" spans="1:21" ht="16" x14ac:dyDescent="0.2">
      <c r="A19" s="32" t="s">
        <v>20</v>
      </c>
      <c r="B19" s="35" t="s">
        <v>67</v>
      </c>
      <c r="C19" s="45">
        <v>5.0000000000000001E-3</v>
      </c>
      <c r="D19" s="39">
        <f t="shared" si="5"/>
        <v>80</v>
      </c>
      <c r="E19" s="39">
        <f t="shared" si="6"/>
        <v>60.368500000000004</v>
      </c>
      <c r="F19" s="39">
        <f t="shared" si="6"/>
        <v>55</v>
      </c>
      <c r="G19" s="39">
        <f t="shared" si="6"/>
        <v>40</v>
      </c>
      <c r="H19" s="39">
        <f t="shared" si="7"/>
        <v>87.494</v>
      </c>
      <c r="I19" s="39">
        <f t="shared" si="7"/>
        <v>50</v>
      </c>
      <c r="J19" s="39">
        <f t="shared" si="7"/>
        <v>74.225750000000005</v>
      </c>
      <c r="O19" s="67"/>
      <c r="P19" s="67"/>
    </row>
    <row r="20" spans="1:21" ht="16" x14ac:dyDescent="0.2">
      <c r="A20" s="32" t="s">
        <v>21</v>
      </c>
      <c r="B20" s="35" t="s">
        <v>66</v>
      </c>
      <c r="C20" s="30">
        <v>1.4999999999999999E-2</v>
      </c>
      <c r="D20" s="39">
        <f t="shared" si="5"/>
        <v>240</v>
      </c>
      <c r="E20" s="39">
        <f t="shared" si="6"/>
        <v>181.10550000000001</v>
      </c>
      <c r="F20" s="39">
        <f t="shared" si="6"/>
        <v>165</v>
      </c>
      <c r="G20" s="39">
        <f t="shared" si="6"/>
        <v>120</v>
      </c>
      <c r="H20" s="39">
        <f t="shared" si="7"/>
        <v>262.48199999999997</v>
      </c>
      <c r="I20" s="39">
        <f t="shared" si="7"/>
        <v>150</v>
      </c>
      <c r="J20" s="39">
        <f t="shared" si="7"/>
        <v>222.67724999999999</v>
      </c>
      <c r="O20" s="67"/>
      <c r="P20" s="67"/>
    </row>
    <row r="21" spans="1:21" ht="16" x14ac:dyDescent="0.2">
      <c r="A21" s="32" t="s">
        <v>22</v>
      </c>
      <c r="B21" s="35" t="s">
        <v>65</v>
      </c>
      <c r="C21" s="30">
        <v>0.01</v>
      </c>
      <c r="D21" s="39">
        <f t="shared" si="5"/>
        <v>160</v>
      </c>
      <c r="E21" s="39">
        <f t="shared" si="6"/>
        <v>120.73700000000001</v>
      </c>
      <c r="F21" s="39">
        <f t="shared" si="6"/>
        <v>110</v>
      </c>
      <c r="G21" s="39">
        <f t="shared" si="6"/>
        <v>80</v>
      </c>
      <c r="H21" s="39">
        <f t="shared" si="7"/>
        <v>174.988</v>
      </c>
      <c r="I21" s="39">
        <f t="shared" si="7"/>
        <v>100</v>
      </c>
      <c r="J21" s="39">
        <f t="shared" si="7"/>
        <v>148.45150000000001</v>
      </c>
      <c r="O21" s="67"/>
      <c r="P21" s="67"/>
    </row>
    <row r="22" spans="1:21" ht="16" x14ac:dyDescent="0.2">
      <c r="A22" s="32" t="s">
        <v>23</v>
      </c>
      <c r="B22" s="35" t="s">
        <v>29</v>
      </c>
      <c r="C22" s="30">
        <v>6.0000000000000001E-3</v>
      </c>
      <c r="D22" s="39">
        <f t="shared" si="5"/>
        <v>96</v>
      </c>
      <c r="E22" s="39">
        <f t="shared" si="6"/>
        <v>72.4422</v>
      </c>
      <c r="F22" s="39">
        <f t="shared" si="6"/>
        <v>66</v>
      </c>
      <c r="G22" s="39">
        <f t="shared" si="6"/>
        <v>48</v>
      </c>
      <c r="H22" s="39">
        <f t="shared" si="7"/>
        <v>104.9928</v>
      </c>
      <c r="I22" s="39">
        <f t="shared" si="7"/>
        <v>60</v>
      </c>
      <c r="J22" s="39">
        <f t="shared" si="7"/>
        <v>89.070899999999995</v>
      </c>
    </row>
    <row r="23" spans="1:21" ht="16" x14ac:dyDescent="0.2">
      <c r="A23" s="32" t="s">
        <v>24</v>
      </c>
      <c r="B23" s="35" t="s">
        <v>26</v>
      </c>
      <c r="C23" s="30">
        <v>2E-3</v>
      </c>
      <c r="D23" s="39">
        <f t="shared" si="5"/>
        <v>32</v>
      </c>
      <c r="E23" s="39">
        <f t="shared" si="6"/>
        <v>24.147400000000001</v>
      </c>
      <c r="F23" s="39">
        <f t="shared" si="6"/>
        <v>22</v>
      </c>
      <c r="G23" s="39">
        <f t="shared" si="6"/>
        <v>16</v>
      </c>
      <c r="H23" s="39">
        <f t="shared" si="7"/>
        <v>34.997599999999998</v>
      </c>
      <c r="I23" s="39">
        <f t="shared" si="7"/>
        <v>20</v>
      </c>
      <c r="J23" s="39">
        <f t="shared" si="7"/>
        <v>29.690300000000001</v>
      </c>
    </row>
    <row r="24" spans="1:21" ht="16" x14ac:dyDescent="0.2">
      <c r="A24" s="32" t="s">
        <v>25</v>
      </c>
      <c r="B24" s="35" t="s">
        <v>28</v>
      </c>
      <c r="C24" s="30">
        <v>0.08</v>
      </c>
      <c r="D24" s="39">
        <f t="shared" si="5"/>
        <v>1280</v>
      </c>
      <c r="E24" s="39">
        <f t="shared" si="6"/>
        <v>965.89600000000007</v>
      </c>
      <c r="F24" s="39">
        <f t="shared" si="6"/>
        <v>880</v>
      </c>
      <c r="G24" s="39">
        <f t="shared" si="6"/>
        <v>640</v>
      </c>
      <c r="H24" s="39">
        <f t="shared" si="7"/>
        <v>1399.904</v>
      </c>
      <c r="I24" s="39">
        <f t="shared" si="7"/>
        <v>800</v>
      </c>
      <c r="J24" s="39">
        <f t="shared" si="7"/>
        <v>1187.6120000000001</v>
      </c>
    </row>
    <row r="25" spans="1:21" x14ac:dyDescent="0.2">
      <c r="A25" s="174" t="s">
        <v>55</v>
      </c>
      <c r="B25" s="174"/>
      <c r="C25" s="38">
        <f>SUM(C17:C24)</f>
        <v>0.14300000000000002</v>
      </c>
      <c r="D25" s="36">
        <f>SUM(D17:D24)</f>
        <v>2288</v>
      </c>
      <c r="E25" s="36">
        <f t="shared" ref="E25:H25" si="8">SUM(E17:E24)</f>
        <v>1726.5391</v>
      </c>
      <c r="F25" s="36">
        <f t="shared" si="8"/>
        <v>1573</v>
      </c>
      <c r="G25" s="36">
        <f t="shared" si="8"/>
        <v>1144</v>
      </c>
      <c r="H25" s="36">
        <f t="shared" si="8"/>
        <v>2502.3283999999999</v>
      </c>
      <c r="I25" s="36">
        <f t="shared" ref="I25:J25" si="9">SUM(I17:I24)</f>
        <v>1430</v>
      </c>
      <c r="J25" s="36">
        <f t="shared" si="9"/>
        <v>2122.8564500000002</v>
      </c>
    </row>
    <row r="27" spans="1:21" x14ac:dyDescent="0.2">
      <c r="A27" s="173" t="s">
        <v>64</v>
      </c>
      <c r="B27" s="173"/>
      <c r="C27" s="173"/>
      <c r="D27" s="47" t="s">
        <v>37</v>
      </c>
      <c r="E27" s="47" t="s">
        <v>37</v>
      </c>
      <c r="F27" s="47" t="s">
        <v>37</v>
      </c>
      <c r="G27" s="47" t="s">
        <v>37</v>
      </c>
      <c r="H27" s="47" t="s">
        <v>37</v>
      </c>
      <c r="I27" s="144" t="s">
        <v>37</v>
      </c>
      <c r="J27" s="144" t="s">
        <v>37</v>
      </c>
      <c r="L27" s="6" t="s">
        <v>1</v>
      </c>
    </row>
    <row r="28" spans="1:21" ht="16" x14ac:dyDescent="0.2">
      <c r="A28" s="32" t="s">
        <v>18</v>
      </c>
      <c r="B28" s="35" t="s">
        <v>119</v>
      </c>
      <c r="C28" s="35"/>
      <c r="D28" s="111">
        <f t="shared" ref="D28:J28" si="10">IF(D$6&gt;0,ROUND(IF(D$6&lt;=$N$35,$N$37,IF(D$6&lt;=$O$35,$O$37,IF(D$6&lt;=$P$35,$P$37,IF(D$6&lt;=$Q$35,$Q$37,IF(D$6&lt;=$R$35,$R$37))))),2),0)</f>
        <v>562.97</v>
      </c>
      <c r="E28" s="111">
        <f t="shared" si="10"/>
        <v>562.97</v>
      </c>
      <c r="F28" s="111">
        <f t="shared" si="10"/>
        <v>562.97</v>
      </c>
      <c r="G28" s="111">
        <f t="shared" si="10"/>
        <v>598.15</v>
      </c>
      <c r="H28" s="111">
        <f t="shared" si="10"/>
        <v>562.97</v>
      </c>
      <c r="I28" s="111">
        <f t="shared" si="10"/>
        <v>562.97</v>
      </c>
      <c r="J28" s="111">
        <f t="shared" si="10"/>
        <v>562.97</v>
      </c>
      <c r="L28" s="44" t="s">
        <v>2</v>
      </c>
      <c r="M28" s="8" t="s">
        <v>3</v>
      </c>
      <c r="N28" s="8" t="s">
        <v>4</v>
      </c>
      <c r="O28" s="7"/>
      <c r="P28" s="7"/>
      <c r="Q28" s="7"/>
      <c r="R28" s="7"/>
      <c r="S28" s="7"/>
      <c r="T28" s="7"/>
      <c r="U28" s="7"/>
    </row>
    <row r="29" spans="1:21" ht="16.5" customHeight="1" x14ac:dyDescent="0.2">
      <c r="A29" s="32" t="s">
        <v>19</v>
      </c>
      <c r="B29" s="35" t="s">
        <v>118</v>
      </c>
      <c r="C29" s="35"/>
      <c r="D29" s="58">
        <f t="shared" ref="D29:J29" si="11">IF(ROUND(($L$29*$M$29*$N$29)-D$6*6%,2)&gt;0,ROUND(($L$29*$M$29*$N$29)-D$6*6%,2),0)</f>
        <v>0</v>
      </c>
      <c r="E29" s="58">
        <f t="shared" si="11"/>
        <v>0</v>
      </c>
      <c r="F29" s="58">
        <f t="shared" si="11"/>
        <v>0</v>
      </c>
      <c r="G29" s="58">
        <f t="shared" si="11"/>
        <v>0</v>
      </c>
      <c r="H29" s="58">
        <f t="shared" si="11"/>
        <v>0</v>
      </c>
      <c r="I29" s="58">
        <f t="shared" si="11"/>
        <v>0</v>
      </c>
      <c r="J29" s="58">
        <f t="shared" si="11"/>
        <v>0</v>
      </c>
      <c r="L29" s="8">
        <v>21</v>
      </c>
      <c r="M29" s="11">
        <v>2</v>
      </c>
      <c r="N29" s="9">
        <v>5.5</v>
      </c>
      <c r="O29" s="7"/>
      <c r="P29" s="7"/>
      <c r="Q29" s="7"/>
      <c r="R29" s="7"/>
      <c r="S29" s="7"/>
      <c r="T29" s="7"/>
      <c r="U29" s="7"/>
    </row>
    <row r="30" spans="1:21" ht="16" x14ac:dyDescent="0.2">
      <c r="A30" s="32" t="s">
        <v>20</v>
      </c>
      <c r="B30" s="139" t="s">
        <v>117</v>
      </c>
      <c r="C30" s="35"/>
      <c r="D30" s="61">
        <f t="shared" ref="D30:J30" si="12">IF(D$6&gt;0,ROUND(IF(D$6&lt;=$N$39,$N$41,IF(D$6&lt;=$O$39,$O$41,IF(D$6&lt;=$P$39,$P$41,IF(D$6&lt;=$Q$39,$Q$41,IF(D$6&lt;=$R$39,$R$41))))),2),0)</f>
        <v>185.61</v>
      </c>
      <c r="E30" s="61">
        <f t="shared" si="12"/>
        <v>185.61</v>
      </c>
      <c r="F30" s="61">
        <f t="shared" si="12"/>
        <v>185.61</v>
      </c>
      <c r="G30" s="61">
        <f t="shared" si="12"/>
        <v>185.61</v>
      </c>
      <c r="H30" s="61">
        <f t="shared" si="12"/>
        <v>185.61</v>
      </c>
      <c r="I30" s="61">
        <f t="shared" si="12"/>
        <v>185.61</v>
      </c>
      <c r="J30" s="61">
        <f t="shared" si="12"/>
        <v>185.61</v>
      </c>
      <c r="L30" s="7"/>
      <c r="M30" s="7"/>
      <c r="N30" s="7"/>
      <c r="O30" s="7"/>
      <c r="P30" s="7"/>
      <c r="Q30" s="7"/>
      <c r="R30" s="7"/>
    </row>
    <row r="31" spans="1:21" ht="16" x14ac:dyDescent="0.2">
      <c r="A31" s="32" t="s">
        <v>21</v>
      </c>
      <c r="B31" s="35" t="s">
        <v>106</v>
      </c>
      <c r="C31" s="35"/>
      <c r="D31" s="58">
        <v>10.51</v>
      </c>
      <c r="E31" s="58">
        <v>10.51</v>
      </c>
      <c r="F31" s="58">
        <v>10.51</v>
      </c>
      <c r="G31" s="58">
        <v>10.51</v>
      </c>
      <c r="H31" s="58">
        <v>10.51</v>
      </c>
      <c r="I31" s="58">
        <v>10.51</v>
      </c>
      <c r="J31" s="58">
        <v>10.51</v>
      </c>
      <c r="L31" s="43" t="s">
        <v>5</v>
      </c>
      <c r="M31" s="7"/>
      <c r="N31" s="77" t="s">
        <v>90</v>
      </c>
      <c r="O31" s="78"/>
      <c r="P31" s="78"/>
      <c r="Q31" s="78"/>
      <c r="R31" s="78"/>
    </row>
    <row r="32" spans="1:21" ht="16" x14ac:dyDescent="0.2">
      <c r="A32" s="32" t="s">
        <v>22</v>
      </c>
      <c r="B32" s="145"/>
      <c r="C32" s="35"/>
      <c r="D32" s="58"/>
      <c r="E32" s="58"/>
      <c r="F32" s="58"/>
      <c r="G32" s="58"/>
      <c r="H32" s="58"/>
      <c r="I32" s="58"/>
      <c r="J32" s="58"/>
      <c r="L32" s="8">
        <v>21</v>
      </c>
      <c r="M32" s="57">
        <v>33.51</v>
      </c>
      <c r="N32" s="79" t="s">
        <v>91</v>
      </c>
      <c r="O32" s="80"/>
      <c r="P32" s="80"/>
      <c r="Q32" s="7"/>
      <c r="R32" s="7"/>
    </row>
    <row r="33" spans="1:18" x14ac:dyDescent="0.2">
      <c r="A33" s="174" t="s">
        <v>55</v>
      </c>
      <c r="B33" s="174"/>
      <c r="C33" s="174"/>
      <c r="D33" s="36">
        <f>SUM(D28:D32)</f>
        <v>759.09</v>
      </c>
      <c r="E33" s="36">
        <f t="shared" ref="E33:H33" si="13">SUM(E28:E32)</f>
        <v>759.09</v>
      </c>
      <c r="F33" s="36">
        <f t="shared" si="13"/>
        <v>759.09</v>
      </c>
      <c r="G33" s="36">
        <f t="shared" si="13"/>
        <v>794.27</v>
      </c>
      <c r="H33" s="36">
        <f t="shared" si="13"/>
        <v>759.09</v>
      </c>
      <c r="I33" s="36">
        <f t="shared" ref="I33:J33" si="14">SUM(I28:I32)</f>
        <v>759.09</v>
      </c>
      <c r="J33" s="36">
        <f t="shared" si="14"/>
        <v>759.09</v>
      </c>
      <c r="L33" s="7" t="s">
        <v>6</v>
      </c>
      <c r="M33" s="185"/>
      <c r="N33" s="79">
        <v>1</v>
      </c>
      <c r="O33" s="7">
        <v>1</v>
      </c>
      <c r="P33" s="7">
        <v>4</v>
      </c>
      <c r="Q33" s="7">
        <v>5</v>
      </c>
      <c r="R33" s="81" t="s">
        <v>92</v>
      </c>
    </row>
    <row r="34" spans="1:18" ht="15.75" customHeight="1" x14ac:dyDescent="0.2">
      <c r="L34" s="7"/>
      <c r="M34" s="185"/>
      <c r="N34" s="79"/>
      <c r="O34" s="7"/>
      <c r="P34" s="7"/>
      <c r="Q34" s="7"/>
      <c r="R34" s="81"/>
    </row>
    <row r="35" spans="1:18" ht="15.75" customHeight="1" x14ac:dyDescent="0.2">
      <c r="A35" s="164" t="s">
        <v>63</v>
      </c>
      <c r="B35" s="165"/>
      <c r="C35" s="166"/>
      <c r="D35" s="47" t="s">
        <v>37</v>
      </c>
      <c r="E35" s="47" t="s">
        <v>37</v>
      </c>
      <c r="F35" s="47" t="s">
        <v>37</v>
      </c>
      <c r="G35" s="47" t="s">
        <v>37</v>
      </c>
      <c r="H35" s="47" t="s">
        <v>37</v>
      </c>
      <c r="I35" s="144" t="s">
        <v>37</v>
      </c>
      <c r="J35" s="144" t="s">
        <v>37</v>
      </c>
      <c r="L35" s="7"/>
      <c r="M35" s="7"/>
      <c r="N35" s="82">
        <v>3928.43</v>
      </c>
      <c r="O35" s="83">
        <v>5714.07</v>
      </c>
      <c r="P35" s="84">
        <v>7142.61</v>
      </c>
      <c r="Q35" s="84">
        <v>8749.7199999999993</v>
      </c>
      <c r="R35" s="84">
        <v>100000</v>
      </c>
    </row>
    <row r="36" spans="1:18" ht="15.75" customHeight="1" x14ac:dyDescent="0.2">
      <c r="A36" s="110" t="s">
        <v>62</v>
      </c>
      <c r="B36" s="186" t="s">
        <v>61</v>
      </c>
      <c r="C36" s="186"/>
      <c r="D36" s="111">
        <f>D14</f>
        <v>3736.848</v>
      </c>
      <c r="E36" s="111">
        <f t="shared" ref="E36:G36" si="15">E14</f>
        <v>2819.8488560999999</v>
      </c>
      <c r="F36" s="111">
        <f t="shared" si="15"/>
        <v>2569.0829999999996</v>
      </c>
      <c r="G36" s="111">
        <f t="shared" si="15"/>
        <v>1868.424</v>
      </c>
      <c r="H36" s="111">
        <f>H14</f>
        <v>4086.8972364000001</v>
      </c>
      <c r="I36" s="111">
        <f t="shared" ref="I36:J36" si="16">I14</f>
        <v>2335.5299999999997</v>
      </c>
      <c r="J36" s="111">
        <f t="shared" si="16"/>
        <v>3467.1293179500003</v>
      </c>
      <c r="L36" s="7"/>
      <c r="M36" s="85"/>
      <c r="N36" s="86">
        <v>0.05</v>
      </c>
      <c r="O36" s="87">
        <v>7.4999999999999997E-2</v>
      </c>
      <c r="P36" s="86">
        <v>0.1</v>
      </c>
      <c r="Q36" s="86">
        <v>0.15</v>
      </c>
      <c r="R36" s="86">
        <v>0.2</v>
      </c>
    </row>
    <row r="37" spans="1:18" ht="15.75" customHeight="1" x14ac:dyDescent="0.2">
      <c r="A37" s="110" t="s">
        <v>60</v>
      </c>
      <c r="B37" s="186" t="s">
        <v>59</v>
      </c>
      <c r="C37" s="186"/>
      <c r="D37" s="111">
        <f>D25</f>
        <v>2288</v>
      </c>
      <c r="E37" s="111">
        <f t="shared" ref="E37:G37" si="17">E25</f>
        <v>1726.5391</v>
      </c>
      <c r="F37" s="111">
        <f t="shared" si="17"/>
        <v>1573</v>
      </c>
      <c r="G37" s="111">
        <f t="shared" si="17"/>
        <v>1144</v>
      </c>
      <c r="H37" s="111">
        <f>H25</f>
        <v>2502.3283999999999</v>
      </c>
      <c r="I37" s="111">
        <f t="shared" ref="I37:J37" si="18">I25</f>
        <v>1430</v>
      </c>
      <c r="J37" s="111">
        <f t="shared" si="18"/>
        <v>2122.8564500000002</v>
      </c>
      <c r="L37" s="7"/>
      <c r="M37" s="88"/>
      <c r="N37" s="89">
        <f>ROUND($L$32*$M$32*(1-N36),2)</f>
        <v>668.52</v>
      </c>
      <c r="O37" s="89">
        <f t="shared" ref="O37:R37" si="19">ROUND($L$32*$M$32*(1-O36),2)</f>
        <v>650.92999999999995</v>
      </c>
      <c r="P37" s="89">
        <f t="shared" si="19"/>
        <v>633.34</v>
      </c>
      <c r="Q37" s="89">
        <f t="shared" si="19"/>
        <v>598.15</v>
      </c>
      <c r="R37" s="89">
        <f t="shared" si="19"/>
        <v>562.97</v>
      </c>
    </row>
    <row r="38" spans="1:18" ht="15.75" customHeight="1" x14ac:dyDescent="0.2">
      <c r="A38" s="110" t="s">
        <v>58</v>
      </c>
      <c r="B38" s="186" t="s">
        <v>17</v>
      </c>
      <c r="C38" s="186"/>
      <c r="D38" s="111">
        <f>D33</f>
        <v>759.09</v>
      </c>
      <c r="E38" s="111">
        <f t="shared" ref="E38:H38" si="20">E33</f>
        <v>759.09</v>
      </c>
      <c r="F38" s="111">
        <f t="shared" si="20"/>
        <v>759.09</v>
      </c>
      <c r="G38" s="111">
        <f t="shared" si="20"/>
        <v>794.27</v>
      </c>
      <c r="H38" s="111">
        <f t="shared" si="20"/>
        <v>759.09</v>
      </c>
      <c r="I38" s="111">
        <f t="shared" ref="I38:J38" si="21">I33</f>
        <v>759.09</v>
      </c>
      <c r="J38" s="111">
        <f t="shared" si="21"/>
        <v>759.09</v>
      </c>
      <c r="L38" s="90"/>
      <c r="M38" s="7"/>
      <c r="N38" s="91" t="s">
        <v>93</v>
      </c>
      <c r="O38" s="92"/>
      <c r="P38" s="92"/>
      <c r="Q38" s="92"/>
      <c r="R38" s="93"/>
    </row>
    <row r="39" spans="1:18" ht="16.5" customHeight="1" x14ac:dyDescent="0.2">
      <c r="A39" s="174" t="s">
        <v>55</v>
      </c>
      <c r="B39" s="174"/>
      <c r="C39" s="174"/>
      <c r="D39" s="36">
        <f>SUM(D36:D38)</f>
        <v>6783.9380000000001</v>
      </c>
      <c r="E39" s="36">
        <f t="shared" ref="E39:H39" si="22">SUM(E36:E38)</f>
        <v>5305.4779560999996</v>
      </c>
      <c r="F39" s="36">
        <f t="shared" si="22"/>
        <v>4901.1729999999998</v>
      </c>
      <c r="G39" s="36">
        <f t="shared" si="22"/>
        <v>3806.694</v>
      </c>
      <c r="H39" s="36">
        <f t="shared" si="22"/>
        <v>7348.3156364000006</v>
      </c>
      <c r="I39" s="36">
        <f t="shared" ref="I39:J39" si="23">SUM(I36:I38)</f>
        <v>4524.62</v>
      </c>
      <c r="J39" s="36">
        <f t="shared" si="23"/>
        <v>6349.0757679500002</v>
      </c>
      <c r="K39" s="67"/>
      <c r="L39" s="7"/>
      <c r="M39" s="94">
        <v>371.22</v>
      </c>
      <c r="N39" s="82">
        <v>2559.06</v>
      </c>
      <c r="O39" s="95">
        <v>4266.34</v>
      </c>
      <c r="P39" s="95">
        <v>100000</v>
      </c>
      <c r="Q39" s="95">
        <v>100000</v>
      </c>
      <c r="R39" s="95">
        <v>100000</v>
      </c>
    </row>
    <row r="40" spans="1:18" x14ac:dyDescent="0.2">
      <c r="A40" s="42"/>
      <c r="L40" s="7"/>
      <c r="M40" s="7"/>
      <c r="N40" s="96">
        <v>0.7</v>
      </c>
      <c r="O40" s="96">
        <v>0.6</v>
      </c>
      <c r="P40" s="96">
        <v>0.5</v>
      </c>
      <c r="Q40" s="97">
        <v>0.5</v>
      </c>
      <c r="R40" s="97">
        <v>0.5</v>
      </c>
    </row>
    <row r="41" spans="1:18" x14ac:dyDescent="0.2">
      <c r="A41" s="164" t="s">
        <v>34</v>
      </c>
      <c r="B41" s="165"/>
      <c r="C41" s="166"/>
      <c r="D41" s="47" t="s">
        <v>37</v>
      </c>
      <c r="E41" s="47" t="s">
        <v>37</v>
      </c>
      <c r="F41" s="47" t="s">
        <v>37</v>
      </c>
      <c r="G41" s="47" t="s">
        <v>37</v>
      </c>
      <c r="H41" s="47" t="s">
        <v>37</v>
      </c>
      <c r="I41" s="144" t="s">
        <v>37</v>
      </c>
      <c r="J41" s="144" t="s">
        <v>37</v>
      </c>
      <c r="L41" s="7"/>
      <c r="M41" s="7"/>
      <c r="N41" s="98">
        <f>ROUND($M$39*N40,2)</f>
        <v>259.85000000000002</v>
      </c>
      <c r="O41" s="98">
        <f t="shared" ref="O41:R41" si="24">ROUND($M$39*O40,2)</f>
        <v>222.73</v>
      </c>
      <c r="P41" s="98">
        <f t="shared" si="24"/>
        <v>185.61</v>
      </c>
      <c r="Q41" s="98">
        <f t="shared" si="24"/>
        <v>185.61</v>
      </c>
      <c r="R41" s="98">
        <f t="shared" si="24"/>
        <v>185.61</v>
      </c>
    </row>
    <row r="42" spans="1:18" ht="16" x14ac:dyDescent="0.2">
      <c r="A42" s="32" t="s">
        <v>18</v>
      </c>
      <c r="B42" s="35" t="s">
        <v>108</v>
      </c>
      <c r="C42" s="30">
        <f>(1/12)*5%</f>
        <v>4.1666666666666666E-3</v>
      </c>
      <c r="D42" s="39">
        <f t="shared" ref="D42:J47" si="25">D$6*$C42</f>
        <v>66.666666666666671</v>
      </c>
      <c r="E42" s="39">
        <f t="shared" si="25"/>
        <v>50.307083333333338</v>
      </c>
      <c r="F42" s="39">
        <f t="shared" si="25"/>
        <v>45.833333333333336</v>
      </c>
      <c r="G42" s="39">
        <f t="shared" si="25"/>
        <v>33.333333333333336</v>
      </c>
      <c r="H42" s="39">
        <f t="shared" si="25"/>
        <v>72.911666666666662</v>
      </c>
      <c r="I42" s="39">
        <f t="shared" ref="I42:I47" si="26">I$6*$C42</f>
        <v>41.666666666666664</v>
      </c>
      <c r="J42" s="39">
        <f t="shared" si="25"/>
        <v>61.854791666666664</v>
      </c>
    </row>
    <row r="43" spans="1:18" ht="15.75" customHeight="1" x14ac:dyDescent="0.2">
      <c r="A43" s="32" t="s">
        <v>19</v>
      </c>
      <c r="B43" s="35" t="s">
        <v>57</v>
      </c>
      <c r="C43" s="30">
        <f>C42*C24</f>
        <v>3.3333333333333332E-4</v>
      </c>
      <c r="D43" s="39">
        <f t="shared" si="25"/>
        <v>5.333333333333333</v>
      </c>
      <c r="E43" s="39">
        <f t="shared" si="25"/>
        <v>4.0245666666666668</v>
      </c>
      <c r="F43" s="39">
        <f t="shared" si="25"/>
        <v>3.6666666666666665</v>
      </c>
      <c r="G43" s="39">
        <f t="shared" si="25"/>
        <v>2.6666666666666665</v>
      </c>
      <c r="H43" s="39">
        <f t="shared" si="25"/>
        <v>5.8329333333333331</v>
      </c>
      <c r="I43" s="39">
        <f t="shared" si="26"/>
        <v>3.333333333333333</v>
      </c>
      <c r="J43" s="39">
        <f t="shared" si="25"/>
        <v>4.9483833333333331</v>
      </c>
    </row>
    <row r="44" spans="1:18" ht="16" x14ac:dyDescent="0.2">
      <c r="A44" s="32" t="s">
        <v>20</v>
      </c>
      <c r="B44" s="145" t="s">
        <v>112</v>
      </c>
      <c r="C44" s="150">
        <v>0.04</v>
      </c>
      <c r="D44" s="39">
        <f t="shared" si="25"/>
        <v>640</v>
      </c>
      <c r="E44" s="39">
        <f t="shared" si="25"/>
        <v>482.94800000000004</v>
      </c>
      <c r="F44" s="39">
        <f t="shared" si="25"/>
        <v>440</v>
      </c>
      <c r="G44" s="39">
        <f t="shared" si="25"/>
        <v>320</v>
      </c>
      <c r="H44" s="39">
        <f t="shared" si="25"/>
        <v>699.952</v>
      </c>
      <c r="I44" s="39">
        <f t="shared" si="26"/>
        <v>400</v>
      </c>
      <c r="J44" s="39">
        <f t="shared" si="25"/>
        <v>593.80600000000004</v>
      </c>
      <c r="K44" s="114"/>
    </row>
    <row r="45" spans="1:18" ht="16" customHeight="1" x14ac:dyDescent="0.2">
      <c r="A45" s="32" t="s">
        <v>21</v>
      </c>
      <c r="B45" s="145" t="s">
        <v>109</v>
      </c>
      <c r="C45" s="40">
        <v>1.9400000000000001E-3</v>
      </c>
      <c r="D45" s="39">
        <f t="shared" si="25"/>
        <v>31.040000000000003</v>
      </c>
      <c r="E45" s="39">
        <f t="shared" si="25"/>
        <v>23.422978000000004</v>
      </c>
      <c r="F45" s="39">
        <f t="shared" si="25"/>
        <v>21.34</v>
      </c>
      <c r="G45" s="39">
        <f t="shared" si="25"/>
        <v>15.520000000000001</v>
      </c>
      <c r="H45" s="39">
        <f t="shared" si="25"/>
        <v>33.947671999999997</v>
      </c>
      <c r="I45" s="39">
        <f t="shared" si="26"/>
        <v>19.400000000000002</v>
      </c>
      <c r="J45" s="39">
        <f t="shared" si="25"/>
        <v>28.799590999999999</v>
      </c>
    </row>
    <row r="46" spans="1:18" ht="15.75" customHeight="1" x14ac:dyDescent="0.2">
      <c r="A46" s="32" t="s">
        <v>22</v>
      </c>
      <c r="B46" s="145" t="s">
        <v>56</v>
      </c>
      <c r="C46" s="40">
        <f>C45*C25</f>
        <v>2.7742000000000006E-4</v>
      </c>
      <c r="D46" s="39">
        <f t="shared" si="25"/>
        <v>4.4387200000000009</v>
      </c>
      <c r="E46" s="39">
        <f t="shared" si="25"/>
        <v>3.349485854000001</v>
      </c>
      <c r="F46" s="39">
        <f t="shared" si="25"/>
        <v>3.0516200000000007</v>
      </c>
      <c r="G46" s="39">
        <f t="shared" si="25"/>
        <v>2.2193600000000004</v>
      </c>
      <c r="H46" s="39">
        <f t="shared" si="25"/>
        <v>4.8545170960000013</v>
      </c>
      <c r="I46" s="39">
        <f t="shared" si="26"/>
        <v>2.7742000000000004</v>
      </c>
      <c r="J46" s="39">
        <f t="shared" si="25"/>
        <v>4.1183415130000007</v>
      </c>
    </row>
    <row r="47" spans="1:18" ht="16.5" customHeight="1" x14ac:dyDescent="0.2">
      <c r="A47" s="32" t="s">
        <v>23</v>
      </c>
      <c r="B47" s="145" t="s">
        <v>113</v>
      </c>
      <c r="C47" s="40">
        <v>0</v>
      </c>
      <c r="D47" s="39">
        <f t="shared" si="25"/>
        <v>0</v>
      </c>
      <c r="E47" s="39">
        <f t="shared" si="25"/>
        <v>0</v>
      </c>
      <c r="F47" s="39">
        <f t="shared" si="25"/>
        <v>0</v>
      </c>
      <c r="G47" s="39">
        <f t="shared" si="25"/>
        <v>0</v>
      </c>
      <c r="H47" s="39">
        <f t="shared" si="25"/>
        <v>0</v>
      </c>
      <c r="I47" s="39">
        <f t="shared" si="26"/>
        <v>0</v>
      </c>
      <c r="J47" s="39">
        <f t="shared" si="25"/>
        <v>0</v>
      </c>
    </row>
    <row r="48" spans="1:18" x14ac:dyDescent="0.2">
      <c r="A48" s="174" t="s">
        <v>55</v>
      </c>
      <c r="B48" s="174"/>
      <c r="C48" s="38">
        <f>SUM(C42:C47)</f>
        <v>4.6717419999999996E-2</v>
      </c>
      <c r="D48" s="36">
        <f>SUM(D42:D47)</f>
        <v>747.47871999999995</v>
      </c>
      <c r="E48" s="36">
        <f t="shared" ref="E48:H48" si="27">SUM(E42:E47)</f>
        <v>564.05211385400014</v>
      </c>
      <c r="F48" s="36">
        <f t="shared" si="27"/>
        <v>513.89161999999999</v>
      </c>
      <c r="G48" s="36">
        <f t="shared" si="27"/>
        <v>373.73935999999998</v>
      </c>
      <c r="H48" s="36">
        <f t="shared" si="27"/>
        <v>817.498789096</v>
      </c>
      <c r="I48" s="36">
        <f t="shared" ref="I48:J48" si="28">SUM(I42:I47)</f>
        <v>467.17419999999998</v>
      </c>
      <c r="J48" s="36">
        <f t="shared" si="28"/>
        <v>693.52710751300003</v>
      </c>
    </row>
    <row r="49" spans="1:13" x14ac:dyDescent="0.2">
      <c r="L49" s="66"/>
    </row>
    <row r="50" spans="1:13" x14ac:dyDescent="0.2">
      <c r="A50" s="164" t="s">
        <v>33</v>
      </c>
      <c r="B50" s="165"/>
      <c r="C50" s="166"/>
      <c r="D50" s="104"/>
      <c r="E50" s="104"/>
      <c r="F50" s="104"/>
      <c r="G50" s="104"/>
      <c r="H50" s="104"/>
      <c r="I50" s="104"/>
      <c r="J50" s="104"/>
    </row>
    <row r="52" spans="1:13" ht="15.75" customHeight="1" x14ac:dyDescent="0.2">
      <c r="A52" s="173" t="s">
        <v>54</v>
      </c>
      <c r="B52" s="173"/>
      <c r="C52" s="173"/>
      <c r="D52" s="47" t="s">
        <v>37</v>
      </c>
      <c r="E52" s="47" t="s">
        <v>37</v>
      </c>
      <c r="F52" s="47" t="s">
        <v>37</v>
      </c>
      <c r="G52" s="47" t="s">
        <v>37</v>
      </c>
      <c r="H52" s="47" t="s">
        <v>37</v>
      </c>
      <c r="I52" s="144" t="s">
        <v>37</v>
      </c>
      <c r="J52" s="144" t="s">
        <v>37</v>
      </c>
    </row>
    <row r="53" spans="1:13" ht="15" customHeight="1" x14ac:dyDescent="0.2">
      <c r="A53" s="32" t="s">
        <v>18</v>
      </c>
      <c r="B53" s="35" t="s">
        <v>124</v>
      </c>
      <c r="C53" s="30">
        <v>0</v>
      </c>
      <c r="D53" s="39">
        <f t="shared" ref="D53:D58" si="29">D$6*$C53</f>
        <v>0</v>
      </c>
      <c r="E53" s="39">
        <f t="shared" ref="E53:J58" si="30">E$6*$C53</f>
        <v>0</v>
      </c>
      <c r="F53" s="39">
        <f t="shared" si="30"/>
        <v>0</v>
      </c>
      <c r="G53" s="39">
        <f t="shared" si="30"/>
        <v>0</v>
      </c>
      <c r="H53" s="39">
        <f t="shared" si="30"/>
        <v>0</v>
      </c>
      <c r="I53" s="39">
        <f t="shared" si="30"/>
        <v>0</v>
      </c>
      <c r="J53" s="39">
        <f t="shared" si="30"/>
        <v>0</v>
      </c>
    </row>
    <row r="54" spans="1:13" ht="15" customHeight="1" x14ac:dyDescent="0.2">
      <c r="A54" s="32" t="s">
        <v>19</v>
      </c>
      <c r="B54" s="145" t="s">
        <v>101</v>
      </c>
      <c r="C54" s="30">
        <f>2469/(432*21*36)</f>
        <v>7.5598912404467962E-3</v>
      </c>
      <c r="D54" s="39">
        <f t="shared" si="29"/>
        <v>120.95825984714874</v>
      </c>
      <c r="E54" s="39">
        <f t="shared" si="30"/>
        <v>91.275858869782482</v>
      </c>
      <c r="F54" s="39">
        <f t="shared" si="30"/>
        <v>83.158803644914755</v>
      </c>
      <c r="G54" s="39">
        <f t="shared" si="30"/>
        <v>60.479129923574369</v>
      </c>
      <c r="H54" s="39">
        <f t="shared" si="30"/>
        <v>132.28902483833039</v>
      </c>
      <c r="I54" s="39">
        <f t="shared" si="30"/>
        <v>75.598912404467967</v>
      </c>
      <c r="J54" s="39">
        <f t="shared" si="30"/>
        <v>112.22771944811875</v>
      </c>
    </row>
    <row r="55" spans="1:13" ht="15" customHeight="1" x14ac:dyDescent="0.2">
      <c r="A55" s="32" t="s">
        <v>20</v>
      </c>
      <c r="B55" s="145" t="s">
        <v>120</v>
      </c>
      <c r="C55" s="30">
        <v>0</v>
      </c>
      <c r="D55" s="39">
        <f t="shared" si="29"/>
        <v>0</v>
      </c>
      <c r="E55" s="39">
        <f t="shared" si="30"/>
        <v>0</v>
      </c>
      <c r="F55" s="39">
        <f t="shared" si="30"/>
        <v>0</v>
      </c>
      <c r="G55" s="39">
        <f t="shared" si="30"/>
        <v>0</v>
      </c>
      <c r="H55" s="39">
        <f t="shared" si="30"/>
        <v>0</v>
      </c>
      <c r="I55" s="39">
        <f t="shared" si="30"/>
        <v>0</v>
      </c>
      <c r="J55" s="39">
        <f t="shared" si="30"/>
        <v>0</v>
      </c>
    </row>
    <row r="56" spans="1:13" ht="15" customHeight="1" x14ac:dyDescent="0.2">
      <c r="A56" s="56" t="s">
        <v>21</v>
      </c>
      <c r="B56" s="149" t="s">
        <v>102</v>
      </c>
      <c r="C56" s="30">
        <v>0</v>
      </c>
      <c r="D56" s="39">
        <f t="shared" si="29"/>
        <v>0</v>
      </c>
      <c r="E56" s="39">
        <f t="shared" si="30"/>
        <v>0</v>
      </c>
      <c r="F56" s="39">
        <f t="shared" si="30"/>
        <v>0</v>
      </c>
      <c r="G56" s="39">
        <f t="shared" si="30"/>
        <v>0</v>
      </c>
      <c r="H56" s="39">
        <f t="shared" si="30"/>
        <v>0</v>
      </c>
      <c r="I56" s="39">
        <f t="shared" si="30"/>
        <v>0</v>
      </c>
      <c r="J56" s="39">
        <f t="shared" si="30"/>
        <v>0</v>
      </c>
    </row>
    <row r="57" spans="1:13" ht="15" customHeight="1" x14ac:dyDescent="0.2">
      <c r="A57" s="32" t="s">
        <v>22</v>
      </c>
      <c r="B57" s="145" t="s">
        <v>121</v>
      </c>
      <c r="C57" s="40">
        <f>(16*7)/(432*21*36)</f>
        <v>3.4293552812071328E-4</v>
      </c>
      <c r="D57" s="39">
        <f t="shared" si="29"/>
        <v>5.4869684499314122</v>
      </c>
      <c r="E57" s="39">
        <f t="shared" si="30"/>
        <v>4.1405006858710562</v>
      </c>
      <c r="F57" s="39">
        <f t="shared" si="30"/>
        <v>3.772290809327846</v>
      </c>
      <c r="G57" s="39">
        <f t="shared" si="30"/>
        <v>2.7434842249657061</v>
      </c>
      <c r="H57" s="39">
        <f t="shared" si="30"/>
        <v>6.0009602194787375</v>
      </c>
      <c r="I57" s="39">
        <f t="shared" si="30"/>
        <v>3.4293552812071328</v>
      </c>
      <c r="J57" s="39">
        <f t="shared" si="30"/>
        <v>5.0909293552812063</v>
      </c>
    </row>
    <row r="58" spans="1:13" ht="15" customHeight="1" x14ac:dyDescent="0.2">
      <c r="A58" s="32" t="s">
        <v>23</v>
      </c>
      <c r="B58" s="35" t="s">
        <v>103</v>
      </c>
      <c r="C58" s="40">
        <v>0</v>
      </c>
      <c r="D58" s="39">
        <f t="shared" si="29"/>
        <v>0</v>
      </c>
      <c r="E58" s="39">
        <f t="shared" si="30"/>
        <v>0</v>
      </c>
      <c r="F58" s="39">
        <f t="shared" si="30"/>
        <v>0</v>
      </c>
      <c r="G58" s="39">
        <f t="shared" si="30"/>
        <v>0</v>
      </c>
      <c r="H58" s="39">
        <f t="shared" si="30"/>
        <v>0</v>
      </c>
      <c r="I58" s="39">
        <f t="shared" si="30"/>
        <v>0</v>
      </c>
      <c r="J58" s="39">
        <f t="shared" si="30"/>
        <v>0</v>
      </c>
    </row>
    <row r="59" spans="1:13" ht="16.5" customHeight="1" x14ac:dyDescent="0.2">
      <c r="A59" s="174" t="s">
        <v>47</v>
      </c>
      <c r="B59" s="174"/>
      <c r="C59" s="38">
        <f>SUM(C53:C58)</f>
        <v>7.9028267685675099E-3</v>
      </c>
      <c r="D59" s="36">
        <f>SUM(D53:D58)</f>
        <v>126.44522829708015</v>
      </c>
      <c r="E59" s="36">
        <f t="shared" ref="E59:H59" si="31">SUM(E53:E58)</f>
        <v>95.416359555653543</v>
      </c>
      <c r="F59" s="36">
        <f t="shared" si="31"/>
        <v>86.931094454242597</v>
      </c>
      <c r="G59" s="36">
        <f t="shared" si="31"/>
        <v>63.222614148540075</v>
      </c>
      <c r="H59" s="36">
        <f t="shared" si="31"/>
        <v>138.28998505780913</v>
      </c>
      <c r="I59" s="36">
        <f t="shared" ref="I59:J59" si="32">SUM(I53:I58)</f>
        <v>79.028267685675104</v>
      </c>
      <c r="J59" s="36">
        <f t="shared" si="32"/>
        <v>117.31864880339995</v>
      </c>
    </row>
    <row r="61" spans="1:13" x14ac:dyDescent="0.2">
      <c r="A61" s="164" t="s">
        <v>53</v>
      </c>
      <c r="B61" s="165"/>
      <c r="C61" s="166"/>
      <c r="D61" s="47" t="s">
        <v>37</v>
      </c>
      <c r="E61" s="47" t="s">
        <v>37</v>
      </c>
      <c r="F61" s="47" t="s">
        <v>37</v>
      </c>
      <c r="G61" s="47" t="s">
        <v>37</v>
      </c>
      <c r="H61" s="47" t="s">
        <v>37</v>
      </c>
      <c r="I61" s="144" t="s">
        <v>37</v>
      </c>
      <c r="J61" s="144" t="s">
        <v>37</v>
      </c>
      <c r="L61" s="41"/>
      <c r="M61" s="41"/>
    </row>
    <row r="62" spans="1:13" ht="16" x14ac:dyDescent="0.2">
      <c r="A62" s="32" t="s">
        <v>18</v>
      </c>
      <c r="B62" s="169" t="s">
        <v>52</v>
      </c>
      <c r="C62" s="169"/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</row>
    <row r="63" spans="1:13" x14ac:dyDescent="0.2">
      <c r="A63" s="181" t="s">
        <v>47</v>
      </c>
      <c r="B63" s="182"/>
      <c r="C63" s="183"/>
      <c r="D63" s="36">
        <f>SUM(D62:D62)</f>
        <v>0</v>
      </c>
      <c r="E63" s="36">
        <f t="shared" ref="E63:H63" si="33">SUM(E62:E62)</f>
        <v>0</v>
      </c>
      <c r="F63" s="36">
        <f t="shared" si="33"/>
        <v>0</v>
      </c>
      <c r="G63" s="36">
        <f t="shared" si="33"/>
        <v>0</v>
      </c>
      <c r="H63" s="36">
        <f t="shared" si="33"/>
        <v>0</v>
      </c>
      <c r="I63" s="36">
        <f t="shared" ref="I63:J63" si="34">SUM(I62:I62)</f>
        <v>0</v>
      </c>
      <c r="J63" s="36">
        <f t="shared" si="34"/>
        <v>0</v>
      </c>
    </row>
    <row r="64" spans="1:13" x14ac:dyDescent="0.2">
      <c r="D64" s="22"/>
      <c r="E64" s="22"/>
      <c r="F64" s="22"/>
      <c r="G64" s="22"/>
      <c r="H64" s="22"/>
      <c r="I64" s="22"/>
      <c r="J64" s="22"/>
    </row>
    <row r="65" spans="1:10" ht="15.75" customHeight="1" x14ac:dyDescent="0.2">
      <c r="A65" s="164" t="s">
        <v>81</v>
      </c>
      <c r="B65" s="165"/>
      <c r="C65" s="166"/>
      <c r="D65" s="47" t="s">
        <v>37</v>
      </c>
      <c r="E65" s="47" t="s">
        <v>37</v>
      </c>
      <c r="F65" s="47" t="s">
        <v>37</v>
      </c>
      <c r="G65" s="47" t="s">
        <v>37</v>
      </c>
      <c r="H65" s="47" t="s">
        <v>37</v>
      </c>
      <c r="I65" s="144" t="s">
        <v>37</v>
      </c>
      <c r="J65" s="144" t="s">
        <v>37</v>
      </c>
    </row>
    <row r="66" spans="1:10" ht="16" x14ac:dyDescent="0.2">
      <c r="A66" s="50" t="s">
        <v>51</v>
      </c>
      <c r="B66" s="167" t="s">
        <v>50</v>
      </c>
      <c r="C66" s="167"/>
      <c r="D66" s="49">
        <f>D59</f>
        <v>126.44522829708015</v>
      </c>
      <c r="E66" s="49">
        <f t="shared" ref="E66:H66" si="35">E59</f>
        <v>95.416359555653543</v>
      </c>
      <c r="F66" s="49">
        <f t="shared" si="35"/>
        <v>86.931094454242597</v>
      </c>
      <c r="G66" s="49">
        <f>G59</f>
        <v>63.222614148540075</v>
      </c>
      <c r="H66" s="49">
        <f t="shared" si="35"/>
        <v>138.28998505780913</v>
      </c>
      <c r="I66" s="49">
        <f t="shared" ref="I66:J66" si="36">I59</f>
        <v>79.028267685675104</v>
      </c>
      <c r="J66" s="49">
        <f t="shared" si="36"/>
        <v>117.31864880339995</v>
      </c>
    </row>
    <row r="67" spans="1:10" ht="16" x14ac:dyDescent="0.2">
      <c r="A67" s="50" t="s">
        <v>49</v>
      </c>
      <c r="B67" s="167" t="s">
        <v>48</v>
      </c>
      <c r="C67" s="167"/>
      <c r="D67" s="49">
        <f>D63</f>
        <v>0</v>
      </c>
      <c r="E67" s="49">
        <f t="shared" ref="E67:H67" si="37">E63</f>
        <v>0</v>
      </c>
      <c r="F67" s="49">
        <f t="shared" si="37"/>
        <v>0</v>
      </c>
      <c r="G67" s="49">
        <f t="shared" si="37"/>
        <v>0</v>
      </c>
      <c r="H67" s="49">
        <f t="shared" si="37"/>
        <v>0</v>
      </c>
      <c r="I67" s="49">
        <f t="shared" ref="I67:J67" si="38">I63</f>
        <v>0</v>
      </c>
      <c r="J67" s="49">
        <f t="shared" si="38"/>
        <v>0</v>
      </c>
    </row>
    <row r="68" spans="1:10" ht="15.75" customHeight="1" x14ac:dyDescent="0.2">
      <c r="A68" s="181" t="s">
        <v>47</v>
      </c>
      <c r="B68" s="182"/>
      <c r="C68" s="183"/>
      <c r="D68" s="36">
        <f>SUM(D66:D67)</f>
        <v>126.44522829708015</v>
      </c>
      <c r="E68" s="36">
        <f t="shared" ref="E68:H68" si="39">SUM(E66:E67)</f>
        <v>95.416359555653543</v>
      </c>
      <c r="F68" s="36">
        <f t="shared" si="39"/>
        <v>86.931094454242597</v>
      </c>
      <c r="G68" s="36">
        <f t="shared" si="39"/>
        <v>63.222614148540075</v>
      </c>
      <c r="H68" s="36">
        <f t="shared" si="39"/>
        <v>138.28998505780913</v>
      </c>
      <c r="I68" s="36">
        <f t="shared" ref="I68:J68" si="40">SUM(I66:I67)</f>
        <v>79.028267685675104</v>
      </c>
      <c r="J68" s="36">
        <f t="shared" si="40"/>
        <v>117.31864880339995</v>
      </c>
    </row>
    <row r="70" spans="1:10" x14ac:dyDescent="0.2">
      <c r="A70" s="164" t="s">
        <v>32</v>
      </c>
      <c r="B70" s="165"/>
      <c r="C70" s="166"/>
      <c r="D70" s="47" t="s">
        <v>37</v>
      </c>
      <c r="E70" s="47" t="s">
        <v>37</v>
      </c>
      <c r="F70" s="47" t="s">
        <v>37</v>
      </c>
      <c r="G70" s="47" t="s">
        <v>37</v>
      </c>
      <c r="H70" s="47" t="s">
        <v>37</v>
      </c>
      <c r="I70" s="144" t="s">
        <v>37</v>
      </c>
      <c r="J70" s="144" t="s">
        <v>37</v>
      </c>
    </row>
    <row r="71" spans="1:10" ht="16" x14ac:dyDescent="0.2">
      <c r="A71" s="32" t="s">
        <v>18</v>
      </c>
      <c r="B71" s="168"/>
      <c r="C71" s="168"/>
      <c r="D71" s="59"/>
      <c r="E71" s="59"/>
      <c r="F71" s="59"/>
      <c r="G71" s="59"/>
      <c r="H71" s="59"/>
      <c r="I71" s="59"/>
      <c r="J71" s="59"/>
    </row>
    <row r="72" spans="1:10" ht="15.75" customHeight="1" x14ac:dyDescent="0.2">
      <c r="A72" s="32" t="s">
        <v>19</v>
      </c>
      <c r="B72" s="168"/>
      <c r="C72" s="168"/>
      <c r="D72" s="107"/>
      <c r="E72" s="107"/>
      <c r="F72" s="107"/>
      <c r="G72" s="107"/>
      <c r="H72" s="107"/>
      <c r="I72" s="107"/>
      <c r="J72" s="107"/>
    </row>
    <row r="73" spans="1:10" ht="16.75" customHeight="1" x14ac:dyDescent="0.2">
      <c r="A73" s="32" t="s">
        <v>20</v>
      </c>
      <c r="B73" s="179"/>
      <c r="C73" s="180"/>
      <c r="D73" s="25"/>
      <c r="E73" s="25"/>
      <c r="F73" s="25"/>
      <c r="G73" s="25"/>
      <c r="H73" s="25"/>
      <c r="I73" s="25"/>
      <c r="J73" s="25"/>
    </row>
    <row r="74" spans="1:10" ht="16" x14ac:dyDescent="0.2">
      <c r="A74" s="32" t="s">
        <v>21</v>
      </c>
      <c r="B74" s="169"/>
      <c r="C74" s="169"/>
      <c r="D74" s="25"/>
      <c r="E74" s="25"/>
      <c r="F74" s="25"/>
      <c r="G74" s="25"/>
      <c r="H74" s="25"/>
      <c r="I74" s="25"/>
      <c r="J74" s="25"/>
    </row>
    <row r="75" spans="1:10" x14ac:dyDescent="0.2">
      <c r="A75" s="181" t="s">
        <v>47</v>
      </c>
      <c r="B75" s="182"/>
      <c r="C75" s="183"/>
      <c r="D75" s="36">
        <f>SUM(D71:D74)</f>
        <v>0</v>
      </c>
      <c r="E75" s="36">
        <f t="shared" ref="E75:J75" si="41">SUM(E71:E74)</f>
        <v>0</v>
      </c>
      <c r="F75" s="36">
        <f t="shared" si="41"/>
        <v>0</v>
      </c>
      <c r="G75" s="36">
        <f t="shared" si="41"/>
        <v>0</v>
      </c>
      <c r="H75" s="36">
        <f t="shared" si="41"/>
        <v>0</v>
      </c>
      <c r="I75" s="36">
        <f t="shared" si="41"/>
        <v>0</v>
      </c>
      <c r="J75" s="36">
        <f t="shared" si="41"/>
        <v>0</v>
      </c>
    </row>
    <row r="76" spans="1:10" ht="15.75" customHeight="1" x14ac:dyDescent="0.2"/>
    <row r="77" spans="1:10" ht="16.5" customHeight="1" x14ac:dyDescent="0.2">
      <c r="A77" s="164" t="s">
        <v>46</v>
      </c>
      <c r="B77" s="165"/>
      <c r="C77" s="166"/>
      <c r="D77" s="47" t="s">
        <v>37</v>
      </c>
      <c r="E77" s="47" t="s">
        <v>37</v>
      </c>
      <c r="F77" s="47" t="s">
        <v>37</v>
      </c>
      <c r="G77" s="47" t="s">
        <v>37</v>
      </c>
      <c r="H77" s="47" t="s">
        <v>37</v>
      </c>
      <c r="I77" s="144" t="s">
        <v>37</v>
      </c>
      <c r="J77" s="144" t="s">
        <v>37</v>
      </c>
    </row>
    <row r="78" spans="1:10" x14ac:dyDescent="0.2">
      <c r="A78" s="187" t="s">
        <v>18</v>
      </c>
      <c r="B78" s="193" t="s">
        <v>45</v>
      </c>
      <c r="C78" s="194"/>
      <c r="D78" s="116">
        <f>VLOOKUP(D$2,'Tabela de Apoio'!$B$3:$H$10,'Tabela de Apoio'!$G$1,0)</f>
        <v>0.03</v>
      </c>
      <c r="E78" s="116">
        <f>VLOOKUP(E$2,'Tabela de Apoio'!$B$3:$H$10,'Tabela de Apoio'!$G$1,0)</f>
        <v>0.03</v>
      </c>
      <c r="F78" s="116">
        <f>VLOOKUP(F$2,'Tabela de Apoio'!$B$3:$H$10,'Tabela de Apoio'!$G$1,0)</f>
        <v>0.03</v>
      </c>
      <c r="G78" s="116">
        <f>VLOOKUP(G$2,'Tabela de Apoio'!$B$3:$H$10,'Tabela de Apoio'!$G$1,0)</f>
        <v>0.03</v>
      </c>
      <c r="H78" s="116">
        <f>VLOOKUP(H$2,'Tabela de Apoio'!$B$3:$H$10,'Tabela de Apoio'!$G$1,0)</f>
        <v>0.03</v>
      </c>
      <c r="I78" s="116">
        <f>VLOOKUP(I$2,'Tabela de Apoio'!$B$3:$H$10,'Tabela de Apoio'!$G$1,0)</f>
        <v>0.03</v>
      </c>
      <c r="J78" s="116">
        <f>VLOOKUP(J$2,'Tabela de Apoio'!$B$3:$H$10,'Tabela de Apoio'!$G$1,0)</f>
        <v>0.03</v>
      </c>
    </row>
    <row r="79" spans="1:10" x14ac:dyDescent="0.2">
      <c r="A79" s="188"/>
      <c r="B79" s="195"/>
      <c r="C79" s="196"/>
      <c r="D79" s="58">
        <f>D$99*D$78</f>
        <v>709.7358584489125</v>
      </c>
      <c r="E79" s="58">
        <f t="shared" ref="E79:J79" si="42">E$99*E$78</f>
        <v>541.15939288528955</v>
      </c>
      <c r="F79" s="58">
        <f t="shared" si="42"/>
        <v>495.05987143362717</v>
      </c>
      <c r="G79" s="58">
        <f t="shared" si="42"/>
        <v>367.3096792244562</v>
      </c>
      <c r="H79" s="58">
        <f t="shared" si="42"/>
        <v>774.0871323166142</v>
      </c>
      <c r="I79" s="58">
        <f t="shared" si="42"/>
        <v>452.12467403057019</v>
      </c>
      <c r="J79" s="58">
        <f t="shared" si="42"/>
        <v>660.15214572799198</v>
      </c>
    </row>
    <row r="80" spans="1:10" x14ac:dyDescent="0.2">
      <c r="A80" s="187" t="s">
        <v>19</v>
      </c>
      <c r="B80" s="193" t="s">
        <v>44</v>
      </c>
      <c r="C80" s="194"/>
      <c r="D80" s="116">
        <f>VLOOKUP(D$2,'Tabela de Apoio'!$B$3:$H$10,'Tabela de Apoio'!$H$1,0)</f>
        <v>0.10931878098156576</v>
      </c>
      <c r="E80" s="116">
        <f>VLOOKUP(E$2,'Tabela de Apoio'!$B$3:$H$10,'Tabela de Apoio'!$H$1,0)</f>
        <v>0.10940702565185578</v>
      </c>
      <c r="F80" s="116">
        <f>VLOOKUP(F$2,'Tabela de Apoio'!$B$3:$H$10,'Tabela de Apoio'!$H$1,0)</f>
        <v>0.10944162998699009</v>
      </c>
      <c r="G80" s="116">
        <f>VLOOKUP(G$2,'Tabela de Apoio'!$B$3:$H$10,'Tabela de Apoio'!$H$1,0)</f>
        <v>0.10960824814473712</v>
      </c>
      <c r="H80" s="116">
        <f>VLOOKUP(H$2,'Tabela de Apoio'!$B$3:$H$10,'Tabela de Apoio'!$H$1,0)</f>
        <v>0.10929524139623746</v>
      </c>
      <c r="I80" s="116">
        <f>VLOOKUP(I$2,'Tabela de Apoio'!$B$3:$H$10,'Tabela de Apoio'!$H$1,0)</f>
        <v>0.1094801885166085</v>
      </c>
      <c r="J80" s="116">
        <f>VLOOKUP(J$2,'Tabela de Apoio'!$B$3:$H$10,'Tabela de Apoio'!$H$1,0)</f>
        <v>0.10934005921888849</v>
      </c>
    </row>
    <row r="81" spans="1:11" x14ac:dyDescent="0.2">
      <c r="A81" s="188"/>
      <c r="B81" s="195"/>
      <c r="C81" s="196"/>
      <c r="D81" s="58">
        <f>(D$99+D79)*D$80</f>
        <v>2663.8360876825477</v>
      </c>
      <c r="E81" s="58">
        <f t="shared" ref="E81:H81" si="43">(E$99+E79)*E$80</f>
        <v>2032.7612922172627</v>
      </c>
      <c r="F81" s="58">
        <f t="shared" si="43"/>
        <v>1860.1854682990427</v>
      </c>
      <c r="G81" s="58">
        <f t="shared" si="43"/>
        <v>1382.2658526796642</v>
      </c>
      <c r="H81" s="58">
        <f t="shared" si="43"/>
        <v>2904.7387062637845</v>
      </c>
      <c r="I81" s="58">
        <f t="shared" ref="I81:J81" si="44">(I$99+I79)*I$80</f>
        <v>1699.4551794084434</v>
      </c>
      <c r="J81" s="58">
        <f t="shared" si="44"/>
        <v>2478.2168982865401</v>
      </c>
    </row>
    <row r="82" spans="1:11" ht="16" x14ac:dyDescent="0.2">
      <c r="A82" s="32"/>
      <c r="B82" s="35"/>
      <c r="C82" s="112" t="s">
        <v>76</v>
      </c>
      <c r="D82" s="60">
        <f>D79+D81</f>
        <v>3373.5719461314602</v>
      </c>
      <c r="E82" s="60">
        <f t="shared" ref="E82:H82" si="45">E79+E81</f>
        <v>2573.9206851025524</v>
      </c>
      <c r="F82" s="60">
        <f t="shared" si="45"/>
        <v>2355.2453397326699</v>
      </c>
      <c r="G82" s="60">
        <f t="shared" si="45"/>
        <v>1749.5755319041205</v>
      </c>
      <c r="H82" s="60">
        <f t="shared" si="45"/>
        <v>3678.8258385803988</v>
      </c>
      <c r="I82" s="60">
        <f t="shared" ref="I82:J82" si="46">I79+I81</f>
        <v>2151.5798534390137</v>
      </c>
      <c r="J82" s="60">
        <f t="shared" si="46"/>
        <v>3138.3690440145319</v>
      </c>
    </row>
    <row r="83" spans="1:11" ht="16" x14ac:dyDescent="0.2">
      <c r="A83" s="26" t="s">
        <v>20</v>
      </c>
      <c r="B83" s="26" t="s">
        <v>11</v>
      </c>
      <c r="C83" s="34">
        <f>SUM(C84:C87)</f>
        <v>0.10149999999999999</v>
      </c>
      <c r="D83" s="60"/>
      <c r="E83" s="60"/>
      <c r="F83" s="60"/>
      <c r="G83" s="60"/>
      <c r="H83" s="60"/>
      <c r="I83" s="60"/>
      <c r="J83" s="60"/>
    </row>
    <row r="84" spans="1:11" ht="30" x14ac:dyDescent="0.2">
      <c r="A84" s="32" t="s">
        <v>43</v>
      </c>
      <c r="B84" s="33" t="s">
        <v>12</v>
      </c>
      <c r="C84" s="30">
        <f>'Tabela de Apoio'!E12</f>
        <v>0.03</v>
      </c>
      <c r="D84" s="117">
        <f>((D$99+D$82)/(1-$C$83)*$C84)</f>
        <v>902.55204989744709</v>
      </c>
      <c r="E84" s="117">
        <f t="shared" ref="E84:J86" si="47">((E$99+E$82)/(1-$C$83)*$C84)</f>
        <v>688.23262486184319</v>
      </c>
      <c r="F84" s="117">
        <f>((F$99+F$82)/(1-$C$83)*$C84)</f>
        <v>629.62407526500544</v>
      </c>
      <c r="G84" s="117">
        <f t="shared" si="47"/>
        <v>467.21974978472991</v>
      </c>
      <c r="H84" s="117">
        <f t="shared" si="47"/>
        <v>984.36494988761967</v>
      </c>
      <c r="I84" s="117">
        <f t="shared" si="47"/>
        <v>575.0384748288709</v>
      </c>
      <c r="J84" s="117">
        <f t="shared" si="47"/>
        <v>839.5138754017006</v>
      </c>
    </row>
    <row r="85" spans="1:11" ht="30" x14ac:dyDescent="0.2">
      <c r="A85" s="32" t="s">
        <v>42</v>
      </c>
      <c r="B85" s="33" t="s">
        <v>13</v>
      </c>
      <c r="C85" s="30">
        <f>'Tabela de Apoio'!E13</f>
        <v>6.4999999999999997E-3</v>
      </c>
      <c r="D85" s="117">
        <f>((D$99+D$82)/(1-$C$83)*$C85)</f>
        <v>195.55294414444688</v>
      </c>
      <c r="E85" s="117">
        <f t="shared" si="47"/>
        <v>149.11706872006604</v>
      </c>
      <c r="F85" s="117">
        <f>((F$99+F$82)/(1-$C$83)*$C85)</f>
        <v>136.41854964075117</v>
      </c>
      <c r="G85" s="117">
        <f t="shared" si="47"/>
        <v>101.23094578669148</v>
      </c>
      <c r="H85" s="117">
        <f t="shared" si="47"/>
        <v>213.27907247565091</v>
      </c>
      <c r="I85" s="117">
        <f t="shared" si="47"/>
        <v>124.59166954625537</v>
      </c>
      <c r="J85" s="117">
        <f t="shared" si="47"/>
        <v>181.8946730037018</v>
      </c>
    </row>
    <row r="86" spans="1:11" ht="16" x14ac:dyDescent="0.2">
      <c r="A86" s="32" t="s">
        <v>41</v>
      </c>
      <c r="B86" s="31" t="s">
        <v>97</v>
      </c>
      <c r="C86" s="30">
        <f>IF(C17=0,4.5%,0)</f>
        <v>4.4999999999999998E-2</v>
      </c>
      <c r="D86" s="117">
        <f>((D$99+D$82)/(1-$C$83)*$C86)</f>
        <v>1353.8280748461707</v>
      </c>
      <c r="E86" s="117">
        <f t="shared" si="47"/>
        <v>1032.3489372927647</v>
      </c>
      <c r="F86" s="117">
        <f>((F$99+F$82)/(1-$C$83)*$C86)</f>
        <v>944.43611289750811</v>
      </c>
      <c r="G86" s="117">
        <f t="shared" si="47"/>
        <v>700.8296246770949</v>
      </c>
      <c r="H86" s="117">
        <f t="shared" si="47"/>
        <v>1476.5474248314295</v>
      </c>
      <c r="I86" s="117">
        <f t="shared" si="47"/>
        <v>862.55771224330647</v>
      </c>
      <c r="J86" s="117">
        <f t="shared" si="47"/>
        <v>1259.2708131025508</v>
      </c>
    </row>
    <row r="87" spans="1:11" ht="15.75" customHeight="1" x14ac:dyDescent="0.2">
      <c r="A87" s="32" t="s">
        <v>40</v>
      </c>
      <c r="B87" s="31" t="s">
        <v>98</v>
      </c>
      <c r="C87" s="30">
        <f>'Tabela de Apoio'!E14</f>
        <v>0.02</v>
      </c>
      <c r="D87" s="117">
        <f>((D$99+D$82)/(1-$C$83)*$C87)</f>
        <v>601.70136659829814</v>
      </c>
      <c r="E87" s="117">
        <f t="shared" ref="E87:J87" si="48">((E$99+E$82)/(1-$C$83)*$C87)</f>
        <v>458.82174990789554</v>
      </c>
      <c r="F87" s="117">
        <f>((F$99+F$82)/(1-$C$83)*$C87)</f>
        <v>419.74938351000361</v>
      </c>
      <c r="G87" s="117">
        <f t="shared" si="48"/>
        <v>311.47983318981994</v>
      </c>
      <c r="H87" s="117">
        <f t="shared" si="48"/>
        <v>656.24329992507978</v>
      </c>
      <c r="I87" s="117">
        <f t="shared" si="48"/>
        <v>383.35898321924731</v>
      </c>
      <c r="J87" s="117">
        <f t="shared" si="48"/>
        <v>559.67591693446707</v>
      </c>
    </row>
    <row r="88" spans="1:11" ht="15.75" customHeight="1" x14ac:dyDescent="0.2">
      <c r="A88" s="32"/>
      <c r="B88" s="31"/>
      <c r="C88" s="112" t="s">
        <v>0</v>
      </c>
      <c r="D88" s="118">
        <f>SUM(D82:D87)</f>
        <v>6427.2063816178234</v>
      </c>
      <c r="E88" s="118">
        <f t="shared" ref="E88:H88" si="49">SUM(E82:E87)</f>
        <v>4902.441065885122</v>
      </c>
      <c r="F88" s="118">
        <f t="shared" si="49"/>
        <v>4485.4734610459391</v>
      </c>
      <c r="G88" s="118">
        <f t="shared" si="49"/>
        <v>3330.3356853424566</v>
      </c>
      <c r="H88" s="118">
        <f t="shared" si="49"/>
        <v>7009.2605857001781</v>
      </c>
      <c r="I88" s="118">
        <f t="shared" ref="I88:J88" si="50">SUM(I82:I87)</f>
        <v>4097.1266932766939</v>
      </c>
      <c r="J88" s="118">
        <f t="shared" si="50"/>
        <v>5978.724322456952</v>
      </c>
    </row>
    <row r="89" spans="1:11" ht="15.75" customHeight="1" x14ac:dyDescent="0.2">
      <c r="A89" s="189" t="s">
        <v>114</v>
      </c>
      <c r="B89" s="190"/>
      <c r="C89" s="38"/>
      <c r="D89" s="29">
        <f>ROUND((1+D78+D80+(D78*D80))/(1-$C$83)-1,10)</f>
        <v>0.27167317130000002</v>
      </c>
      <c r="E89" s="29">
        <f t="shared" ref="E89:H89" si="51">ROUND((1+E78+E80+(E78*E80))/(1-$C$83)-1,10)</f>
        <v>0.27177433099999998</v>
      </c>
      <c r="F89" s="29">
        <f t="shared" si="51"/>
        <v>0.27181399989999999</v>
      </c>
      <c r="G89" s="29">
        <f t="shared" si="51"/>
        <v>0.2720050034</v>
      </c>
      <c r="H89" s="29">
        <f t="shared" si="51"/>
        <v>0.27164618660000001</v>
      </c>
      <c r="I89" s="29">
        <f t="shared" ref="I89:J89" si="52">ROUND((1+I78+I80+(I78*I80))/(1-$C$83)-1,10)</f>
        <v>0.27185820160000002</v>
      </c>
      <c r="J89" s="29">
        <f t="shared" si="52"/>
        <v>0.27169756369999998</v>
      </c>
    </row>
    <row r="90" spans="1:11" ht="15" customHeight="1" x14ac:dyDescent="0.2">
      <c r="A90" s="191"/>
      <c r="B90" s="192"/>
      <c r="C90" s="119"/>
      <c r="D90" s="28">
        <f>D99*D89</f>
        <v>6427.2063816714654</v>
      </c>
      <c r="E90" s="28">
        <f t="shared" ref="E90:H90" si="53">E99*E89</f>
        <v>4902.4410655255242</v>
      </c>
      <c r="F90" s="28">
        <f t="shared" si="53"/>
        <v>4485.4734614784647</v>
      </c>
      <c r="G90" s="28">
        <f t="shared" si="53"/>
        <v>3330.3356848767039</v>
      </c>
      <c r="H90" s="28">
        <f t="shared" si="53"/>
        <v>7009.2605863312629</v>
      </c>
      <c r="I90" s="28">
        <f t="shared" ref="I90:J90" si="54">I99*I89</f>
        <v>4097.1266926979015</v>
      </c>
      <c r="J90" s="28">
        <f t="shared" si="54"/>
        <v>5978.724322187426</v>
      </c>
    </row>
    <row r="92" spans="1:11" x14ac:dyDescent="0.2">
      <c r="A92" s="164" t="s">
        <v>39</v>
      </c>
      <c r="B92" s="165"/>
      <c r="C92" s="166"/>
      <c r="D92" s="47">
        <f>D2</f>
        <v>1</v>
      </c>
      <c r="E92" s="144">
        <f t="shared" ref="E92:J92" si="55">E2</f>
        <v>2</v>
      </c>
      <c r="F92" s="144">
        <f t="shared" si="55"/>
        <v>3</v>
      </c>
      <c r="G92" s="144">
        <f t="shared" si="55"/>
        <v>4</v>
      </c>
      <c r="H92" s="144">
        <f t="shared" si="55"/>
        <v>5</v>
      </c>
      <c r="I92" s="144">
        <f t="shared" si="55"/>
        <v>6</v>
      </c>
      <c r="J92" s="144">
        <f t="shared" si="55"/>
        <v>7</v>
      </c>
    </row>
    <row r="93" spans="1:11" x14ac:dyDescent="0.2">
      <c r="A93" s="181" t="s">
        <v>38</v>
      </c>
      <c r="B93" s="182"/>
      <c r="C93" s="183"/>
      <c r="D93" s="48" t="s">
        <v>37</v>
      </c>
      <c r="E93" s="48" t="s">
        <v>37</v>
      </c>
      <c r="F93" s="48" t="s">
        <v>37</v>
      </c>
      <c r="G93" s="48" t="s">
        <v>37</v>
      </c>
      <c r="H93" s="48" t="s">
        <v>37</v>
      </c>
      <c r="I93" s="48" t="s">
        <v>37</v>
      </c>
      <c r="J93" s="48" t="s">
        <v>37</v>
      </c>
    </row>
    <row r="94" spans="1:11" ht="16" x14ac:dyDescent="0.2">
      <c r="A94" s="26" t="s">
        <v>18</v>
      </c>
      <c r="B94" s="169" t="s">
        <v>36</v>
      </c>
      <c r="C94" s="169"/>
      <c r="D94" s="25">
        <f>D6</f>
        <v>16000</v>
      </c>
      <c r="E94" s="25">
        <f t="shared" ref="E94:H94" si="56">E6</f>
        <v>12073.7</v>
      </c>
      <c r="F94" s="25">
        <f t="shared" si="56"/>
        <v>11000</v>
      </c>
      <c r="G94" s="25">
        <f t="shared" si="56"/>
        <v>8000</v>
      </c>
      <c r="H94" s="25">
        <f t="shared" si="56"/>
        <v>17498.8</v>
      </c>
      <c r="I94" s="25">
        <f t="shared" ref="I94:J94" si="57">I6</f>
        <v>10000</v>
      </c>
      <c r="J94" s="25">
        <f t="shared" si="57"/>
        <v>14845.15</v>
      </c>
    </row>
    <row r="95" spans="1:11" ht="16" x14ac:dyDescent="0.2">
      <c r="A95" s="26" t="s">
        <v>19</v>
      </c>
      <c r="B95" s="169" t="s">
        <v>35</v>
      </c>
      <c r="C95" s="169"/>
      <c r="D95" s="25">
        <f>D39</f>
        <v>6783.9380000000001</v>
      </c>
      <c r="E95" s="25">
        <f t="shared" ref="E95:H95" si="58">E39</f>
        <v>5305.4779560999996</v>
      </c>
      <c r="F95" s="25">
        <f t="shared" si="58"/>
        <v>4901.1729999999998</v>
      </c>
      <c r="G95" s="25">
        <f t="shared" si="58"/>
        <v>3806.694</v>
      </c>
      <c r="H95" s="25">
        <f t="shared" si="58"/>
        <v>7348.3156364000006</v>
      </c>
      <c r="I95" s="25">
        <f t="shared" ref="I95:J95" si="59">I39</f>
        <v>4524.62</v>
      </c>
      <c r="J95" s="25">
        <f t="shared" si="59"/>
        <v>6349.0757679500002</v>
      </c>
      <c r="K95" s="66"/>
    </row>
    <row r="96" spans="1:11" ht="16" x14ac:dyDescent="0.2">
      <c r="A96" s="26" t="s">
        <v>20</v>
      </c>
      <c r="B96" s="169" t="s">
        <v>34</v>
      </c>
      <c r="C96" s="169"/>
      <c r="D96" s="25">
        <f>D48</f>
        <v>747.47871999999995</v>
      </c>
      <c r="E96" s="25">
        <f t="shared" ref="E96:H96" si="60">E48</f>
        <v>564.05211385400014</v>
      </c>
      <c r="F96" s="25">
        <f t="shared" si="60"/>
        <v>513.89161999999999</v>
      </c>
      <c r="G96" s="25">
        <f t="shared" si="60"/>
        <v>373.73935999999998</v>
      </c>
      <c r="H96" s="25">
        <f t="shared" si="60"/>
        <v>817.498789096</v>
      </c>
      <c r="I96" s="25">
        <f t="shared" ref="I96:J96" si="61">I48</f>
        <v>467.17419999999998</v>
      </c>
      <c r="J96" s="25">
        <f t="shared" si="61"/>
        <v>693.52710751300003</v>
      </c>
    </row>
    <row r="97" spans="1:11" ht="16" x14ac:dyDescent="0.2">
      <c r="A97" s="26" t="s">
        <v>21</v>
      </c>
      <c r="B97" s="169" t="s">
        <v>33</v>
      </c>
      <c r="C97" s="169"/>
      <c r="D97" s="25">
        <f>D68</f>
        <v>126.44522829708015</v>
      </c>
      <c r="E97" s="25">
        <f t="shared" ref="E97:H97" si="62">E68</f>
        <v>95.416359555653543</v>
      </c>
      <c r="F97" s="25">
        <f t="shared" si="62"/>
        <v>86.931094454242597</v>
      </c>
      <c r="G97" s="25">
        <f t="shared" si="62"/>
        <v>63.222614148540075</v>
      </c>
      <c r="H97" s="25">
        <f t="shared" si="62"/>
        <v>138.28998505780913</v>
      </c>
      <c r="I97" s="25">
        <f t="shared" ref="I97:J97" si="63">I68</f>
        <v>79.028267685675104</v>
      </c>
      <c r="J97" s="25">
        <f t="shared" si="63"/>
        <v>117.31864880339995</v>
      </c>
    </row>
    <row r="98" spans="1:11" ht="16" x14ac:dyDescent="0.2">
      <c r="A98" s="26" t="s">
        <v>22</v>
      </c>
      <c r="B98" s="169" t="s">
        <v>32</v>
      </c>
      <c r="C98" s="169"/>
      <c r="D98" s="25">
        <f>D75</f>
        <v>0</v>
      </c>
      <c r="E98" s="25">
        <f t="shared" ref="E98:H98" si="64">E75</f>
        <v>0</v>
      </c>
      <c r="F98" s="25">
        <f t="shared" si="64"/>
        <v>0</v>
      </c>
      <c r="G98" s="25">
        <f t="shared" si="64"/>
        <v>0</v>
      </c>
      <c r="H98" s="25">
        <f t="shared" si="64"/>
        <v>0</v>
      </c>
      <c r="I98" s="25">
        <f t="shared" ref="I98:J98" si="65">I75</f>
        <v>0</v>
      </c>
      <c r="J98" s="25">
        <f t="shared" si="65"/>
        <v>0</v>
      </c>
      <c r="K98" s="27"/>
    </row>
    <row r="99" spans="1:11" x14ac:dyDescent="0.2">
      <c r="A99" s="184" t="s">
        <v>82</v>
      </c>
      <c r="B99" s="184"/>
      <c r="C99" s="184"/>
      <c r="D99" s="24">
        <f>SUM(D94:D98)</f>
        <v>23657.861948297083</v>
      </c>
      <c r="E99" s="24">
        <f t="shared" ref="E99:H99" si="66">SUM(E94:E98)</f>
        <v>18038.646429509652</v>
      </c>
      <c r="F99" s="24">
        <f t="shared" si="66"/>
        <v>16501.995714454239</v>
      </c>
      <c r="G99" s="24">
        <f t="shared" si="66"/>
        <v>12243.65597414854</v>
      </c>
      <c r="H99" s="24">
        <f t="shared" si="66"/>
        <v>25802.904410553809</v>
      </c>
      <c r="I99" s="24">
        <f t="shared" ref="I99:J99" si="67">SUM(I94:I98)</f>
        <v>15070.822467685673</v>
      </c>
      <c r="J99" s="24">
        <f t="shared" si="67"/>
        <v>22005.071524266401</v>
      </c>
    </row>
    <row r="100" spans="1:11" ht="16" x14ac:dyDescent="0.2">
      <c r="A100" s="26" t="s">
        <v>23</v>
      </c>
      <c r="B100" s="169" t="s">
        <v>31</v>
      </c>
      <c r="C100" s="169"/>
      <c r="D100" s="25">
        <f>D90</f>
        <v>6427.2063816714654</v>
      </c>
      <c r="E100" s="25">
        <f t="shared" ref="E100:H100" si="68">E90</f>
        <v>4902.4410655255242</v>
      </c>
      <c r="F100" s="25">
        <f t="shared" si="68"/>
        <v>4485.4734614784647</v>
      </c>
      <c r="G100" s="25">
        <f t="shared" si="68"/>
        <v>3330.3356848767039</v>
      </c>
      <c r="H100" s="25">
        <f t="shared" si="68"/>
        <v>7009.2605863312629</v>
      </c>
      <c r="I100" s="25">
        <f t="shared" ref="I100:J100" si="69">I90</f>
        <v>4097.1266926979015</v>
      </c>
      <c r="J100" s="25">
        <f t="shared" si="69"/>
        <v>5978.724322187426</v>
      </c>
    </row>
    <row r="101" spans="1:11" ht="16.5" customHeight="1" x14ac:dyDescent="0.2">
      <c r="A101" s="184" t="s">
        <v>30</v>
      </c>
      <c r="B101" s="184"/>
      <c r="C101" s="184"/>
      <c r="D101" s="24">
        <f>SUM(D99:D100)</f>
        <v>30085.068329968548</v>
      </c>
      <c r="E101" s="24">
        <f t="shared" ref="E101:H101" si="70">SUM(E99:E100)</f>
        <v>22941.087495035175</v>
      </c>
      <c r="F101" s="24">
        <f t="shared" si="70"/>
        <v>20987.469175932703</v>
      </c>
      <c r="G101" s="24">
        <f t="shared" si="70"/>
        <v>15573.991659025243</v>
      </c>
      <c r="H101" s="24">
        <f t="shared" si="70"/>
        <v>32812.164996885069</v>
      </c>
      <c r="I101" s="24">
        <f t="shared" ref="I101:J101" si="71">SUM(I99:I100)</f>
        <v>19167.949160383574</v>
      </c>
      <c r="J101" s="24">
        <f t="shared" si="71"/>
        <v>27983.795846453828</v>
      </c>
    </row>
    <row r="106" spans="1:11" ht="15.75" customHeight="1" x14ac:dyDescent="0.2"/>
    <row r="108" spans="1:11" ht="18.5" customHeight="1" x14ac:dyDescent="0.2"/>
    <row r="109" spans="1:11" ht="15.75" customHeight="1" x14ac:dyDescent="0.2"/>
    <row r="110" spans="1:11" ht="15.75" customHeight="1" x14ac:dyDescent="0.2"/>
    <row r="111" spans="1:11" ht="16.5" customHeight="1" x14ac:dyDescent="0.2"/>
    <row r="112" spans="1:11" ht="15.75" customHeight="1" x14ac:dyDescent="0.2"/>
    <row r="113" ht="16.5" customHeight="1" x14ac:dyDescent="0.2"/>
  </sheetData>
  <sheetProtection selectLockedCells="1" selectUnlockedCells="1"/>
  <mergeCells count="50">
    <mergeCell ref="A78:A79"/>
    <mergeCell ref="A80:A81"/>
    <mergeCell ref="A89:B90"/>
    <mergeCell ref="B78:C79"/>
    <mergeCell ref="B80:C81"/>
    <mergeCell ref="A50:C50"/>
    <mergeCell ref="A77:C77"/>
    <mergeCell ref="M33:M34"/>
    <mergeCell ref="A59:B59"/>
    <mergeCell ref="A48:B48"/>
    <mergeCell ref="B36:C36"/>
    <mergeCell ref="B37:C37"/>
    <mergeCell ref="B38:C38"/>
    <mergeCell ref="A39:C39"/>
    <mergeCell ref="A61:C61"/>
    <mergeCell ref="A52:C52"/>
    <mergeCell ref="A41:C41"/>
    <mergeCell ref="B74:C74"/>
    <mergeCell ref="A75:C75"/>
    <mergeCell ref="B67:C67"/>
    <mergeCell ref="A68:C68"/>
    <mergeCell ref="A101:C101"/>
    <mergeCell ref="B94:C94"/>
    <mergeCell ref="B95:C95"/>
    <mergeCell ref="A93:C93"/>
    <mergeCell ref="B97:C97"/>
    <mergeCell ref="B98:C98"/>
    <mergeCell ref="A99:C99"/>
    <mergeCell ref="B100:C100"/>
    <mergeCell ref="A92:C92"/>
    <mergeCell ref="B96:C96"/>
    <mergeCell ref="A2:B2"/>
    <mergeCell ref="A3:B3"/>
    <mergeCell ref="A35:C35"/>
    <mergeCell ref="A27:C27"/>
    <mergeCell ref="A16:C16"/>
    <mergeCell ref="A10:C10"/>
    <mergeCell ref="A33:C33"/>
    <mergeCell ref="A25:B25"/>
    <mergeCell ref="A14:B14"/>
    <mergeCell ref="A8:J8"/>
    <mergeCell ref="A5:J5"/>
    <mergeCell ref="B73:C73"/>
    <mergeCell ref="B62:C62"/>
    <mergeCell ref="A63:C63"/>
    <mergeCell ref="A65:C65"/>
    <mergeCell ref="A70:C70"/>
    <mergeCell ref="B66:C66"/>
    <mergeCell ref="B71:C71"/>
    <mergeCell ref="B72:C72"/>
  </mergeCells>
  <conditionalFormatting sqref="D6:J6">
    <cfRule type="cellIs" dxfId="0" priority="2" operator="lessThan">
      <formula>#REF!</formula>
    </cfRule>
  </conditionalFormatting>
  <pageMargins left="0.51180555555555596" right="0.51180555555555596" top="0.78749999999999998" bottom="0.78749999999999998" header="0.51180555555555596" footer="0.51180555555555596"/>
  <pageSetup paperSize="9" scale="46" firstPageNumber="0" fitToHeight="2" orientation="portrait" horizontalDpi="300" verticalDpi="300" r:id="rId1"/>
  <headerFooter alignWithMargins="0"/>
  <rowBreaks count="1" manualBreakCount="1">
    <brk id="4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de Apoio</vt:lpstr>
      <vt:lpstr>Quadro Resumo</vt:lpstr>
      <vt:lpstr>Analítico</vt:lpstr>
      <vt:lpstr>Analítico!Print_Area</vt:lpstr>
      <vt:lpstr>'Quadro Resumo'!Print_Area</vt:lpstr>
    </vt:vector>
  </TitlesOfParts>
  <Company>Basis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Mateus Negrelli</cp:lastModifiedBy>
  <cp:lastPrinted>2023-08-01T15:06:58Z</cp:lastPrinted>
  <dcterms:created xsi:type="dcterms:W3CDTF">2003-04-04T13:42:20Z</dcterms:created>
  <dcterms:modified xsi:type="dcterms:W3CDTF">2023-12-19T13:00:59Z</dcterms:modified>
</cp:coreProperties>
</file>