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  <Override PartName="/xl/threadedComments/threadedComment2.xml" ContentType="application/vnd.ms-excel.threadedcomments+xml"/>
  <Override PartName="/xl/threadedComments/threadedComment3.xml" ContentType="application/vnd.ms-excel.threadedcomments+xml"/>
  <Override PartName="/xl/threadedComments/threadedComment4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eu Drive\PC TAFA\LICITAÇÕES\01 - Licitação 2023\05 - MAIO\230524 - CGU (DF)\CONVOCAÇÃO\"/>
    </mc:Choice>
  </mc:AlternateContent>
  <xr:revisionPtr revIDLastSave="0" documentId="13_ncr:1_{0F7E84DF-021D-4C9F-BB73-0BBDBB688C8A}" xr6:coauthVersionLast="47" xr6:coauthVersionMax="47" xr10:uidLastSave="{00000000-0000-0000-0000-000000000000}"/>
  <bookViews>
    <workbookView xWindow="-120" yWindow="-120" windowWidth="20730" windowHeight="11160" xr2:uid="{A6FDBF2F-CE05-47F2-8E5F-49CEB56D4E49}"/>
  </bookViews>
  <sheets>
    <sheet name="CÁLCULO_BDI" sheetId="1" r:id="rId1"/>
    <sheet name="MATERIAL_FERRAMENTAL" sheetId="2" r:id="rId2"/>
    <sheet name="SERVIÇOS_ESPECIALIZADOS" sheetId="3" r:id="rId3"/>
    <sheet name="PEÇAS_COMPONENTES" sheetId="4" r:id="rId4"/>
    <sheet name="TÉC. REFRIGERAÇÃO" sheetId="5" r:id="rId5"/>
    <sheet name="SUPERV. ENG. MECÂNICO" sheetId="6" r:id="rId6"/>
    <sheet name="TÉC. ELETRICISTA" sheetId="7" r:id="rId7"/>
    <sheet name="AJUDANTE" sheetId="8" r:id="rId8"/>
    <sheet name="MÃO_DE_OBRA" sheetId="9" r:id="rId9"/>
    <sheet name="CUSTO TOTAL" sheetId="10" r:id="rId10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3" i="4" l="1"/>
  <c r="B9" i="1"/>
  <c r="F3" i="3"/>
  <c r="F5" i="3"/>
  <c r="F4" i="3"/>
  <c r="D120" i="5"/>
  <c r="D118" i="6"/>
  <c r="B8" i="1"/>
  <c r="C8" i="1"/>
  <c r="C9" i="1" s="1"/>
  <c r="D109" i="5"/>
  <c r="D119" i="5" s="1"/>
  <c r="E15" i="9"/>
  <c r="D15" i="9"/>
  <c r="C109" i="8"/>
  <c r="C103" i="8"/>
  <c r="D53" i="8"/>
  <c r="D52" i="8"/>
  <c r="C109" i="7"/>
  <c r="C103" i="7"/>
  <c r="D53" i="7"/>
  <c r="D52" i="7"/>
  <c r="C107" i="6"/>
  <c r="C101" i="6"/>
  <c r="D52" i="6"/>
  <c r="C109" i="5"/>
  <c r="C103" i="5"/>
  <c r="D63" i="5"/>
  <c r="D53" i="5"/>
  <c r="D52" i="5"/>
  <c r="D33" i="5"/>
  <c r="C97" i="8" l="1"/>
  <c r="C82" i="8"/>
  <c r="C68" i="8"/>
  <c r="C50" i="8"/>
  <c r="C71" i="8" s="1"/>
  <c r="C73" i="8" s="1"/>
  <c r="C40" i="8"/>
  <c r="D32" i="8"/>
  <c r="D5" i="9"/>
  <c r="F4" i="9"/>
  <c r="F5" i="9" s="1"/>
  <c r="C97" i="7"/>
  <c r="C82" i="7"/>
  <c r="C68" i="7"/>
  <c r="C50" i="7"/>
  <c r="C71" i="7" s="1"/>
  <c r="C40" i="7"/>
  <c r="D115" i="6"/>
  <c r="D95" i="6"/>
  <c r="C95" i="6"/>
  <c r="C81" i="6"/>
  <c r="C67" i="6"/>
  <c r="C49" i="6"/>
  <c r="C70" i="6" s="1"/>
  <c r="C72" i="6" s="1"/>
  <c r="C39" i="6"/>
  <c r="D32" i="6"/>
  <c r="C97" i="5"/>
  <c r="C82" i="5"/>
  <c r="C68" i="5"/>
  <c r="C50" i="5"/>
  <c r="C71" i="5" s="1"/>
  <c r="C40" i="5"/>
  <c r="D34" i="5"/>
  <c r="C73" i="7" l="1"/>
  <c r="D51" i="6"/>
  <c r="D53" i="6" s="1"/>
  <c r="D60" i="6" s="1"/>
  <c r="C73" i="5"/>
  <c r="D54" i="5"/>
  <c r="D61" i="5" s="1"/>
  <c r="D54" i="8"/>
  <c r="D61" i="8" s="1"/>
  <c r="D33" i="8"/>
  <c r="D34" i="8" s="1"/>
  <c r="D113" i="8" s="1"/>
  <c r="D54" i="7"/>
  <c r="D61" i="7" s="1"/>
  <c r="D33" i="6"/>
  <c r="D68" i="6" s="1"/>
  <c r="D33" i="7"/>
  <c r="D34" i="7" s="1"/>
  <c r="D113" i="5"/>
  <c r="D70" i="5"/>
  <c r="D69" i="5"/>
  <c r="D68" i="5"/>
  <c r="D56" i="5"/>
  <c r="D57" i="5" s="1"/>
  <c r="D62" i="5" s="1"/>
  <c r="D84" i="5" s="1"/>
  <c r="D85" i="5" s="1"/>
  <c r="D88" i="5" s="1"/>
  <c r="D39" i="5"/>
  <c r="D67" i="5"/>
  <c r="D38" i="5"/>
  <c r="D72" i="5"/>
  <c r="D71" i="5"/>
  <c r="D70" i="8" l="1"/>
  <c r="D39" i="8"/>
  <c r="D71" i="8"/>
  <c r="D73" i="8" s="1"/>
  <c r="D115" i="8" s="1"/>
  <c r="D56" i="8"/>
  <c r="D57" i="8" s="1"/>
  <c r="D62" i="8" s="1"/>
  <c r="D84" i="8" s="1"/>
  <c r="D85" i="8" s="1"/>
  <c r="D88" i="8" s="1"/>
  <c r="D67" i="8"/>
  <c r="D68" i="8"/>
  <c r="D72" i="8"/>
  <c r="D69" i="8"/>
  <c r="D38" i="8"/>
  <c r="D40" i="8" s="1"/>
  <c r="D59" i="8" s="1"/>
  <c r="D71" i="6"/>
  <c r="D111" i="6"/>
  <c r="D38" i="6"/>
  <c r="D66" i="6"/>
  <c r="D55" i="6"/>
  <c r="D56" i="6" s="1"/>
  <c r="D61" i="6" s="1"/>
  <c r="D83" i="6" s="1"/>
  <c r="D84" i="6" s="1"/>
  <c r="D87" i="6" s="1"/>
  <c r="D45" i="8"/>
  <c r="D70" i="6"/>
  <c r="D37" i="6"/>
  <c r="D67" i="6"/>
  <c r="D69" i="6"/>
  <c r="D49" i="8"/>
  <c r="D43" i="8"/>
  <c r="D48" i="8"/>
  <c r="D46" i="8"/>
  <c r="D44" i="8"/>
  <c r="D42" i="8"/>
  <c r="D113" i="7"/>
  <c r="D69" i="7"/>
  <c r="D39" i="7"/>
  <c r="D38" i="7"/>
  <c r="D72" i="7"/>
  <c r="D56" i="7"/>
  <c r="D57" i="7" s="1"/>
  <c r="D62" i="7" s="1"/>
  <c r="D84" i="7" s="1"/>
  <c r="D85" i="7" s="1"/>
  <c r="D88" i="7" s="1"/>
  <c r="D71" i="7"/>
  <c r="D70" i="7"/>
  <c r="D68" i="7"/>
  <c r="D67" i="7"/>
  <c r="D39" i="6"/>
  <c r="D40" i="5"/>
  <c r="D73" i="5"/>
  <c r="D115" i="5" s="1"/>
  <c r="D47" i="8" l="1"/>
  <c r="D72" i="6"/>
  <c r="D113" i="6" s="1"/>
  <c r="D50" i="8"/>
  <c r="D73" i="7"/>
  <c r="D115" i="7" s="1"/>
  <c r="D40" i="7"/>
  <c r="D58" i="6"/>
  <c r="D48" i="6"/>
  <c r="D43" i="6"/>
  <c r="D46" i="6"/>
  <c r="D41" i="6"/>
  <c r="D45" i="6"/>
  <c r="D44" i="6"/>
  <c r="D42" i="6"/>
  <c r="D47" i="6"/>
  <c r="D59" i="5"/>
  <c r="D49" i="5"/>
  <c r="D43" i="5"/>
  <c r="D42" i="5"/>
  <c r="D46" i="5"/>
  <c r="D48" i="5"/>
  <c r="D44" i="5"/>
  <c r="D47" i="5"/>
  <c r="D45" i="5"/>
  <c r="D60" i="8" l="1"/>
  <c r="D63" i="8" s="1"/>
  <c r="D78" i="8"/>
  <c r="D79" i="8"/>
  <c r="D77" i="8"/>
  <c r="D80" i="8"/>
  <c r="D81" i="8"/>
  <c r="D59" i="7"/>
  <c r="D42" i="7"/>
  <c r="D45" i="7"/>
  <c r="D44" i="7"/>
  <c r="D49" i="7"/>
  <c r="D43" i="7"/>
  <c r="D46" i="7"/>
  <c r="D47" i="7"/>
  <c r="D48" i="7"/>
  <c r="D49" i="6"/>
  <c r="D50" i="5"/>
  <c r="D114" i="8" l="1"/>
  <c r="D82" i="8"/>
  <c r="D87" i="8" s="1"/>
  <c r="D89" i="8" s="1"/>
  <c r="D116" i="8" s="1"/>
  <c r="D50" i="7"/>
  <c r="D59" i="6"/>
  <c r="D62" i="6" s="1"/>
  <c r="D78" i="6"/>
  <c r="D76" i="6"/>
  <c r="D77" i="6"/>
  <c r="D79" i="6"/>
  <c r="D80" i="6"/>
  <c r="D60" i="5"/>
  <c r="D79" i="5"/>
  <c r="D81" i="5"/>
  <c r="D77" i="5"/>
  <c r="D80" i="5"/>
  <c r="D78" i="5"/>
  <c r="D81" i="6" l="1"/>
  <c r="D86" i="6" s="1"/>
  <c r="D88" i="6" s="1"/>
  <c r="D114" i="6" s="1"/>
  <c r="D60" i="7"/>
  <c r="D63" i="7" s="1"/>
  <c r="D77" i="7"/>
  <c r="D81" i="7"/>
  <c r="D78" i="7"/>
  <c r="D80" i="7"/>
  <c r="D79" i="7"/>
  <c r="D112" i="6"/>
  <c r="D114" i="5"/>
  <c r="D82" i="5"/>
  <c r="D87" i="5" s="1"/>
  <c r="D89" i="5" s="1"/>
  <c r="D116" i="5" s="1"/>
  <c r="D99" i="6" l="1"/>
  <c r="D100" i="6" s="1"/>
  <c r="E106" i="6" s="1"/>
  <c r="E108" i="6" s="1"/>
  <c r="D116" i="6"/>
  <c r="D82" i="7"/>
  <c r="D87" i="7" s="1"/>
  <c r="D89" i="7" s="1"/>
  <c r="D116" i="7" s="1"/>
  <c r="D114" i="7"/>
  <c r="D102" i="6" l="1"/>
  <c r="D106" i="6"/>
  <c r="D103" i="6"/>
  <c r="D107" i="6" l="1"/>
  <c r="D117" i="6" s="1"/>
  <c r="D119" i="6" s="1"/>
  <c r="C12" i="10" s="1"/>
  <c r="D12" i="10" s="1"/>
  <c r="F11" i="9" l="1"/>
  <c r="G11" i="9" s="1"/>
  <c r="H11" i="9" s="1"/>
  <c r="G5" i="4"/>
  <c r="H5" i="4" s="1"/>
  <c r="G7" i="4"/>
  <c r="H7" i="4" s="1"/>
  <c r="G9" i="4"/>
  <c r="H9" i="4" s="1"/>
  <c r="G11" i="4"/>
  <c r="H11" i="4" s="1"/>
  <c r="G12" i="4"/>
  <c r="H12" i="4" s="1"/>
  <c r="G13" i="4"/>
  <c r="H13" i="4" s="1"/>
  <c r="G14" i="4"/>
  <c r="H14" i="4" s="1"/>
  <c r="G15" i="4"/>
  <c r="H15" i="4" s="1"/>
  <c r="G16" i="4"/>
  <c r="H16" i="4" s="1"/>
  <c r="G17" i="4"/>
  <c r="H17" i="4" s="1"/>
  <c r="G19" i="4"/>
  <c r="H19" i="4" s="1"/>
  <c r="G20" i="4"/>
  <c r="H20" i="4" s="1"/>
  <c r="G21" i="4"/>
  <c r="H21" i="4" s="1"/>
  <c r="G22" i="4"/>
  <c r="H22" i="4" s="1"/>
  <c r="G23" i="4"/>
  <c r="H23" i="4" s="1"/>
  <c r="G24" i="4"/>
  <c r="H24" i="4" s="1"/>
  <c r="G25" i="4"/>
  <c r="H25" i="4" s="1"/>
  <c r="G27" i="4"/>
  <c r="H27" i="4" s="1"/>
  <c r="G28" i="4"/>
  <c r="H28" i="4" s="1"/>
  <c r="G29" i="4"/>
  <c r="H29" i="4" s="1"/>
  <c r="G30" i="4"/>
  <c r="H30" i="4" s="1"/>
  <c r="G31" i="4"/>
  <c r="H31" i="4" s="1"/>
  <c r="G32" i="4"/>
  <c r="H32" i="4" s="1"/>
  <c r="G33" i="4"/>
  <c r="H33" i="4" s="1"/>
  <c r="G35" i="4"/>
  <c r="H35" i="4" s="1"/>
  <c r="G36" i="4"/>
  <c r="H36" i="4" s="1"/>
  <c r="G37" i="4"/>
  <c r="H37" i="4" s="1"/>
  <c r="G38" i="4"/>
  <c r="H38" i="4" s="1"/>
  <c r="G39" i="4"/>
  <c r="H39" i="4" s="1"/>
  <c r="G40" i="4"/>
  <c r="H40" i="4" s="1"/>
  <c r="G41" i="4"/>
  <c r="H41" i="4" s="1"/>
  <c r="G42" i="4"/>
  <c r="H42" i="4" s="1"/>
  <c r="G43" i="4"/>
  <c r="H43" i="4" s="1"/>
  <c r="G44" i="4"/>
  <c r="H44" i="4" s="1"/>
  <c r="G45" i="4"/>
  <c r="H45" i="4" s="1"/>
  <c r="G46" i="4"/>
  <c r="H46" i="4" s="1"/>
  <c r="G47" i="4"/>
  <c r="H47" i="4" s="1"/>
  <c r="G48" i="4"/>
  <c r="H48" i="4" s="1"/>
  <c r="G49" i="4"/>
  <c r="H49" i="4" s="1"/>
  <c r="G50" i="4"/>
  <c r="H50" i="4" s="1"/>
  <c r="G51" i="4"/>
  <c r="H51" i="4" s="1"/>
  <c r="G52" i="4"/>
  <c r="H52" i="4" s="1"/>
  <c r="G4" i="4"/>
  <c r="H4" i="4" s="1"/>
  <c r="G4" i="3"/>
  <c r="H4" i="3" s="1"/>
  <c r="G5" i="3"/>
  <c r="H5" i="3" s="1"/>
  <c r="G3" i="3"/>
  <c r="G34" i="4"/>
  <c r="H34" i="4" s="1"/>
  <c r="G26" i="4"/>
  <c r="H26" i="4" s="1"/>
  <c r="G18" i="4"/>
  <c r="H18" i="4" s="1"/>
  <c r="G10" i="4"/>
  <c r="H10" i="4" s="1"/>
  <c r="G8" i="4"/>
  <c r="H8" i="4" s="1"/>
  <c r="G6" i="4"/>
  <c r="H6" i="4" s="1"/>
  <c r="H78" i="2"/>
  <c r="H77" i="2"/>
  <c r="H76" i="2"/>
  <c r="H75" i="2"/>
  <c r="H74" i="2"/>
  <c r="H73" i="2"/>
  <c r="H72" i="2"/>
  <c r="H67" i="2"/>
  <c r="H66" i="2"/>
  <c r="H65" i="2"/>
  <c r="H64" i="2"/>
  <c r="H58" i="2"/>
  <c r="H57" i="2"/>
  <c r="H56" i="2"/>
  <c r="H55" i="2"/>
  <c r="H54" i="2"/>
  <c r="H53" i="2"/>
  <c r="H52" i="2"/>
  <c r="H51" i="2"/>
  <c r="H50" i="2"/>
  <c r="H49" i="2"/>
  <c r="H48" i="2"/>
  <c r="H47" i="2"/>
  <c r="H46" i="2"/>
  <c r="H45" i="2"/>
  <c r="H44" i="2"/>
  <c r="H43" i="2"/>
  <c r="H42" i="2"/>
  <c r="H41" i="2"/>
  <c r="H40" i="2"/>
  <c r="H39" i="2"/>
  <c r="H38" i="2"/>
  <c r="H37" i="2"/>
  <c r="H36" i="2"/>
  <c r="H35" i="2"/>
  <c r="H34" i="2"/>
  <c r="H33" i="2"/>
  <c r="H32" i="2"/>
  <c r="H31" i="2"/>
  <c r="H30" i="2"/>
  <c r="H29" i="2"/>
  <c r="H28" i="2"/>
  <c r="H27" i="2"/>
  <c r="H26" i="2"/>
  <c r="H25" i="2"/>
  <c r="H24" i="2"/>
  <c r="H23" i="2"/>
  <c r="H22" i="2"/>
  <c r="H21" i="2"/>
  <c r="H15" i="2"/>
  <c r="H14" i="2"/>
  <c r="H13" i="2"/>
  <c r="H12" i="2"/>
  <c r="H11" i="2"/>
  <c r="H10" i="2"/>
  <c r="H9" i="2"/>
  <c r="H8" i="2"/>
  <c r="H7" i="2"/>
  <c r="H6" i="2"/>
  <c r="H5" i="2"/>
  <c r="H4" i="2"/>
  <c r="H3" i="2"/>
  <c r="H54" i="4" l="1"/>
  <c r="D20" i="10" s="1"/>
  <c r="H68" i="2"/>
  <c r="D95" i="8" s="1"/>
  <c r="D97" i="8" s="1"/>
  <c r="D95" i="5"/>
  <c r="D95" i="7"/>
  <c r="D97" i="7" s="1"/>
  <c r="H79" i="2"/>
  <c r="H59" i="2"/>
  <c r="H60" i="2" s="1"/>
  <c r="D94" i="5" s="1"/>
  <c r="H3" i="3"/>
  <c r="H6" i="3" s="1"/>
  <c r="G6" i="3"/>
  <c r="D6" i="10" s="1"/>
  <c r="D25" i="10" s="1"/>
  <c r="H16" i="2"/>
  <c r="H17" i="2" s="1"/>
  <c r="D93" i="5" s="1"/>
  <c r="D96" i="5" l="1"/>
  <c r="D96" i="7"/>
  <c r="D96" i="8"/>
  <c r="D117" i="8"/>
  <c r="D118" i="8" s="1"/>
  <c r="D101" i="8"/>
  <c r="D102" i="8" s="1"/>
  <c r="D117" i="7"/>
  <c r="D118" i="7" s="1"/>
  <c r="D101" i="7"/>
  <c r="D97" i="5"/>
  <c r="D117" i="5" s="1"/>
  <c r="D118" i="5" s="1"/>
  <c r="D28" i="10"/>
  <c r="C29" i="10"/>
  <c r="D101" i="5" l="1"/>
  <c r="D102" i="5" s="1"/>
  <c r="D105" i="5" s="1"/>
  <c r="D104" i="8"/>
  <c r="D102" i="7"/>
  <c r="D105" i="7" s="1"/>
  <c r="D105" i="8"/>
  <c r="D108" i="8"/>
  <c r="E108" i="8"/>
  <c r="E110" i="8" s="1"/>
  <c r="D109" i="8" l="1"/>
  <c r="D119" i="8" s="1"/>
  <c r="D120" i="8" s="1"/>
  <c r="D121" i="8" s="1"/>
  <c r="F14" i="9" s="1"/>
  <c r="G14" i="9" s="1"/>
  <c r="H14" i="9" s="1"/>
  <c r="D108" i="5"/>
  <c r="D104" i="5"/>
  <c r="G4" i="9" s="1"/>
  <c r="H4" i="9" s="1"/>
  <c r="H5" i="9" s="1"/>
  <c r="D33" i="10"/>
  <c r="E108" i="5"/>
  <c r="E110" i="5" s="1"/>
  <c r="D104" i="7"/>
  <c r="E108" i="7"/>
  <c r="E110" i="7" s="1"/>
  <c r="D108" i="7"/>
  <c r="D109" i="7" s="1"/>
  <c r="D119" i="7" s="1"/>
  <c r="D120" i="7" s="1"/>
  <c r="D121" i="7" s="1"/>
  <c r="F13" i="9" s="1"/>
  <c r="C18" i="10" l="1"/>
  <c r="D18" i="10" s="1"/>
  <c r="D34" i="10"/>
  <c r="D35" i="10" s="1"/>
  <c r="D36" i="10" s="1"/>
  <c r="B5" i="10"/>
  <c r="D5" i="10" s="1"/>
  <c r="D24" i="10" s="1"/>
  <c r="D26" i="10" s="1"/>
  <c r="D121" i="5"/>
  <c r="F12" i="9" s="1"/>
  <c r="G12" i="9" s="1"/>
  <c r="C16" i="10"/>
  <c r="D16" i="10" s="1"/>
  <c r="G13" i="9"/>
  <c r="H13" i="9" s="1"/>
  <c r="G5" i="9"/>
  <c r="F15" i="9" l="1"/>
  <c r="C14" i="10"/>
  <c r="D14" i="10" s="1"/>
  <c r="D7" i="10"/>
  <c r="H12" i="9"/>
  <c r="H15" i="9" s="1"/>
  <c r="G15" i="9"/>
  <c r="I4" i="9"/>
  <c r="I5" i="9" s="1"/>
  <c r="D21" i="10" l="1"/>
  <c r="D29" i="10" s="1"/>
  <c r="D30" i="10" s="1"/>
  <c r="C38" i="10" s="1"/>
  <c r="E18" i="10"/>
  <c r="D27" i="1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tc={A93E56ED-B3B3-45AB-9C9C-54B959023504}</author>
    <author>tc={E2984235-7AD8-4157-BFA4-932D2A96C696}</author>
    <author>tc={7564D43E-DFBB-4E87-A24F-BA09FFC14F18}</author>
    <author>tc={9B37DF37-AE34-4A9F-A45F-8F5ECCEBF7E0}</author>
    <author>tc={5E738FFD-5D6C-4D4A-90BE-C9965B033A22}</author>
    <author>tc={C741CC43-C9D0-427B-8B98-2ECBFF5458E9}</author>
    <author>tc={4D24D4D9-FC49-4EC4-AD89-1A5D59A21CA8}</author>
  </authors>
  <commentList>
    <comment ref="A36" authorId="0" shapeId="0" xr:uid="{A93E56ED-B3B3-45AB-9C9C-54B959023504}">
      <text>
        <r>
          <rPr>
            <sz val="11"/>
            <color theme="1"/>
            <rFont val="Calibri"/>
            <family val="2"/>
            <scheme val="minor"/>
          </rPr>
  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Esses percentuais de 13º e Férias foram definidos para coincidirem com os valores que serão recolhidos mensalmente para a Conta Vinculada</t>
        </r>
      </text>
    </comment>
    <comment ref="D41" authorId="1" shapeId="0" xr:uid="{E2984235-7AD8-4157-BFA4-932D2A96C696}">
      <text>
        <r>
          <rPr>
            <sz val="11"/>
            <color theme="1"/>
            <rFont val="Calibri"/>
            <family val="2"/>
            <scheme val="minor"/>
          </rPr>
  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Com exceção do item C (SAT) que varia de empresa para empresa,  todos os percentuais do  Submódulo 2.2 são fixos, definidos em lei.</t>
        </r>
      </text>
    </comment>
    <comment ref="A65" authorId="2" shapeId="0" xr:uid="{7564D43E-DFBB-4E87-A24F-BA09FFC14F18}">
      <text>
        <r>
          <rPr>
            <sz val="11"/>
            <color theme="1"/>
            <rFont val="Calibri"/>
            <family val="2"/>
            <scheme val="minor"/>
          </rPr>
  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Todo este módulo é de preenchimento discricionário da empresa. Para efeitos de estimativa, foram utilizados os valores que costumam ser cotados nas planilhas de serviços com mão-de-obra na CGU.</t>
        </r>
      </text>
    </comment>
    <comment ref="C69" authorId="3" shapeId="0" xr:uid="{9B37DF37-AE34-4A9F-A45F-8F5ECCEBF7E0}">
      <text>
        <r>
          <rPr>
            <sz val="11"/>
            <color theme="1"/>
            <rFont val="Calibri"/>
            <family val="2"/>
            <scheme val="minor"/>
          </rPr>
  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Valor estimado pela empresa. A soma dos percentuais das Multas do FGTS sobre o API e sobre o APT deve resultar em 4% (valor a ser recolhido mensalmente pela Conta Vinculada)</t>
        </r>
      </text>
    </comment>
    <comment ref="C72" authorId="4" shapeId="0" xr:uid="{5E738FFD-5D6C-4D4A-90BE-C9965B033A22}">
      <text>
        <r>
          <rPr>
            <sz val="11"/>
            <color theme="1"/>
            <rFont val="Calibri"/>
            <family val="2"/>
            <scheme val="minor"/>
          </rPr>
  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Valor estimado pela empresa. A soma dos percentuais das Multas do FGTS sobre o API e sobre o APT deve resultar em 4% (valor a ser recolhido mensalmente pela Conta Vinculada)</t>
        </r>
      </text>
    </comment>
    <comment ref="A75" authorId="5" shapeId="0" xr:uid="{C741CC43-C9D0-427B-8B98-2ECBFF5458E9}">
      <text>
        <r>
          <rPr>
            <sz val="11"/>
            <color theme="1"/>
            <rFont val="Calibri"/>
            <family val="2"/>
            <scheme val="minor"/>
          </rPr>
  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Módulo de preenchimento discricionário da licitante. Percentuais estimados conforme a média aplicada no DF</t>
        </r>
      </text>
    </comment>
    <comment ref="A91" authorId="6" shapeId="0" xr:uid="{4D24D4D9-FC49-4EC4-AD89-1A5D59A21CA8}">
      <text>
        <r>
          <rPr>
            <sz val="11"/>
            <color theme="1"/>
            <rFont val="Calibri"/>
            <family val="2"/>
            <scheme val="minor"/>
          </rPr>
  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Cotações feitas pela área técnica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tc={DF120C6B-7781-4AAA-A4FC-75A80097A442}</author>
    <author>tc={9D182E3C-984D-4941-81DD-625D5382464E}</author>
    <author>tc={9C22D8F3-3461-4BD0-A0A5-D4FBA9208E7C}</author>
    <author>tc={C4BC6ACF-4901-47F6-8C4A-502D59066E80}</author>
    <author>tc={E2CE9C4B-41A2-43F1-967D-D0192FD31ADB}</author>
    <author>tc={23C66356-0B85-4E9D-8AC1-1BE03F5BF909}</author>
    <author>tc={C63A2EE4-CA11-4C2F-8BC0-830D6F1C39C1}</author>
  </authors>
  <commentList>
    <comment ref="A35" authorId="0" shapeId="0" xr:uid="{DF120C6B-7781-4AAA-A4FC-75A80097A442}">
      <text>
        <r>
          <rPr>
            <sz val="11"/>
            <color theme="1"/>
            <rFont val="Calibri"/>
            <family val="2"/>
            <scheme val="minor"/>
          </rPr>
  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Esses percentuais de 13º e Férias foram definidos para coincidirem com os valores que serão recolhidos mensalmente para a Conta Vinculada</t>
        </r>
      </text>
    </comment>
    <comment ref="D40" authorId="1" shapeId="0" xr:uid="{9D182E3C-984D-4941-81DD-625D5382464E}">
      <text>
        <r>
          <rPr>
            <sz val="11"/>
            <color theme="1"/>
            <rFont val="Calibri"/>
            <family val="2"/>
            <scheme val="minor"/>
          </rPr>
  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Com exceção do item C (SAT) que varia de empresa para empresa,  todos os percentuais do  Submódulo 2.2 são fixos, definidos em lei.</t>
        </r>
      </text>
    </comment>
    <comment ref="A64" authorId="2" shapeId="0" xr:uid="{9C22D8F3-3461-4BD0-A0A5-D4FBA9208E7C}">
      <text>
        <r>
          <rPr>
            <sz val="11"/>
            <color theme="1"/>
            <rFont val="Calibri"/>
            <family val="2"/>
            <scheme val="minor"/>
          </rPr>
  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Todo este módulo é de preenchimento discricionário da empresa. Para efeitos de estimativa, foram utilizados os valores que costumam ser cotados nas planilhas de serviços com mão-de-obra na CGU.</t>
        </r>
      </text>
    </comment>
    <comment ref="C68" authorId="3" shapeId="0" xr:uid="{C4BC6ACF-4901-47F6-8C4A-502D59066E80}">
      <text>
        <r>
          <rPr>
            <sz val="11"/>
            <color theme="1"/>
            <rFont val="Calibri"/>
            <family val="2"/>
            <scheme val="minor"/>
          </rPr>
  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Valor estimado pela empresa. A soma dos percentuais das Multas do FGTS sobre o API e sobre o APT deve resultar em 4% (valor a ser recolhido mensalmente pela Conta Vinculada)</t>
        </r>
      </text>
    </comment>
    <comment ref="C71" authorId="4" shapeId="0" xr:uid="{E2CE9C4B-41A2-43F1-967D-D0192FD31ADB}">
      <text>
        <r>
          <rPr>
            <sz val="11"/>
            <color theme="1"/>
            <rFont val="Calibri"/>
            <family val="2"/>
            <scheme val="minor"/>
          </rPr>
  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Valor estimado pela empresa. A soma dos percentuais das Multas do FGTS sobre o API e sobre o APT deve resultar em 4% (valor a ser recolhido mensalmente pela Conta Vinculada)</t>
        </r>
      </text>
    </comment>
    <comment ref="A74" authorId="5" shapeId="0" xr:uid="{23C66356-0B85-4E9D-8AC1-1BE03F5BF909}">
      <text>
        <r>
          <rPr>
            <sz val="11"/>
            <color theme="1"/>
            <rFont val="Calibri"/>
            <family val="2"/>
            <scheme val="minor"/>
          </rPr>
  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Módulo de preenchimento discricionário da licitante. Percentuais estimados conforme a média aplicada no DF</t>
        </r>
      </text>
    </comment>
    <comment ref="A90" authorId="6" shapeId="0" xr:uid="{C63A2EE4-CA11-4C2F-8BC0-830D6F1C39C1}">
      <text>
        <r>
          <rPr>
            <sz val="11"/>
            <color theme="1"/>
            <rFont val="Calibri"/>
            <family val="2"/>
            <scheme val="minor"/>
          </rPr>
  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Cotações feitas pela área técnica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tc={50D55811-80CC-40A8-AB0E-E39F7476A911}</author>
    <author>tc={B3C8ADEF-8D12-437B-8A49-0C97A1F00928}</author>
    <author>tc={C11497F5-AFCC-4CBF-A439-BFDC1EAC689F}</author>
    <author>tc={CC6EFDEE-4670-45BD-A5E3-F46D8017D1BA}</author>
    <author>tc={0F34D13C-7153-43CE-8C18-397B8C7B98C9}</author>
    <author>tc={888DB214-A551-434E-AC5C-F3583E391491}</author>
    <author>tc={3C675CEF-23C8-488C-A004-C54E1AC90D09}</author>
  </authors>
  <commentList>
    <comment ref="A36" authorId="0" shapeId="0" xr:uid="{50D55811-80CC-40A8-AB0E-E39F7476A911}">
      <text>
        <r>
          <rPr>
            <sz val="11"/>
            <color theme="1"/>
            <rFont val="Calibri"/>
            <family val="2"/>
            <scheme val="minor"/>
          </rPr>
  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Esses percentuais de 13º e Férias foram definidos para coincidirem com os valores que serão recolhidos mensalmente para a Conta Vinculada</t>
        </r>
      </text>
    </comment>
    <comment ref="D41" authorId="1" shapeId="0" xr:uid="{B3C8ADEF-8D12-437B-8A49-0C97A1F00928}">
      <text>
        <r>
          <rPr>
            <sz val="11"/>
            <color theme="1"/>
            <rFont val="Calibri"/>
            <family val="2"/>
            <scheme val="minor"/>
          </rPr>
  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Com exceção do item C (SAT) que varia de empresa para empresa,  todos os percentuais do  Submódulo 2.2 são fixos, definidos em lei.</t>
        </r>
      </text>
    </comment>
    <comment ref="A65" authorId="2" shapeId="0" xr:uid="{C11497F5-AFCC-4CBF-A439-BFDC1EAC689F}">
      <text>
        <r>
          <rPr>
            <sz val="11"/>
            <color theme="1"/>
            <rFont val="Calibri"/>
            <family val="2"/>
            <scheme val="minor"/>
          </rPr>
  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Todo este módulo é de preenchimento discricionário da empresa. Para efeitos de estimativa, foram utilizados os valores que costumam ser cotados nas planilhas de serviços com mão-de-obra na CGU.</t>
        </r>
      </text>
    </comment>
    <comment ref="C69" authorId="3" shapeId="0" xr:uid="{CC6EFDEE-4670-45BD-A5E3-F46D8017D1BA}">
      <text>
        <r>
          <rPr>
            <sz val="11"/>
            <color theme="1"/>
            <rFont val="Calibri"/>
            <family val="2"/>
            <scheme val="minor"/>
          </rPr>
  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Valor estimado pela empresa. A soma dos percentuais das Multas do FGTS sobre o API e sobre o APT deve resultar em 4% (valor a ser recolhido mensalmente pela Conta Vinculada)</t>
        </r>
      </text>
    </comment>
    <comment ref="C72" authorId="4" shapeId="0" xr:uid="{0F34D13C-7153-43CE-8C18-397B8C7B98C9}">
      <text>
        <r>
          <rPr>
            <sz val="11"/>
            <color theme="1"/>
            <rFont val="Calibri"/>
            <family val="2"/>
            <scheme val="minor"/>
          </rPr>
  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Valor estimado pela empresa. A soma dos percentuais das Multas do FGTS sobre o API e sobre o APT deve resultar em 4% (valor a ser recolhido mensalmente pela Conta Vinculada)</t>
        </r>
      </text>
    </comment>
    <comment ref="A75" authorId="5" shapeId="0" xr:uid="{888DB214-A551-434E-AC5C-F3583E391491}">
      <text>
        <r>
          <rPr>
            <sz val="11"/>
            <color theme="1"/>
            <rFont val="Calibri"/>
            <family val="2"/>
            <scheme val="minor"/>
          </rPr>
  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Módulo de preenchimento discricionário da licitante. Percentuais estimados conforme a média aplicada no DF</t>
        </r>
      </text>
    </comment>
    <comment ref="A91" authorId="6" shapeId="0" xr:uid="{3C675CEF-23C8-488C-A004-C54E1AC90D09}">
      <text>
        <r>
          <rPr>
            <sz val="11"/>
            <color theme="1"/>
            <rFont val="Calibri"/>
            <family val="2"/>
            <scheme val="minor"/>
          </rPr>
  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Cotações feitas pela área técnica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tc={B421623A-FA7B-4064-932F-2BB493274790}</author>
    <author>tc={F72CE375-4A65-4D87-BA98-E9B0DBE6B333}</author>
    <author>tc={6362D997-6E0B-4F0D-9169-D6D98683A7D4}</author>
    <author>tc={56F3438E-50B1-416C-B990-C5692C9DA801}</author>
    <author>tc={9D160DC4-7DE1-447C-A1B5-6C6FE6F76F5F}</author>
    <author>tc={0DA5C2D1-F42A-4B2B-A097-1CB0833BBE2C}</author>
    <author>tc={E1E755CC-579E-4664-B025-39121A2BA2C3}</author>
  </authors>
  <commentList>
    <comment ref="A36" authorId="0" shapeId="0" xr:uid="{B421623A-FA7B-4064-932F-2BB493274790}">
      <text>
        <r>
          <rPr>
            <sz val="11"/>
            <color theme="1"/>
            <rFont val="Calibri"/>
            <family val="2"/>
            <scheme val="minor"/>
          </rPr>
  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Esses percentuais de 13º e Férias foram definidos para coincidirem com os valores que serão recolhidos mensalmente para a Conta Vinculada</t>
        </r>
      </text>
    </comment>
    <comment ref="D41" authorId="1" shapeId="0" xr:uid="{F72CE375-4A65-4D87-BA98-E9B0DBE6B333}">
      <text>
        <r>
          <rPr>
            <sz val="11"/>
            <color theme="1"/>
            <rFont val="Calibri"/>
            <family val="2"/>
            <scheme val="minor"/>
          </rPr>
  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Com exceção do item C (SAT) que varia de empresa para empresa,  todos os percentuais do  Submódulo 2.2 são fixos, definidos em lei.</t>
        </r>
      </text>
    </comment>
    <comment ref="A65" authorId="2" shapeId="0" xr:uid="{6362D997-6E0B-4F0D-9169-D6D98683A7D4}">
      <text>
        <r>
          <rPr>
            <sz val="11"/>
            <color theme="1"/>
            <rFont val="Calibri"/>
            <family val="2"/>
            <scheme val="minor"/>
          </rPr>
  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Todo este módulo é de preenchimento discricionário da empresa. Para efeitos de estimativa, foram utilizados os valores que costumam ser cotados nas planilhas de serviços com mão-de-obra na CGU.</t>
        </r>
      </text>
    </comment>
    <comment ref="C69" authorId="3" shapeId="0" xr:uid="{56F3438E-50B1-416C-B990-C5692C9DA801}">
      <text>
        <r>
          <rPr>
            <sz val="11"/>
            <color theme="1"/>
            <rFont val="Calibri"/>
            <family val="2"/>
            <scheme val="minor"/>
          </rPr>
  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Valor estimado pela empresa. A soma dos percentuais das Multas do FGTS sobre o API e sobre o APT deve resultar em 4% (valor a ser recolhido mensalmente pela Conta Vinculada)</t>
        </r>
      </text>
    </comment>
    <comment ref="C72" authorId="4" shapeId="0" xr:uid="{9D160DC4-7DE1-447C-A1B5-6C6FE6F76F5F}">
      <text>
        <r>
          <rPr>
            <sz val="11"/>
            <color theme="1"/>
            <rFont val="Calibri"/>
            <family val="2"/>
            <scheme val="minor"/>
          </rPr>
  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Valor estimado pela empresa. A soma dos percentuais das Multas do FGTS sobre o API e sobre o APT deve resultar em 4% (valor a ser recolhido mensalmente pela Conta Vinculada)</t>
        </r>
      </text>
    </comment>
    <comment ref="A75" authorId="5" shapeId="0" xr:uid="{0DA5C2D1-F42A-4B2B-A097-1CB0833BBE2C}">
      <text>
        <r>
          <rPr>
            <sz val="11"/>
            <color theme="1"/>
            <rFont val="Calibri"/>
            <family val="2"/>
            <scheme val="minor"/>
          </rPr>
  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Módulo de preenchimento discricionário da licitante. Percentuais estimados conforme a média aplicada no DF</t>
        </r>
      </text>
    </comment>
    <comment ref="A91" authorId="6" shapeId="0" xr:uid="{E1E755CC-579E-4664-B025-39121A2BA2C3}">
      <text>
        <r>
          <rPr>
            <sz val="11"/>
            <color theme="1"/>
            <rFont val="Calibri"/>
            <family val="2"/>
            <scheme val="minor"/>
          </rPr>
  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Cotações feitas pela área técnica</t>
        </r>
      </text>
    </comment>
  </commentList>
</comments>
</file>

<file path=xl/sharedStrings.xml><?xml version="1.0" encoding="utf-8"?>
<sst xmlns="http://schemas.openxmlformats.org/spreadsheetml/2006/main" count="1289" uniqueCount="428">
  <si>
    <t>CÁLCULO DO BDI</t>
  </si>
  <si>
    <t> </t>
  </si>
  <si>
    <t>BDI REFERENCIAL</t>
  </si>
  <si>
    <t>BDI DIFERENCIADO</t>
  </si>
  <si>
    <t>Administração Central (AC)</t>
  </si>
  <si>
    <t>Seguro + Garantia (S + G)</t>
  </si>
  <si>
    <t>Risco ®</t>
  </si>
  <si>
    <t>Despesa Financeira (DF)</t>
  </si>
  <si>
    <t>Lucro (L)</t>
  </si>
  <si>
    <t>Impostos (I)</t>
  </si>
  <si>
    <t>VALOR</t>
  </si>
  <si>
    <t>IMPOSTOS</t>
  </si>
  <si>
    <t>COFINS</t>
  </si>
  <si>
    <t>PIS</t>
  </si>
  <si>
    <t xml:space="preserve">ISS </t>
  </si>
  <si>
    <t>MATERIAIS</t>
  </si>
  <si>
    <t>item</t>
  </si>
  <si>
    <t>descrição</t>
  </si>
  <si>
    <t>medida</t>
  </si>
  <si>
    <t>CÓDIGO SINAPI</t>
  </si>
  <si>
    <t>custo unitário R$</t>
  </si>
  <si>
    <t>vida útil (meses)</t>
  </si>
  <si>
    <t>qtde</t>
  </si>
  <si>
    <t>custo mensal R$</t>
  </si>
  <si>
    <t>Balde de Plástico de 10 lts</t>
  </si>
  <si>
    <t>unid</t>
  </si>
  <si>
    <t>00010</t>
  </si>
  <si>
    <t>Detergente neutro uso geral, concentrado</t>
  </si>
  <si>
    <t>l</t>
  </si>
  <si>
    <t>44329</t>
  </si>
  <si>
    <t>Estopa</t>
  </si>
  <si>
    <t xml:space="preserve">kg </t>
  </si>
  <si>
    <t>00013</t>
  </si>
  <si>
    <t xml:space="preserve">Fita adesiva de alumínio </t>
  </si>
  <si>
    <t>m</t>
  </si>
  <si>
    <t>42529</t>
  </si>
  <si>
    <t>Fita veda rosca em rolos de 18 mm x 50 m (L X C)</t>
  </si>
  <si>
    <t>03148</t>
  </si>
  <si>
    <t>Fita isolante adesiva antichama, uso até 750 v, em rolo 19 mm x 20 m</t>
  </si>
  <si>
    <t>20111</t>
  </si>
  <si>
    <t>Graxa lubrificante</t>
  </si>
  <si>
    <t>04229</t>
  </si>
  <si>
    <t>Silicone Acetico uso geral incolor 280 g</t>
  </si>
  <si>
    <t>39961</t>
  </si>
  <si>
    <t xml:space="preserve">Pano para limpeza </t>
  </si>
  <si>
    <t>-</t>
  </si>
  <si>
    <t>Pano de Chão</t>
  </si>
  <si>
    <t>Desingraxante 5 lts</t>
  </si>
  <si>
    <t>Rodo cabo alumínio 1 m</t>
  </si>
  <si>
    <t>Vassourão 60 cm</t>
  </si>
  <si>
    <t>total</t>
  </si>
  <si>
    <t>custo mensal por funcionário</t>
  </si>
  <si>
    <t>FERRAMENTAS</t>
  </si>
  <si>
    <t>depreciação mensal R$</t>
  </si>
  <si>
    <t>Bolsa de Ferramentas</t>
  </si>
  <si>
    <t>Alicate universal 8" c/ cabo isolado</t>
  </si>
  <si>
    <t>Alicate de Pressão 10"</t>
  </si>
  <si>
    <t>Tesoura para corte de chapas</t>
  </si>
  <si>
    <t>Chave Inglesa 10"</t>
  </si>
  <si>
    <t>Chave Grifo 18"</t>
  </si>
  <si>
    <t>Chave Fenda 1/4" x 5"</t>
  </si>
  <si>
    <t>Chave Fenda 1/8" x 5"</t>
  </si>
  <si>
    <t>Chave Fenda Cotoco 1/4"</t>
  </si>
  <si>
    <t>Chave Philips 1/4" x 6"</t>
  </si>
  <si>
    <t>Chave Philips 1/8" x 5"</t>
  </si>
  <si>
    <t>Chave Philips Cotoco 1/4"</t>
  </si>
  <si>
    <t>Chave Catraca</t>
  </si>
  <si>
    <t>Martelo Tipo Bola</t>
  </si>
  <si>
    <t>Saca Polias</t>
  </si>
  <si>
    <t>Jogo de Chave Combinada de 6 a 22 mm (10 peças)</t>
  </si>
  <si>
    <t>Jogo de Chave Combinada 1/4" x 1 1/4" (16 peças)</t>
  </si>
  <si>
    <t>Jogo de Chave Allen de 3 a 8 mm (6 peças)</t>
  </si>
  <si>
    <t>Trena 10 metros</t>
  </si>
  <si>
    <t xml:space="preserve">Fita Métrica 1,5m </t>
  </si>
  <si>
    <t>Paquímetro</t>
  </si>
  <si>
    <t>Alicate Amperímetro</t>
  </si>
  <si>
    <t xml:space="preserve">Multímetro (Volt/Ohm/Amp) </t>
  </si>
  <si>
    <t>Furadeira Portátil com Martelete</t>
  </si>
  <si>
    <t>Jogo de Brocas de Widea de 5 a 12 mm</t>
  </si>
  <si>
    <t>Jogo de Brocas de 3/8" a 1"</t>
  </si>
  <si>
    <t>Jogo de Brocas de 4 a 12 mm</t>
  </si>
  <si>
    <t>Máquina de Solda Elétrica</t>
  </si>
  <si>
    <t>Aspirador Pó/Água Industrial 1200W</t>
  </si>
  <si>
    <t>Escada dupla 8 degraus</t>
  </si>
  <si>
    <t xml:space="preserve">Lanterna Portátil </t>
  </si>
  <si>
    <t>Rádios Comunicadores c/ Baterias recarregáveis</t>
  </si>
  <si>
    <t>Relógio de Ponto Eletrônico</t>
  </si>
  <si>
    <t>Lavadora Alta Pressão</t>
  </si>
  <si>
    <t>Termoanemômetro resolução 0,1 m/s</t>
  </si>
  <si>
    <t>Termo Higrômetro Digital Portátil resolução 0,5 °C e 0,5%</t>
  </si>
  <si>
    <t xml:space="preserve">Termômetro laser com range -10°C à +50°C </t>
  </si>
  <si>
    <t>Decibelímetro resolução 0,1 dB</t>
  </si>
  <si>
    <t>UNIFORME</t>
  </si>
  <si>
    <t>Calça brim pesado 100% algodão</t>
  </si>
  <si>
    <t>Camiseta com emblema da empresa</t>
  </si>
  <si>
    <t>Jaleco mangas longas, brim pesado 100% algodão com emblema da empresa</t>
  </si>
  <si>
    <t>Meia</t>
  </si>
  <si>
    <t>par</t>
  </si>
  <si>
    <t>EPI</t>
  </si>
  <si>
    <t>Luva raspa de couro, cano curto (punho 7 cm)</t>
  </si>
  <si>
    <t>Bota de segurança c/ biqueira de aço</t>
  </si>
  <si>
    <t>Capa para chuva PVC com forro de poliéster</t>
  </si>
  <si>
    <t>Capacete de segurança aba frontal c/ suspensão de polietileno (Classe B)</t>
  </si>
  <si>
    <t>Protetor auditivo tipo plug de inserção c/ cordão, atenuação superior a 15 dB</t>
  </si>
  <si>
    <t>Cinturão de segurança tipo paraquedista, fivela em aço, ajuste no suspensório, cintura e pernas</t>
  </si>
  <si>
    <t>Óculos de segurança contra impacto com lente incolor, armação nylon c/ proteção UVA e UVB</t>
  </si>
  <si>
    <t>SERVIÇOS ESPECIALIZADOS</t>
  </si>
  <si>
    <t>ITEM</t>
  </si>
  <si>
    <t>DESCRIÇÃO</t>
  </si>
  <si>
    <t>PERIODICIDADE</t>
  </si>
  <si>
    <t>CUSTO UNITÁRIO</t>
  </si>
  <si>
    <t>BDI</t>
  </si>
  <si>
    <t>CUSTO UNITÁRIO + BDI</t>
  </si>
  <si>
    <t>CUSTO MENSAL</t>
  </si>
  <si>
    <t>CUSTO ANUAL</t>
  </si>
  <si>
    <t>Tratamento da Água Gelada e Água de Condensação</t>
  </si>
  <si>
    <t>mensal</t>
  </si>
  <si>
    <t>Avaliação da Qualidade do Ar Interior</t>
  </si>
  <si>
    <t>semestral</t>
  </si>
  <si>
    <t>Manutenção Sistema de Supervisão e Controle Predial - SSCP</t>
  </si>
  <si>
    <t>TOTAL</t>
  </si>
  <si>
    <t>ORÇAMENTO ESTIMADO PARA TODO O CONTRATO DE PEÇAS/COMPONENTES (FORNECIMETNO SOB DEMANDA)</t>
  </si>
  <si>
    <t>OBS: LISTA NÃO EXAUSTIVA (Ver subitem 3.3.3 do Termo de Referência)</t>
  </si>
  <si>
    <t>COMPONENTE</t>
  </si>
  <si>
    <t>UND</t>
  </si>
  <si>
    <t>QTD</t>
  </si>
  <si>
    <t>VALOR UND</t>
  </si>
  <si>
    <t>VALOR + BDI</t>
  </si>
  <si>
    <t>VALOR TOTAL</t>
  </si>
  <si>
    <t>Soft Start SIMIENS SIRIUS 3RW4024, 5 a 12,5 A.</t>
  </si>
  <si>
    <t>Soft Start SIMIENS SIRIUS 3RW4027, 17 a 32 A.</t>
  </si>
  <si>
    <t>Inversor de Frequência SIEMENS SINAMICS V20 p/ motor 30 cv</t>
  </si>
  <si>
    <t>Inversor de Frequência SIEMENS SINAMICS V20 p/ motor 4,0 cv</t>
  </si>
  <si>
    <t>Inversor de Frequência WEG CFW 500 p/ motor 5,0 cv</t>
  </si>
  <si>
    <t>Relé FF Trifásico ALTRONIC 220/380 V</t>
  </si>
  <si>
    <t>Relé FF Trifásico SIMIENS 3UG07</t>
  </si>
  <si>
    <t>Relé Auxiliar SCHRACK RT424730 10 A/250 V</t>
  </si>
  <si>
    <t>Protetor DPS CLAMPER VCL SLIM 460V 45 kA</t>
  </si>
  <si>
    <t>Protetor DPS EMBRATEC 275 V 20 kA</t>
  </si>
  <si>
    <t>Contator SIEMENS 3TS30</t>
  </si>
  <si>
    <t>Contator SIEMENS 3TS29</t>
  </si>
  <si>
    <t>Contator SIEMENS 3TF41</t>
  </si>
  <si>
    <t>Relé Térmico de Sobrecarga SIEMENS 3US55</t>
  </si>
  <si>
    <t>Relé Térmico de Sobrecarga SIEMENS 3US50</t>
  </si>
  <si>
    <t>Relé Térmico de Sobrecarga SIEMENS 3UA50</t>
  </si>
  <si>
    <t>Programador Horário COEL BWT40HR</t>
  </si>
  <si>
    <t>Temporizador JNG JK9261-B</t>
  </si>
  <si>
    <t>Rolamento SKF 6308 C3</t>
  </si>
  <si>
    <t>Rolamento SKF 6310 C3</t>
  </si>
  <si>
    <t>Rolamento SKF 6207-ZZ</t>
  </si>
  <si>
    <t>Rolamento SKF 6206-ZZ</t>
  </si>
  <si>
    <t>Rolamento SKF 6205-ZZ</t>
  </si>
  <si>
    <t>Rolamento SKF 6204-ZZ</t>
  </si>
  <si>
    <t>Retentor 40 x 55 x 8 - 02391 - 01707 BRG</t>
  </si>
  <si>
    <t>Retentor 50 x 70 x 10 - 5269 - 00946 BR</t>
  </si>
  <si>
    <t>Selo Mecânico T21 1.3/4" BUNA</t>
  </si>
  <si>
    <t>Acoplamento Elástico AE/AG-97</t>
  </si>
  <si>
    <t>Acoplamento Elástico AE/AG-82</t>
  </si>
  <si>
    <t>Acoplamento Elástico AE/AG-112</t>
  </si>
  <si>
    <t>Correia Perfil em “V” A85</t>
  </si>
  <si>
    <t>Correia Perfil em “V” A92</t>
  </si>
  <si>
    <t>Correia Perfil em “V” BX73</t>
  </si>
  <si>
    <t>Correia Perfil em “V” BX52</t>
  </si>
  <si>
    <t>Correia Perfil em “V” BX51</t>
  </si>
  <si>
    <t>Correia Perfil em “V” BX50</t>
  </si>
  <si>
    <t>Correia Perfil em “V” BX46</t>
  </si>
  <si>
    <t>Correia Perfil em “V” BX42</t>
  </si>
  <si>
    <t>Correia Perfil em “V” BX41</t>
  </si>
  <si>
    <t>Correia Perfil em “V” BX39</t>
  </si>
  <si>
    <t>Válvula Solenóide 2/2 Vias N. Fechada 3/4 220 V</t>
  </si>
  <si>
    <t>Atuador Proporcional BELIMO ARB24-SR 20 N.m 24 VAC/DC</t>
  </si>
  <si>
    <t>Manta Filtrante em fibra sintética – mínimo classe M5</t>
  </si>
  <si>
    <r>
      <t>M</t>
    </r>
    <r>
      <rPr>
        <vertAlign val="superscript"/>
        <sz val="11"/>
        <color theme="1"/>
        <rFont val="Arial"/>
        <family val="2"/>
      </rPr>
      <t>2</t>
    </r>
  </si>
  <si>
    <t>Duto Flexível Aluminizado c/ isolamento 200 mm (8 pol) rolo c/ 6 m</t>
  </si>
  <si>
    <t>Colarinho para Duto Flexível c/ Registro - 200 mm (8 pol)</t>
  </si>
  <si>
    <t>Difusor de Ar quadrado 4 vias c/ registro simples T4 (ref. TROX)</t>
  </si>
  <si>
    <t>Caixa Plenum p/ difusor quadrado T4 c/ bocal 200 mm (8 pol)</t>
  </si>
  <si>
    <t>Gerenciadora Sistema Talent SCS Tcom-Tmaneger</t>
  </si>
  <si>
    <t>Controladora Sistema Talent SCS Tcontrol 1107</t>
  </si>
  <si>
    <t>VALOR ESTIMADO PARA 12 MESES:</t>
  </si>
  <si>
    <t>VALOR ESTIMADO MENSAL:</t>
  </si>
  <si>
    <t>PLANILHA ESTIMATIVA DE CUSTOS</t>
  </si>
  <si>
    <t xml:space="preserve">INSTRUÇÃO NORMATIVA Nº 5, DE 26 DE MAIO DE 2017 (Atualizada) e </t>
  </si>
  <si>
    <t>INSTRUÇÃO NORMATIVA Nº 7, DE 20 DE SETEMBRO DE 2018.</t>
  </si>
  <si>
    <t>CONTROLADORIA-GERAL DA UNIÃO/DF</t>
  </si>
  <si>
    <t>DADOS PROCESSUAIS</t>
  </si>
  <si>
    <t>1 -</t>
  </si>
  <si>
    <t xml:space="preserve">Processo n.º: </t>
  </si>
  <si>
    <t>00190.112287/2022-43</t>
  </si>
  <si>
    <t>2 -</t>
  </si>
  <si>
    <t xml:space="preserve">Pregão Eletrônico n.º: </t>
  </si>
  <si>
    <t>3 -</t>
  </si>
  <si>
    <t xml:space="preserve">Data: </t>
  </si>
  <si>
    <t>4 -</t>
  </si>
  <si>
    <t xml:space="preserve">Horário: </t>
  </si>
  <si>
    <t>DISCRIMINAÇÃO DOS SERVIÇOS</t>
  </si>
  <si>
    <t>5 -</t>
  </si>
  <si>
    <t xml:space="preserve">Data da Apresentação da Proposta: </t>
  </si>
  <si>
    <t>6 -</t>
  </si>
  <si>
    <t>Município/UF:</t>
  </si>
  <si>
    <t>BRASÍLIA/DF</t>
  </si>
  <si>
    <t>7 -</t>
  </si>
  <si>
    <t>Prazo de Execução Contratual:</t>
  </si>
  <si>
    <t>MESES</t>
  </si>
  <si>
    <t>12</t>
  </si>
  <si>
    <t>8 -</t>
  </si>
  <si>
    <t>Tipo de Serviço:</t>
  </si>
  <si>
    <t>MANUTENÇÃO AR-CONDICIONADO</t>
  </si>
  <si>
    <t>9 -</t>
  </si>
  <si>
    <t>Unidade de Medida:</t>
  </si>
  <si>
    <t>POSTO DE TRABALHO</t>
  </si>
  <si>
    <t>10 -</t>
  </si>
  <si>
    <t>Salário Mínimo Vigente:</t>
  </si>
  <si>
    <t>R$</t>
  </si>
  <si>
    <t>MÃO DE OBRA VINCULADA À EXECUÇÃO CONTRATUAL</t>
  </si>
  <si>
    <t>OBSERVAÇÕES</t>
  </si>
  <si>
    <t>11 -</t>
  </si>
  <si>
    <t>Tipo de Serviço - (Cargo/Função):</t>
  </si>
  <si>
    <t>TÉCNICO EM REFRIGERAÇÃO</t>
  </si>
  <si>
    <t>12 -</t>
  </si>
  <si>
    <t>Classificação Brasileira de Ocupações (CBO):</t>
  </si>
  <si>
    <t>13 -</t>
  </si>
  <si>
    <t>Salário Normativo da Categoria:</t>
  </si>
  <si>
    <t>14 -</t>
  </si>
  <si>
    <t>CCT/Registro no MTE:</t>
  </si>
  <si>
    <t>15 -</t>
  </si>
  <si>
    <t>Data do Registro no MTE:</t>
  </si>
  <si>
    <t>16 -</t>
  </si>
  <si>
    <t>Data-Base da Categoria:</t>
  </si>
  <si>
    <t xml:space="preserve">17 - </t>
  </si>
  <si>
    <t>Jornada de Trabalho:</t>
  </si>
  <si>
    <t>44 horas semanais</t>
  </si>
  <si>
    <t>18 -</t>
  </si>
  <si>
    <t>Quantidade de postos:</t>
  </si>
  <si>
    <t>MÓDULO 1 - COMPOSIÇÃO DA REMUNERAÇÃO</t>
  </si>
  <si>
    <t xml:space="preserve">Composição da Remuneração </t>
  </si>
  <si>
    <t xml:space="preserve">Valor (R$) </t>
  </si>
  <si>
    <t>A -</t>
  </si>
  <si>
    <t>Salário-Base</t>
  </si>
  <si>
    <t xml:space="preserve">B - </t>
  </si>
  <si>
    <r>
      <t xml:space="preserve">Adicional de Periculosidade </t>
    </r>
    <r>
      <rPr>
        <sz val="11"/>
        <color rgb="FFFF0000"/>
        <rFont val="Arial"/>
        <family val="2"/>
      </rPr>
      <t>(30% do Salário-Base)</t>
    </r>
  </si>
  <si>
    <t>TOTAL DO MÓDULO 1</t>
  </si>
  <si>
    <t>MÓDULO 2 - ENCARGOS E BENEFÍCIOS ANUAIS, MENSAIS E DIÁRIOS</t>
  </si>
  <si>
    <t>Submódulo 2.1 - 13º (Décimo Terceiro) Salário, Férias e Adicional de Férias</t>
  </si>
  <si>
    <t>Perc. (%)</t>
  </si>
  <si>
    <t>Valor (R$)</t>
  </si>
  <si>
    <t xml:space="preserve">13º (Décimo Terceiro) Salário                                   </t>
  </si>
  <si>
    <t>B -</t>
  </si>
  <si>
    <t>Férias e Adicional de Férias</t>
  </si>
  <si>
    <t>Total do Submódulo 2.1</t>
  </si>
  <si>
    <t>Submódulo 2.2 - Encargos Previdenciários, FGTS e Outras Contribuições</t>
  </si>
  <si>
    <t xml:space="preserve">INSS - Art. 22, Inciso I, da Lei nº 8.212/91                                                                                    </t>
  </si>
  <si>
    <t xml:space="preserve">Salário Educação - Art. 3º, Inciso I, Decreto n.º 87.043/82                                               </t>
  </si>
  <si>
    <t>C -</t>
  </si>
  <si>
    <t xml:space="preserve">Seguro Acidente de Trabalho (RAT x FAP) - Decreto nº 3.048/99 </t>
  </si>
  <si>
    <t>D -</t>
  </si>
  <si>
    <t xml:space="preserve">SESC ou SESI - Art. 3º, Lei n.º 8.036/90 </t>
  </si>
  <si>
    <t>E -</t>
  </si>
  <si>
    <t>SENAI - SENAC - Decreto n.º 2.318/86</t>
  </si>
  <si>
    <t>F -</t>
  </si>
  <si>
    <t xml:space="preserve">SEBRAE - Art. 8º, Lei n.º 8.029/90 e Lei n.º 8.154/90                                          </t>
  </si>
  <si>
    <t>G -</t>
  </si>
  <si>
    <t xml:space="preserve">INCRA - Lei n.º 7.787/89 e DL n.º 1.146/70                          </t>
  </si>
  <si>
    <t>H -</t>
  </si>
  <si>
    <t xml:space="preserve">FGTS - Art. 15, Lei nº 8.030/90 e Art. 7º, III, CF                                                                      </t>
  </si>
  <si>
    <t>Total do Submódulo 2.2</t>
  </si>
  <si>
    <t>Submódulo 2.3 - Benefícios Mensais e Diários</t>
  </si>
  <si>
    <t>Vl. Ref. (R$)</t>
  </si>
  <si>
    <t>Auxílio Transporte</t>
  </si>
  <si>
    <t>Auxílio Alimentação</t>
  </si>
  <si>
    <t>Total do Submódulo 2.3</t>
  </si>
  <si>
    <t>Submódulo 2.4 - Intervalo Intrajornada do Titular</t>
  </si>
  <si>
    <t>Horas no mês</t>
  </si>
  <si>
    <t>Intervalo Intrajornada</t>
  </si>
  <si>
    <t>Total do Submódulo 2.4</t>
  </si>
  <si>
    <t>RESUMO DO MÓDULO 2 - Encargos e Benefícios Anuais, Mensais e Diários</t>
  </si>
  <si>
    <t>2.1 -</t>
  </si>
  <si>
    <t>13º (Décimo Terceiro) Salário, Férias e Adicional de Férias</t>
  </si>
  <si>
    <t>2.2 -</t>
  </si>
  <si>
    <t>Encargos Previdenciários, FGTS e Outras Contribuições</t>
  </si>
  <si>
    <t>2.3 -</t>
  </si>
  <si>
    <t>Benefícios Mensais e Diários</t>
  </si>
  <si>
    <t>2.4</t>
  </si>
  <si>
    <t>Intervalo Intrajornada do Titular</t>
  </si>
  <si>
    <t>TOTAL DO MÓDULO 2</t>
  </si>
  <si>
    <t>MÓDULO 3 - PROVISÃO PARA RESCISÃO</t>
  </si>
  <si>
    <t>Provisão para Rescisão</t>
  </si>
  <si>
    <t>Aviso prévio indenizado Art. 7º, XXI, CF/88, 477, 487 e 491 CLT</t>
  </si>
  <si>
    <t>Incidência do FGTS  sobre aviso prévio indenizado  Leis Nº 8.036/90 e 9.491/97</t>
  </si>
  <si>
    <t>Multa do FGTS e contribuição social sobre o Aviso Prévio Indenizado  Leis Nº 8.036/90 e 9.491/97</t>
  </si>
  <si>
    <t>Aviso prévio trabalhado Art. 7º, XXI, CF/88, 477, 487 e 491CLT. Redução de 7 dias ou 2 horas por dia, percentual relativo a contrato de 12 meses</t>
  </si>
  <si>
    <t>Incidência dos encargos do submódulo 2.2 sobre o Aviso Prévio</t>
  </si>
  <si>
    <t>Multa do FGTS e contribuição social sobre aviso prévio trabalhado Leis Nº 8.036/90 e 9.491/97</t>
  </si>
  <si>
    <t>TOTAL DO MÓDULO 3</t>
  </si>
  <si>
    <t>MÓDULO 4 - CUSTO DE REPOSIÇÃO DO PROFISSIONAL AUSENTE</t>
  </si>
  <si>
    <t>Submódulo 4.1 - Ausências Legais</t>
  </si>
  <si>
    <t>Substituto na cobertura de Férias</t>
  </si>
  <si>
    <t>Substituto na cobertura de Ausências Legais</t>
  </si>
  <si>
    <t>Substituto na cobertura de Licença-Paternidade</t>
  </si>
  <si>
    <t>Substituto na cobertura de Ausência por Acidente de Trabalho</t>
  </si>
  <si>
    <t>Substituto na cobertura de  Afastamento Maternidade</t>
  </si>
  <si>
    <t>Total do Submódulo 4.1</t>
  </si>
  <si>
    <t>Submódulo 4.2 - Intrajornada</t>
  </si>
  <si>
    <t>Intervalo para Repouso ou Alimentação</t>
  </si>
  <si>
    <t>Total do Submódulo 4.2</t>
  </si>
  <si>
    <t>RESUMO DO MÓDULO 4 - Custo de Reposição do Profissional Ausente</t>
  </si>
  <si>
    <t>4.1 -</t>
  </si>
  <si>
    <t>Ausências Legais</t>
  </si>
  <si>
    <t>4.2</t>
  </si>
  <si>
    <t>TOTAL DO MÓDULO 4</t>
  </si>
  <si>
    <t>MÓDULO 5 - INSUMOS DIVERSOS</t>
  </si>
  <si>
    <t>Insumos Diversos</t>
  </si>
  <si>
    <t>Materiais</t>
  </si>
  <si>
    <t>Ferramental</t>
  </si>
  <si>
    <t>Uniformes</t>
  </si>
  <si>
    <t xml:space="preserve">D - </t>
  </si>
  <si>
    <t>TOTAL DO MÓDULO 5</t>
  </si>
  <si>
    <t>MÓDULO 6 - CUSTOS INDIRETOS, LUCRO E TRIBUTOS</t>
  </si>
  <si>
    <t>Custos Indiretos, Tributos e Lucro</t>
  </si>
  <si>
    <t>Custos Indiretos</t>
  </si>
  <si>
    <t>Lucro</t>
  </si>
  <si>
    <t>C.1) Tributos Federais (especificar)</t>
  </si>
  <si>
    <t xml:space="preserve">        COFINS - </t>
  </si>
  <si>
    <t xml:space="preserve">        PIS - </t>
  </si>
  <si>
    <t>C.2) Tributos Estaduais (especificar)</t>
  </si>
  <si>
    <t>C.3) Tributos Municipais (especificar)</t>
  </si>
  <si>
    <t xml:space="preserve">        ISS</t>
  </si>
  <si>
    <t>TOTAL DO MÓDULO 6</t>
  </si>
  <si>
    <t>QUADRO - RESUMO DO CUSTO POR EMPREGADO</t>
  </si>
  <si>
    <t>Mão de obra vinculada à execução contratual (valor por posto de trabalho)</t>
  </si>
  <si>
    <t>Módulo 1 - Composição da Remuneração</t>
  </si>
  <si>
    <t>Módulo 2 - Encargos e Benefícios Anuais, Mensais e Diários</t>
  </si>
  <si>
    <t>Módulo 3 - Provisão para Rescisão</t>
  </si>
  <si>
    <t>Módulo 4 - Custo de Reposição do Profissional Ausente</t>
  </si>
  <si>
    <t>Módulo 5 - Insumos Diversos</t>
  </si>
  <si>
    <t>Subtotal =&gt; (A+B+C+D+E)</t>
  </si>
  <si>
    <t>Módulo 6 - Custos Indiretos, Lucro e Tributos</t>
  </si>
  <si>
    <t>TOTAL POR EMPREGADO =&gt; (A+B+C+D+E+F)</t>
  </si>
  <si>
    <t>VALOR HOMEM HORA (44H/SEMANA)</t>
  </si>
  <si>
    <t>SUPERVISOR ENG. MECÂNICO</t>
  </si>
  <si>
    <t>2142-05</t>
  </si>
  <si>
    <t>Materiais (Relógio de Ponto)</t>
  </si>
  <si>
    <t>Equipamentos</t>
  </si>
  <si>
    <t>TÉCNICO ELETRICISTA</t>
  </si>
  <si>
    <t>3131-30</t>
  </si>
  <si>
    <t xml:space="preserve"> ORÇAMENTO ANUAL ESTIMADO DE CUSTOS DE MÃO DE OBRA COM DEDICAÇÃO EXCLUSIVA PARA SERVIÇOS CONTÍNUOS (OPERAÇÃO/MONITORAMENTO)</t>
  </si>
  <si>
    <t>Nº</t>
  </si>
  <si>
    <t>POSTO</t>
  </si>
  <si>
    <t>CCT UTILIZADA COMO REFERÊNCIA PARA A ESTIMATIVA</t>
  </si>
  <si>
    <t>QUANTIDADE DE POSTOS</t>
  </si>
  <si>
    <t>QUANTIDADE DE FUNCIONÁRIOS POR POSTO</t>
  </si>
  <si>
    <t>TOTAL DE FUNCIONÁRIOS</t>
  </si>
  <si>
    <t>VALOR MENSAL POR POSTO</t>
  </si>
  <si>
    <t>VALOR MENSAL TOTAL</t>
  </si>
  <si>
    <t>VALOR ANUAL</t>
  </si>
  <si>
    <t>A</t>
  </si>
  <si>
    <t>B</t>
  </si>
  <si>
    <t>C = A*B</t>
  </si>
  <si>
    <t>D</t>
  </si>
  <si>
    <t>E = C*D</t>
  </si>
  <si>
    <t>F = E*12</t>
  </si>
  <si>
    <t>Técnico em Refrigeração</t>
  </si>
  <si>
    <t>ORÇAMENTO ANUAL ESTIMADO DE CUSTOS DE MÃO DE OBRA SEM DEDICAÇÃO EXCLUSIVA PARA SERVIÇOS CONTÍNUOS (CORRETIVA E PREVENTIVA)</t>
  </si>
  <si>
    <t>QUANTIDADE DE HORAS MÁXIMA MENSAL</t>
  </si>
  <si>
    <t>VALOR HOMEM/HORA</t>
  </si>
  <si>
    <t>C</t>
  </si>
  <si>
    <t>D = A*B*</t>
  </si>
  <si>
    <t>E = D*12</t>
  </si>
  <si>
    <t>Supervisor Eng. Mecânico</t>
  </si>
  <si>
    <t>CCT SINDUSCON-DF SENGE-DF 2021-2023</t>
  </si>
  <si>
    <t>Técnico Eletricista</t>
  </si>
  <si>
    <t>Ajudante Geral de Manutenção e Reparos</t>
  </si>
  <si>
    <t>CUSTO TOTAL ESTIMADO</t>
  </si>
  <si>
    <t>I – EQUIPE RESIDENTE + SERVIÇOS ESPECIALIZADOS</t>
  </si>
  <si>
    <t>(custo fixo do contrato)</t>
  </si>
  <si>
    <t xml:space="preserve">Valor Mensal do Posto de Serviço </t>
  </si>
  <si>
    <t>Qtde de Postos</t>
  </si>
  <si>
    <t xml:space="preserve"> Valor Mensal do Serviço</t>
  </si>
  <si>
    <t>I.1 Técnico em Refrigeração (Equipe Residente)</t>
  </si>
  <si>
    <t>I.2 Serviços Especializados</t>
  </si>
  <si>
    <t>TOTAL:</t>
  </si>
  <si>
    <t>II – MANUTENÇÃO PREVENTIVA/CORRETIVA + AQUISIÇÃO DE PEÇAS PLANILHADAS/LICITADAS</t>
  </si>
  <si>
    <t>(custo variável do contrato)</t>
  </si>
  <si>
    <t>II.1 Engenheiro Mecânico – supervisor: custo variável, máximo 8h por mês</t>
  </si>
  <si>
    <t>Valor por hora</t>
  </si>
  <si>
    <t>Valor Mensal máximo (8 h)</t>
  </si>
  <si>
    <t>II.2 Técnico em Refrigeração: custo variável, máximo 48 h por mês</t>
  </si>
  <si>
    <t>Valor Mensal máximo (48 h)</t>
  </si>
  <si>
    <t>II.3 Técnico Eletricista: custo variável, máximo 48 h por mês</t>
  </si>
  <si>
    <t>II.4 Auxilar Geral de Manutenção e Reparos: custo variável, máximo 32 h por mês</t>
  </si>
  <si>
    <t>Valor Mensal máximo (16 h)</t>
  </si>
  <si>
    <t>II.5 Peças planilhadas e licitadas (aquisição por demanda)</t>
  </si>
  <si>
    <t>Valor total mensal para aquisição das peças planilhadas</t>
  </si>
  <si>
    <t>TABELA RESUMO DOS CUSTOS MENSAIS</t>
  </si>
  <si>
    <t>Técnico em Refrigeração (Equipe Residente)</t>
  </si>
  <si>
    <t>Serviços Especializados</t>
  </si>
  <si>
    <t>Custos Fixos (I)</t>
  </si>
  <si>
    <t>Manutenção Preventiva/Corretiva</t>
  </si>
  <si>
    <t>Peças Planilhadas e Licitadas (Aquisição por Demanda)</t>
  </si>
  <si>
    <t>Custos Variáveis (II):</t>
  </si>
  <si>
    <t>TOTAL = Custos Fixos + Custos Variáveis:</t>
  </si>
  <si>
    <t>TABELA DA MARGEM DE LUCRO MENSAL</t>
  </si>
  <si>
    <t>Margem de Lucro na equipe residente</t>
  </si>
  <si>
    <t>Margem de Lucro na mão de obra sem dedicação exclusiva</t>
  </si>
  <si>
    <t>TOTAL (12 MESES):</t>
  </si>
  <si>
    <r>
      <t xml:space="preserve">VALOR TOTAL </t>
    </r>
    <r>
      <rPr>
        <b/>
        <sz val="10"/>
        <color rgb="FFFF0000"/>
        <rFont val="Arial Black"/>
        <family val="2"/>
      </rPr>
      <t>(valor mensal do serviço multiplicado pelos 12 meses de contrato)</t>
    </r>
  </si>
  <si>
    <t>VALOR PARA DISPUTA DOS LANCES NO PREGÃO</t>
  </si>
  <si>
    <t>AJUDANTE GERAL DE MANUTENÇÃO</t>
  </si>
  <si>
    <t>7156-15</t>
  </si>
  <si>
    <t>ÁREA TÉCNICA (NÃO FOI CONSIDERADO)</t>
  </si>
  <si>
    <t>Lucro por hora</t>
  </si>
  <si>
    <t>Lucro por mês (8h)</t>
  </si>
  <si>
    <t>Lucro por hora - Técnico da equipe de mão de obra não exclusiva</t>
  </si>
  <si>
    <t>Lucro por mensal do Técnico da equipe de mão de obra não exclusiva (48h)</t>
  </si>
  <si>
    <t>Lucro por mensal do Técnico da equipe de mão de obra não exclusiva (32h)</t>
  </si>
  <si>
    <t>02/2023</t>
  </si>
  <si>
    <t>DF000220/2022</t>
  </si>
  <si>
    <t>CCT SIMEB DF 2022-2023</t>
  </si>
  <si>
    <t>CCT SIMEB DF 2022-2023 - Cláusula quinquagésima segunda</t>
  </si>
  <si>
    <t>CCT SIMEB DF 2022-2023- Cláusula Vigésima Sexta</t>
  </si>
  <si>
    <t>CCT SIMEB DF 2022-2023- Cláusula Sexta</t>
  </si>
  <si>
    <t xml:space="preserve">TERMO ADITIVO CCT SENGE-DF SINDUSCON-DF 2021-2023 - Cláusula Terceira </t>
  </si>
  <si>
    <t>DF000653/2022</t>
  </si>
  <si>
    <t>TERMO ADITIVO CCT SENGE-DF SINDUSCON-DF 2021-2023</t>
  </si>
  <si>
    <t>TERMO ADITIVO CCT SENGE-DF SINDUSCON-DF 2021-2023 - Cláusula Terceira Parágrafo Primeiro</t>
  </si>
  <si>
    <t>CCT SENGE-DF SINDUSCON-DF 2021-2023 - Cláusula Décima</t>
  </si>
  <si>
    <t>TERMO ADITIVO CCT SENGE-DF SINDUSCON-DF 2021-2023 - Cláusula Quinta</t>
  </si>
  <si>
    <t>CCT SIMEB-DF 2022-2023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</si>
</sst>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#,##0.00_ ;\-#,##0.00\ "/>
    <numFmt numFmtId="165" formatCode="&quot;R$ &quot;#,##0_);\(&quot;R$ &quot;#,##0\)"/>
    <numFmt numFmtId="166" formatCode="_-* #,##0_-;\-* #,##0_-;_-* &quot;-&quot;??_-;_-@_-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2"/>
      <color rgb="FFFFFFFF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sz val="11"/>
      <color theme="1"/>
      <name val="Arial"/>
      <family val="2"/>
    </font>
    <font>
      <b/>
      <sz val="12"/>
      <color rgb="FF000000"/>
      <name val="Arial"/>
      <family val="2"/>
    </font>
    <font>
      <b/>
      <sz val="12"/>
      <color theme="0"/>
      <name val="Arial"/>
      <family val="2"/>
    </font>
    <font>
      <b/>
      <sz val="10"/>
      <color rgb="FF000000"/>
      <name val="Arial"/>
      <family val="2"/>
    </font>
    <font>
      <b/>
      <sz val="10"/>
      <color rgb="FFFF0000"/>
      <name val="Arial"/>
      <family val="2"/>
    </font>
    <font>
      <sz val="11"/>
      <name val="Arial"/>
      <family val="2"/>
    </font>
    <font>
      <b/>
      <sz val="12"/>
      <color rgb="FFFF0000"/>
      <name val="Arial"/>
      <family val="2"/>
    </font>
    <font>
      <sz val="11"/>
      <color rgb="FF242424"/>
      <name val="Arial"/>
      <family val="2"/>
    </font>
    <font>
      <vertAlign val="superscript"/>
      <sz val="11"/>
      <color theme="1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11"/>
      <color rgb="FFFF0000"/>
      <name val="Arial"/>
      <family val="2"/>
    </font>
    <font>
      <b/>
      <i/>
      <sz val="11"/>
      <name val="Arial"/>
      <family val="2"/>
    </font>
    <font>
      <b/>
      <sz val="11"/>
      <color theme="1"/>
      <name val="Arial"/>
      <family val="2"/>
    </font>
    <font>
      <b/>
      <sz val="14"/>
      <color theme="0"/>
      <name val="Arial"/>
      <family val="2"/>
    </font>
    <font>
      <b/>
      <sz val="11"/>
      <color rgb="FF0000FF"/>
      <name val="Arial"/>
      <family val="2"/>
    </font>
    <font>
      <b/>
      <sz val="10"/>
      <color theme="1"/>
      <name val="Arial"/>
      <family val="2"/>
    </font>
    <font>
      <b/>
      <sz val="10"/>
      <name val="Cambria"/>
      <family val="1"/>
    </font>
    <font>
      <sz val="10"/>
      <color rgb="FFFF3366"/>
      <name val="Arial"/>
      <family val="2"/>
    </font>
    <font>
      <b/>
      <sz val="10"/>
      <color rgb="FFFF0000"/>
      <name val="Arial Black"/>
      <family val="2"/>
    </font>
    <font>
      <sz val="11"/>
      <color theme="1"/>
      <name val="Cambria"/>
      <family val="1"/>
    </font>
  </fonts>
  <fills count="27">
    <fill>
      <patternFill patternType="none"/>
    </fill>
    <fill>
      <patternFill patternType="gray125"/>
    </fill>
    <fill>
      <patternFill patternType="solid">
        <fgColor rgb="FF203764"/>
        <bgColor rgb="FF000000"/>
      </patternFill>
    </fill>
    <fill>
      <patternFill patternType="solid">
        <fgColor rgb="FFBDD7EE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rgb="FF000000"/>
      </patternFill>
    </fill>
    <fill>
      <patternFill patternType="solid">
        <fgColor theme="8" tint="-0.499984740745262"/>
        <bgColor rgb="FFCCFFFF"/>
      </patternFill>
    </fill>
    <fill>
      <patternFill patternType="solid">
        <fgColor rgb="FFDCDCDC"/>
        <bgColor rgb="FFE6E6E6"/>
      </patternFill>
    </fill>
    <fill>
      <patternFill patternType="solid">
        <fgColor theme="0"/>
        <bgColor rgb="FFBCFDB7"/>
      </patternFill>
    </fill>
    <fill>
      <patternFill patternType="solid">
        <fgColor theme="0"/>
        <bgColor rgb="FFE6FF00"/>
      </patternFill>
    </fill>
    <fill>
      <patternFill patternType="solid">
        <fgColor theme="0"/>
        <bgColor rgb="FFE6E6E6"/>
      </patternFill>
    </fill>
    <fill>
      <patternFill patternType="solid">
        <fgColor theme="0" tint="-0.14999847407452621"/>
        <bgColor rgb="FFCCFFFF"/>
      </patternFill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-0.499984740745262"/>
        <bgColor rgb="FFF8DEC0"/>
      </patternFill>
    </fill>
    <fill>
      <patternFill patternType="solid">
        <fgColor theme="0" tint="-0.14999847407452621"/>
        <bgColor rgb="FFF8DEC0"/>
      </patternFill>
    </fill>
    <fill>
      <patternFill patternType="solid">
        <fgColor theme="0" tint="-0.14999847407452621"/>
        <bgColor rgb="FFE6E6E6"/>
      </patternFill>
    </fill>
    <fill>
      <patternFill patternType="solid">
        <fgColor theme="4" tint="0.39997558519241921"/>
        <bgColor rgb="FFE6E6E6"/>
      </patternFill>
    </fill>
    <fill>
      <patternFill patternType="solid">
        <fgColor theme="4" tint="0.39997558519241921"/>
        <bgColor rgb="FFE0FFFF"/>
      </patternFill>
    </fill>
    <fill>
      <patternFill patternType="solid">
        <fgColor theme="0"/>
        <bgColor rgb="FFE0FFFF"/>
      </patternFill>
    </fill>
    <fill>
      <patternFill patternType="solid">
        <fgColor theme="0" tint="-0.14999847407452621"/>
        <bgColor rgb="FFA6FBED"/>
      </patternFill>
    </fill>
    <fill>
      <patternFill patternType="solid">
        <fgColor rgb="FFFF0000"/>
        <bgColor rgb="FFFF3366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0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6" fillId="0" borderId="0"/>
    <xf numFmtId="43" fontId="1" fillId="0" borderId="0" applyFont="0" applyFill="0" applyBorder="0" applyAlignment="0" applyProtection="0"/>
    <xf numFmtId="9" fontId="16" fillId="0" borderId="0" applyFont="0" applyFill="0" applyBorder="0" applyAlignment="0" applyProtection="0"/>
    <xf numFmtId="43" fontId="16" fillId="0" borderId="0" applyFill="0" applyBorder="0" applyAlignment="0" applyProtection="0"/>
    <xf numFmtId="165" fontId="16" fillId="0" borderId="0" applyFill="0" applyBorder="0" applyAlignment="0" applyProtection="0"/>
  </cellStyleXfs>
  <cellXfs count="311">
    <xf numFmtId="0" fontId="0" fillId="0" borderId="0" xfId="0"/>
    <xf numFmtId="0" fontId="4" fillId="3" borderId="1" xfId="0" applyFont="1" applyFill="1" applyBorder="1"/>
    <xf numFmtId="0" fontId="5" fillId="3" borderId="2" xfId="0" applyFont="1" applyFill="1" applyBorder="1"/>
    <xf numFmtId="0" fontId="5" fillId="4" borderId="3" xfId="0" applyFont="1" applyFill="1" applyBorder="1"/>
    <xf numFmtId="10" fontId="4" fillId="5" borderId="4" xfId="0" applyNumberFormat="1" applyFont="1" applyFill="1" applyBorder="1" applyAlignment="1">
      <alignment horizontal="center" vertical="center"/>
    </xf>
    <xf numFmtId="0" fontId="7" fillId="6" borderId="3" xfId="0" applyFont="1" applyFill="1" applyBorder="1"/>
    <xf numFmtId="10" fontId="7" fillId="6" borderId="4" xfId="0" applyNumberFormat="1" applyFont="1" applyFill="1" applyBorder="1" applyAlignment="1">
      <alignment horizontal="center" vertical="center"/>
    </xf>
    <xf numFmtId="0" fontId="4" fillId="0" borderId="0" xfId="0" applyFont="1"/>
    <xf numFmtId="0" fontId="4" fillId="5" borderId="5" xfId="0" applyFont="1" applyFill="1" applyBorder="1"/>
    <xf numFmtId="0" fontId="9" fillId="8" borderId="1" xfId="0" applyFont="1" applyFill="1" applyBorder="1" applyAlignment="1">
      <alignment horizontal="center" vertical="center" wrapText="1"/>
    </xf>
    <xf numFmtId="0" fontId="9" fillId="8" borderId="9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4" fontId="4" fillId="0" borderId="1" xfId="1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44" fontId="7" fillId="9" borderId="1" xfId="1" applyFont="1" applyFill="1" applyBorder="1" applyAlignment="1">
      <alignment horizontal="center" vertical="center" wrapText="1"/>
    </xf>
    <xf numFmtId="0" fontId="10" fillId="8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44" fontId="7" fillId="0" borderId="1" xfId="1" applyFont="1" applyBorder="1" applyAlignment="1">
      <alignment horizontal="center" vertical="center" wrapText="1"/>
    </xf>
    <xf numFmtId="0" fontId="8" fillId="7" borderId="8" xfId="0" applyFont="1" applyFill="1" applyBorder="1" applyAlignment="1">
      <alignment vertical="center" wrapText="1"/>
    </xf>
    <xf numFmtId="0" fontId="8" fillId="7" borderId="2" xfId="0" applyFont="1" applyFill="1" applyBorder="1" applyAlignment="1">
      <alignment vertical="center" wrapText="1"/>
    </xf>
    <xf numFmtId="0" fontId="9" fillId="8" borderId="10" xfId="0" applyFont="1" applyFill="1" applyBorder="1" applyAlignment="1">
      <alignment horizontal="center" vertical="center" wrapText="1"/>
    </xf>
    <xf numFmtId="0" fontId="6" fillId="0" borderId="1" xfId="1" applyNumberFormat="1" applyFont="1" applyBorder="1" applyAlignment="1">
      <alignment horizontal="center" vertical="center"/>
    </xf>
    <xf numFmtId="10" fontId="4" fillId="10" borderId="1" xfId="1" applyNumberFormat="1" applyFont="1" applyFill="1" applyBorder="1" applyAlignment="1">
      <alignment horizontal="center" vertical="center" wrapText="1"/>
    </xf>
    <xf numFmtId="44" fontId="4" fillId="10" borderId="1" xfId="1" applyFont="1" applyFill="1" applyBorder="1" applyAlignment="1">
      <alignment horizontal="center" vertical="center" wrapText="1"/>
    </xf>
    <xf numFmtId="44" fontId="7" fillId="11" borderId="1" xfId="1" applyFont="1" applyFill="1" applyBorder="1" applyAlignment="1">
      <alignment vertical="center" wrapText="1"/>
    </xf>
    <xf numFmtId="44" fontId="7" fillId="5" borderId="1" xfId="1" applyFont="1" applyFill="1" applyBorder="1" applyAlignment="1">
      <alignment horizontal="center" vertical="center" wrapText="1"/>
    </xf>
    <xf numFmtId="0" fontId="7" fillId="1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justify" vertical="center" wrapText="1"/>
    </xf>
    <xf numFmtId="10" fontId="6" fillId="0" borderId="1" xfId="0" applyNumberFormat="1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justify" vertical="center" wrapText="1"/>
    </xf>
    <xf numFmtId="44" fontId="2" fillId="14" borderId="1" xfId="0" applyNumberFormat="1" applyFont="1" applyFill="1" applyBorder="1"/>
    <xf numFmtId="0" fontId="6" fillId="0" borderId="0" xfId="0" applyFont="1"/>
    <xf numFmtId="0" fontId="16" fillId="0" borderId="0" xfId="4" applyFont="1" applyAlignment="1">
      <alignment vertical="center" wrapText="1"/>
    </xf>
    <xf numFmtId="43" fontId="11" fillId="0" borderId="17" xfId="3" applyFont="1" applyFill="1" applyBorder="1" applyAlignment="1">
      <alignment horizontal="left" vertical="center"/>
    </xf>
    <xf numFmtId="0" fontId="11" fillId="0" borderId="15" xfId="5" applyFont="1" applyBorder="1" applyAlignment="1">
      <alignment horizontal="justify" vertical="center"/>
    </xf>
    <xf numFmtId="43" fontId="11" fillId="0" borderId="18" xfId="3" applyFont="1" applyFill="1" applyBorder="1" applyAlignment="1">
      <alignment horizontal="left" vertical="center"/>
    </xf>
    <xf numFmtId="0" fontId="11" fillId="0" borderId="0" xfId="5" applyFont="1" applyAlignment="1">
      <alignment horizontal="justify" vertical="center"/>
    </xf>
    <xf numFmtId="43" fontId="11" fillId="0" borderId="20" xfId="3" applyFont="1" applyFill="1" applyBorder="1" applyAlignment="1">
      <alignment horizontal="left" vertical="center"/>
    </xf>
    <xf numFmtId="0" fontId="11" fillId="0" borderId="21" xfId="5" applyFont="1" applyBorder="1" applyAlignment="1">
      <alignment horizontal="justify" vertical="center"/>
    </xf>
    <xf numFmtId="0" fontId="11" fillId="0" borderId="0" xfId="5" applyFont="1" applyAlignment="1">
      <alignment vertical="center"/>
    </xf>
    <xf numFmtId="0" fontId="17" fillId="0" borderId="0" xfId="5" applyFont="1" applyAlignment="1">
      <alignment horizontal="justify" vertical="center"/>
    </xf>
    <xf numFmtId="0" fontId="11" fillId="0" borderId="0" xfId="4" applyFont="1" applyAlignment="1">
      <alignment horizontal="center" vertical="center"/>
    </xf>
    <xf numFmtId="0" fontId="11" fillId="0" borderId="0" xfId="6" applyNumberFormat="1" applyFont="1" applyFill="1" applyBorder="1" applyAlignment="1">
      <alignment vertical="center"/>
    </xf>
    <xf numFmtId="49" fontId="11" fillId="0" borderId="19" xfId="5" applyNumberFormat="1" applyFont="1" applyBorder="1" applyAlignment="1">
      <alignment horizontal="right" vertical="center"/>
    </xf>
    <xf numFmtId="0" fontId="11" fillId="0" borderId="0" xfId="5" applyFont="1" applyAlignment="1">
      <alignment horizontal="center" vertical="center"/>
    </xf>
    <xf numFmtId="0" fontId="18" fillId="0" borderId="0" xfId="4" applyFont="1" applyAlignment="1">
      <alignment vertical="center" wrapText="1"/>
    </xf>
    <xf numFmtId="49" fontId="11" fillId="0" borderId="19" xfId="5" applyNumberFormat="1" applyFont="1" applyBorder="1" applyAlignment="1">
      <alignment horizontal="center" vertical="center" wrapText="1"/>
    </xf>
    <xf numFmtId="0" fontId="11" fillId="0" borderId="21" xfId="5" applyFont="1" applyBorder="1" applyAlignment="1">
      <alignment vertical="center"/>
    </xf>
    <xf numFmtId="0" fontId="11" fillId="0" borderId="21" xfId="5" applyFont="1" applyBorder="1" applyAlignment="1">
      <alignment horizontal="right" vertical="center"/>
    </xf>
    <xf numFmtId="164" fontId="11" fillId="0" borderId="22" xfId="1" applyNumberFormat="1" applyFont="1" applyFill="1" applyBorder="1" applyAlignment="1">
      <alignment horizontal="right" vertical="center"/>
    </xf>
    <xf numFmtId="0" fontId="11" fillId="0" borderId="0" xfId="4" applyFont="1" applyAlignment="1">
      <alignment vertical="center"/>
    </xf>
    <xf numFmtId="0" fontId="11" fillId="0" borderId="0" xfId="6" applyNumberFormat="1" applyFont="1" applyFill="1" applyAlignment="1">
      <alignment vertical="center"/>
    </xf>
    <xf numFmtId="0" fontId="19" fillId="0" borderId="0" xfId="4" applyFont="1" applyAlignment="1">
      <alignment horizontal="center" vertical="center" wrapText="1"/>
    </xf>
    <xf numFmtId="0" fontId="17" fillId="0" borderId="26" xfId="4" applyFont="1" applyBorder="1" applyAlignment="1">
      <alignment horizontal="center" vertical="center" wrapText="1"/>
    </xf>
    <xf numFmtId="0" fontId="11" fillId="0" borderId="27" xfId="5" applyFont="1" applyBorder="1" applyAlignment="1">
      <alignment horizontal="right" vertical="center"/>
    </xf>
    <xf numFmtId="14" fontId="11" fillId="0" borderId="27" xfId="5" applyNumberFormat="1" applyFont="1" applyBorder="1" applyAlignment="1">
      <alignment horizontal="right" vertical="center"/>
    </xf>
    <xf numFmtId="0" fontId="16" fillId="5" borderId="0" xfId="0" applyFont="1" applyFill="1" applyAlignment="1">
      <alignment vertical="center" wrapText="1"/>
    </xf>
    <xf numFmtId="0" fontId="11" fillId="0" borderId="30" xfId="5" applyFont="1" applyBorder="1" applyAlignment="1">
      <alignment horizontal="right" vertical="center"/>
    </xf>
    <xf numFmtId="0" fontId="11" fillId="0" borderId="0" xfId="3" applyNumberFormat="1" applyFont="1" applyFill="1" applyBorder="1" applyAlignment="1">
      <alignment horizontal="center" vertical="center"/>
    </xf>
    <xf numFmtId="0" fontId="17" fillId="0" borderId="0" xfId="3" applyNumberFormat="1" applyFont="1" applyFill="1" applyBorder="1" applyAlignment="1">
      <alignment horizontal="left" vertical="center"/>
    </xf>
    <xf numFmtId="0" fontId="17" fillId="0" borderId="0" xfId="6" applyNumberFormat="1" applyFont="1" applyFill="1" applyBorder="1" applyAlignment="1">
      <alignment horizontal="center" vertical="center" wrapText="1"/>
    </xf>
    <xf numFmtId="43" fontId="17" fillId="16" borderId="34" xfId="6" applyFont="1" applyFill="1" applyBorder="1" applyAlignment="1">
      <alignment horizontal="center" vertical="center" wrapText="1"/>
    </xf>
    <xf numFmtId="43" fontId="11" fillId="0" borderId="27" xfId="3" applyFont="1" applyFill="1" applyBorder="1" applyAlignment="1">
      <alignment horizontal="center" vertical="center"/>
    </xf>
    <xf numFmtId="0" fontId="16" fillId="0" borderId="0" xfId="0" applyFont="1" applyAlignment="1">
      <alignment vertical="center" wrapText="1"/>
    </xf>
    <xf numFmtId="0" fontId="11" fillId="0" borderId="0" xfId="3" applyNumberFormat="1" applyFont="1" applyFill="1" applyBorder="1" applyAlignment="1">
      <alignment horizontal="left" vertical="center"/>
    </xf>
    <xf numFmtId="9" fontId="11" fillId="0" borderId="0" xfId="3" applyNumberFormat="1" applyFont="1" applyFill="1" applyBorder="1" applyAlignment="1">
      <alignment horizontal="center" vertical="center"/>
    </xf>
    <xf numFmtId="43" fontId="17" fillId="0" borderId="30" xfId="3" applyFont="1" applyFill="1" applyBorder="1" applyAlignment="1">
      <alignment horizontal="right" vertical="center"/>
    </xf>
    <xf numFmtId="43" fontId="16" fillId="0" borderId="0" xfId="4" applyNumberFormat="1" applyFont="1" applyAlignment="1">
      <alignment vertical="center" wrapText="1"/>
    </xf>
    <xf numFmtId="0" fontId="17" fillId="16" borderId="1" xfId="4" applyFont="1" applyFill="1" applyBorder="1" applyAlignment="1">
      <alignment horizontal="center" vertical="center"/>
    </xf>
    <xf numFmtId="43" fontId="17" fillId="16" borderId="34" xfId="6" applyFont="1" applyFill="1" applyBorder="1" applyAlignment="1">
      <alignment horizontal="center" vertical="center"/>
    </xf>
    <xf numFmtId="0" fontId="11" fillId="0" borderId="0" xfId="3" applyNumberFormat="1" applyFont="1" applyFill="1" applyBorder="1" applyAlignment="1">
      <alignment horizontal="justify" vertical="center" wrapText="1"/>
    </xf>
    <xf numFmtId="10" fontId="11" fillId="0" borderId="36" xfId="4" applyNumberFormat="1" applyFont="1" applyBorder="1" applyAlignment="1">
      <alignment horizontal="right" vertical="center"/>
    </xf>
    <xf numFmtId="43" fontId="11" fillId="0" borderId="27" xfId="3" applyFont="1" applyFill="1" applyBorder="1" applyAlignment="1">
      <alignment horizontal="right" vertical="center"/>
    </xf>
    <xf numFmtId="10" fontId="17" fillId="0" borderId="3" xfId="7" applyNumberFormat="1" applyFont="1" applyFill="1" applyBorder="1" applyAlignment="1">
      <alignment vertical="center" wrapText="1"/>
    </xf>
    <xf numFmtId="43" fontId="17" fillId="0" borderId="38" xfId="3" applyFont="1" applyFill="1" applyBorder="1" applyAlignment="1">
      <alignment horizontal="right" vertical="center"/>
    </xf>
    <xf numFmtId="0" fontId="11" fillId="0" borderId="0" xfId="3" applyNumberFormat="1" applyFont="1" applyFill="1" applyBorder="1" applyAlignment="1">
      <alignment vertical="center"/>
    </xf>
    <xf numFmtId="43" fontId="17" fillId="16" borderId="10" xfId="3" applyFont="1" applyFill="1" applyBorder="1" applyAlignment="1">
      <alignment horizontal="center" vertical="center" wrapText="1"/>
    </xf>
    <xf numFmtId="0" fontId="11" fillId="0" borderId="0" xfId="8" applyNumberFormat="1" applyFont="1" applyFill="1" applyBorder="1" applyAlignment="1">
      <alignment horizontal="left" vertical="center"/>
    </xf>
    <xf numFmtId="43" fontId="11" fillId="0" borderId="39" xfId="3" applyFont="1" applyFill="1" applyBorder="1" applyAlignment="1">
      <alignment horizontal="right" vertical="center"/>
    </xf>
    <xf numFmtId="43" fontId="17" fillId="0" borderId="3" xfId="3" applyFont="1" applyFill="1" applyBorder="1" applyAlignment="1">
      <alignment vertical="center" wrapText="1"/>
    </xf>
    <xf numFmtId="166" fontId="11" fillId="0" borderId="36" xfId="3" applyNumberFormat="1" applyFont="1" applyFill="1" applyBorder="1" applyAlignment="1">
      <alignment horizontal="right" vertical="center"/>
    </xf>
    <xf numFmtId="43" fontId="11" fillId="0" borderId="27" xfId="6" applyFont="1" applyFill="1" applyBorder="1" applyAlignment="1">
      <alignment horizontal="right" vertical="center"/>
    </xf>
    <xf numFmtId="10" fontId="17" fillId="0" borderId="40" xfId="6" applyNumberFormat="1" applyFont="1" applyFill="1" applyBorder="1" applyAlignment="1">
      <alignment horizontal="right" vertical="center"/>
    </xf>
    <xf numFmtId="43" fontId="17" fillId="0" borderId="30" xfId="6" applyFont="1" applyFill="1" applyBorder="1" applyAlignment="1">
      <alignment horizontal="right" vertical="center"/>
    </xf>
    <xf numFmtId="43" fontId="11" fillId="0" borderId="18" xfId="3" applyFont="1" applyFill="1" applyBorder="1" applyAlignment="1">
      <alignment horizontal="center" wrapText="1"/>
    </xf>
    <xf numFmtId="0" fontId="17" fillId="0" borderId="0" xfId="4" applyFont="1" applyAlignment="1">
      <alignment vertical="center" wrapText="1"/>
    </xf>
    <xf numFmtId="0" fontId="11" fillId="0" borderId="0" xfId="3" applyNumberFormat="1" applyFont="1" applyFill="1" applyBorder="1" applyAlignment="1">
      <alignment horizontal="left" vertical="center" wrapText="1"/>
    </xf>
    <xf numFmtId="10" fontId="11" fillId="0" borderId="10" xfId="4" applyNumberFormat="1" applyFont="1" applyBorder="1" applyAlignment="1">
      <alignment horizontal="right" vertical="center" wrapText="1"/>
    </xf>
    <xf numFmtId="10" fontId="11" fillId="0" borderId="36" xfId="4" applyNumberFormat="1" applyFont="1" applyBorder="1" applyAlignment="1">
      <alignment horizontal="right" vertical="center" wrapText="1"/>
    </xf>
    <xf numFmtId="10" fontId="17" fillId="0" borderId="40" xfId="4" applyNumberFormat="1" applyFont="1" applyBorder="1" applyAlignment="1">
      <alignment horizontal="right" vertical="center" wrapText="1"/>
    </xf>
    <xf numFmtId="0" fontId="11" fillId="0" borderId="0" xfId="4" applyFont="1" applyAlignment="1">
      <alignment vertical="center" wrapText="1"/>
    </xf>
    <xf numFmtId="10" fontId="17" fillId="0" borderId="3" xfId="6" applyNumberFormat="1" applyFont="1" applyFill="1" applyBorder="1" applyAlignment="1">
      <alignment horizontal="right" vertical="center"/>
    </xf>
    <xf numFmtId="43" fontId="17" fillId="0" borderId="38" xfId="6" applyFont="1" applyFill="1" applyBorder="1" applyAlignment="1">
      <alignment horizontal="right" vertical="center"/>
    </xf>
    <xf numFmtId="43" fontId="11" fillId="0" borderId="18" xfId="3" applyFont="1" applyFill="1" applyBorder="1" applyAlignment="1">
      <alignment horizontal="center"/>
    </xf>
    <xf numFmtId="0" fontId="11" fillId="0" borderId="0" xfId="3" applyNumberFormat="1" applyFont="1" applyFill="1" applyBorder="1" applyAlignment="1">
      <alignment vertical="center" wrapText="1"/>
    </xf>
    <xf numFmtId="10" fontId="11" fillId="0" borderId="9" xfId="4" applyNumberFormat="1" applyFont="1" applyBorder="1" applyAlignment="1">
      <alignment horizontal="right" vertical="center" wrapText="1"/>
    </xf>
    <xf numFmtId="10" fontId="17" fillId="0" borderId="42" xfId="6" applyNumberFormat="1" applyFont="1" applyFill="1" applyBorder="1" applyAlignment="1">
      <alignment horizontal="right" vertical="center"/>
    </xf>
    <xf numFmtId="0" fontId="21" fillId="0" borderId="0" xfId="4" applyFont="1" applyAlignment="1">
      <alignment horizontal="center" vertical="center" wrapText="1"/>
    </xf>
    <xf numFmtId="0" fontId="17" fillId="0" borderId="0" xfId="4" applyFont="1" applyAlignment="1">
      <alignment horizontal="right" vertical="center" wrapText="1"/>
    </xf>
    <xf numFmtId="43" fontId="17" fillId="0" borderId="0" xfId="6" applyFont="1" applyFill="1" applyBorder="1" applyAlignment="1">
      <alignment horizontal="right" vertical="center" wrapText="1"/>
    </xf>
    <xf numFmtId="43" fontId="17" fillId="16" borderId="34" xfId="3" applyFont="1" applyFill="1" applyBorder="1" applyAlignment="1">
      <alignment horizontal="center" vertical="center"/>
    </xf>
    <xf numFmtId="0" fontId="11" fillId="0" borderId="28" xfId="3" applyNumberFormat="1" applyFont="1" applyFill="1" applyBorder="1" applyAlignment="1">
      <alignment horizontal="left" vertical="center" wrapText="1"/>
    </xf>
    <xf numFmtId="43" fontId="16" fillId="0" borderId="0" xfId="3" applyFont="1" applyFill="1" applyAlignment="1">
      <alignment horizontal="left" vertical="center" wrapText="1"/>
    </xf>
    <xf numFmtId="10" fontId="17" fillId="0" borderId="36" xfId="3" applyNumberFormat="1" applyFont="1" applyFill="1" applyBorder="1" applyAlignment="1">
      <alignment vertical="center"/>
    </xf>
    <xf numFmtId="0" fontId="11" fillId="0" borderId="27" xfId="3" applyNumberFormat="1" applyFont="1" applyFill="1" applyBorder="1" applyAlignment="1">
      <alignment vertical="center"/>
    </xf>
    <xf numFmtId="0" fontId="16" fillId="0" borderId="0" xfId="4" applyFont="1" applyAlignment="1">
      <alignment horizontal="left" vertical="center" wrapText="1"/>
    </xf>
    <xf numFmtId="0" fontId="11" fillId="0" borderId="28" xfId="3" applyNumberFormat="1" applyFont="1" applyFill="1" applyBorder="1" applyAlignment="1">
      <alignment vertical="center"/>
    </xf>
    <xf numFmtId="0" fontId="11" fillId="0" borderId="36" xfId="3" applyNumberFormat="1" applyFont="1" applyFill="1" applyBorder="1" applyAlignment="1">
      <alignment vertical="center"/>
    </xf>
    <xf numFmtId="10" fontId="17" fillId="0" borderId="40" xfId="4" applyNumberFormat="1" applyFont="1" applyBorder="1" applyAlignment="1">
      <alignment horizontal="right" vertical="center"/>
    </xf>
    <xf numFmtId="43" fontId="17" fillId="16" borderId="34" xfId="3" applyFont="1" applyFill="1" applyBorder="1" applyAlignment="1">
      <alignment horizontal="center" vertical="center" wrapText="1"/>
    </xf>
    <xf numFmtId="43" fontId="11" fillId="0" borderId="39" xfId="6" applyFont="1" applyFill="1" applyBorder="1" applyAlignment="1">
      <alignment horizontal="right" vertical="center"/>
    </xf>
    <xf numFmtId="43" fontId="17" fillId="0" borderId="27" xfId="6" applyFont="1" applyFill="1" applyBorder="1" applyAlignment="1">
      <alignment horizontal="right" vertical="center"/>
    </xf>
    <xf numFmtId="43" fontId="11" fillId="0" borderId="20" xfId="3" applyFont="1" applyFill="1" applyBorder="1" applyAlignment="1">
      <alignment horizontal="left" vertical="center" wrapText="1"/>
    </xf>
    <xf numFmtId="43" fontId="11" fillId="0" borderId="30" xfId="6" applyFont="1" applyFill="1" applyBorder="1" applyAlignment="1">
      <alignment horizontal="right" vertical="center"/>
    </xf>
    <xf numFmtId="43" fontId="17" fillId="0" borderId="25" xfId="6" applyFont="1" applyFill="1" applyBorder="1" applyAlignment="1">
      <alignment horizontal="right" vertical="center"/>
    </xf>
    <xf numFmtId="10" fontId="11" fillId="0" borderId="0" xfId="4" applyNumberFormat="1" applyFont="1" applyAlignment="1">
      <alignment horizontal="center" vertical="center"/>
    </xf>
    <xf numFmtId="43" fontId="11" fillId="0" borderId="0" xfId="6" applyFont="1" applyFill="1" applyAlignment="1">
      <alignment vertical="center"/>
    </xf>
    <xf numFmtId="43" fontId="16" fillId="0" borderId="0" xfId="4" applyNumberFormat="1" applyFont="1" applyAlignment="1">
      <alignment horizontal="left" vertical="center" wrapText="1"/>
    </xf>
    <xf numFmtId="0" fontId="22" fillId="0" borderId="32" xfId="0" applyFont="1" applyBorder="1" applyAlignment="1">
      <alignment horizontal="center" vertical="center" wrapText="1"/>
    </xf>
    <xf numFmtId="0" fontId="22" fillId="0" borderId="26" xfId="0" applyFont="1" applyBorder="1" applyAlignment="1">
      <alignment horizontal="center" vertical="center" wrapText="1"/>
    </xf>
    <xf numFmtId="0" fontId="22" fillId="18" borderId="1" xfId="0" applyFont="1" applyFill="1" applyBorder="1" applyAlignment="1">
      <alignment horizontal="center" vertical="center" wrapText="1"/>
    </xf>
    <xf numFmtId="0" fontId="22" fillId="18" borderId="34" xfId="0" applyFont="1" applyFill="1" applyBorder="1" applyAlignment="1">
      <alignment horizontal="center" vertical="center" wrapText="1"/>
    </xf>
    <xf numFmtId="0" fontId="6" fillId="0" borderId="35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11" fillId="0" borderId="10" xfId="0" applyFont="1" applyBorder="1" applyAlignment="1">
      <alignment horizontal="center" vertical="center" wrapText="1"/>
    </xf>
    <xf numFmtId="44" fontId="6" fillId="0" borderId="1" xfId="1" applyFont="1" applyBorder="1" applyAlignment="1">
      <alignment horizontal="center" vertical="center"/>
    </xf>
    <xf numFmtId="44" fontId="6" fillId="0" borderId="34" xfId="1" applyFont="1" applyBorder="1" applyAlignment="1">
      <alignment horizontal="center" vertical="center"/>
    </xf>
    <xf numFmtId="0" fontId="6" fillId="0" borderId="20" xfId="0" applyFont="1" applyBorder="1" applyAlignment="1">
      <alignment vertical="center"/>
    </xf>
    <xf numFmtId="0" fontId="2" fillId="0" borderId="49" xfId="0" applyFont="1" applyBorder="1" applyAlignment="1">
      <alignment horizontal="center" vertical="center"/>
    </xf>
    <xf numFmtId="44" fontId="2" fillId="0" borderId="49" xfId="1" applyFont="1" applyBorder="1" applyAlignment="1">
      <alignment horizontal="center" vertical="center"/>
    </xf>
    <xf numFmtId="44" fontId="2" fillId="0" borderId="50" xfId="1" applyFont="1" applyBorder="1" applyAlignment="1">
      <alignment horizontal="center" vertical="center"/>
    </xf>
    <xf numFmtId="44" fontId="6" fillId="0" borderId="0" xfId="0" applyNumberFormat="1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25" fillId="0" borderId="3" xfId="0" applyFont="1" applyBorder="1" applyAlignment="1">
      <alignment horizontal="center" vertical="center"/>
    </xf>
    <xf numFmtId="0" fontId="9" fillId="21" borderId="3" xfId="0" applyFont="1" applyFill="1" applyBorder="1" applyAlignment="1">
      <alignment horizontal="center" vertical="center" wrapText="1"/>
    </xf>
    <xf numFmtId="0" fontId="9" fillId="21" borderId="3" xfId="0" applyFont="1" applyFill="1" applyBorder="1" applyAlignment="1">
      <alignment horizontal="center" wrapText="1"/>
    </xf>
    <xf numFmtId="0" fontId="9" fillId="0" borderId="1" xfId="0" applyFont="1" applyBorder="1" applyAlignment="1">
      <alignment horizontal="left" vertical="center"/>
    </xf>
    <xf numFmtId="44" fontId="9" fillId="0" borderId="1" xfId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44" fontId="9" fillId="23" borderId="1" xfId="1" applyFont="1" applyFill="1" applyBorder="1" applyAlignment="1">
      <alignment horizontal="center" vertical="center"/>
    </xf>
    <xf numFmtId="0" fontId="18" fillId="21" borderId="1" xfId="0" applyFont="1" applyFill="1" applyBorder="1" applyAlignment="1">
      <alignment horizontal="center" vertical="center"/>
    </xf>
    <xf numFmtId="0" fontId="18" fillId="21" borderId="1" xfId="0" applyFont="1" applyFill="1" applyBorder="1" applyAlignment="1">
      <alignment horizontal="center" vertical="center" wrapText="1"/>
    </xf>
    <xf numFmtId="44" fontId="18" fillId="5" borderId="1" xfId="1" applyFont="1" applyFill="1" applyBorder="1" applyAlignment="1">
      <alignment horizontal="center" vertical="center"/>
    </xf>
    <xf numFmtId="44" fontId="18" fillId="24" borderId="1" xfId="1" applyFont="1" applyFill="1" applyBorder="1" applyAlignment="1">
      <alignment horizontal="center" vertical="center"/>
    </xf>
    <xf numFmtId="0" fontId="26" fillId="5" borderId="1" xfId="0" applyFont="1" applyFill="1" applyBorder="1"/>
    <xf numFmtId="44" fontId="18" fillId="24" borderId="1" xfId="0" applyNumberFormat="1" applyFont="1" applyFill="1" applyBorder="1" applyAlignment="1">
      <alignment horizontal="center" vertical="center"/>
    </xf>
    <xf numFmtId="44" fontId="9" fillId="14" borderId="1" xfId="1" applyFont="1" applyFill="1" applyBorder="1" applyAlignment="1">
      <alignment horizontal="center" vertical="center"/>
    </xf>
    <xf numFmtId="0" fontId="9" fillId="0" borderId="7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44" fontId="9" fillId="23" borderId="10" xfId="1" applyFont="1" applyFill="1" applyBorder="1" applyAlignment="1">
      <alignment horizontal="center" vertical="center"/>
    </xf>
    <xf numFmtId="44" fontId="9" fillId="23" borderId="5" xfId="1" applyFont="1" applyFill="1" applyBorder="1" applyAlignment="1">
      <alignment horizontal="center" vertical="center"/>
    </xf>
    <xf numFmtId="0" fontId="29" fillId="0" borderId="0" xfId="0" applyFont="1"/>
    <xf numFmtId="44" fontId="6" fillId="0" borderId="0" xfId="0" applyNumberFormat="1" applyFont="1"/>
    <xf numFmtId="44" fontId="6" fillId="0" borderId="1" xfId="1" quotePrefix="1" applyFont="1" applyBorder="1" applyAlignment="1">
      <alignment horizontal="center" vertical="center"/>
    </xf>
    <xf numFmtId="44" fontId="18" fillId="5" borderId="1" xfId="1" quotePrefix="1" applyFont="1" applyFill="1" applyBorder="1" applyAlignment="1">
      <alignment horizontal="center" vertical="center"/>
    </xf>
    <xf numFmtId="43" fontId="11" fillId="0" borderId="39" xfId="3" quotePrefix="1" applyFont="1" applyFill="1" applyBorder="1" applyAlignment="1">
      <alignment horizontal="right" vertical="center"/>
    </xf>
    <xf numFmtId="44" fontId="9" fillId="0" borderId="1" xfId="1" applyFont="1" applyBorder="1" applyAlignment="1" applyProtection="1">
      <alignment horizontal="center" vertical="center"/>
    </xf>
    <xf numFmtId="44" fontId="6" fillId="10" borderId="1" xfId="1" applyFont="1" applyFill="1" applyBorder="1" applyAlignment="1">
      <alignment horizontal="center" vertical="center" wrapText="1"/>
    </xf>
    <xf numFmtId="44" fontId="4" fillId="5" borderId="1" xfId="1" applyFont="1" applyFill="1" applyBorder="1" applyAlignment="1">
      <alignment vertical="center" wrapText="1"/>
    </xf>
    <xf numFmtId="44" fontId="6" fillId="5" borderId="1" xfId="1" applyFont="1" applyFill="1" applyBorder="1" applyAlignment="1">
      <alignment horizontal="center" vertical="center" wrapText="1"/>
    </xf>
    <xf numFmtId="44" fontId="20" fillId="0" borderId="27" xfId="1" applyFont="1" applyFill="1" applyBorder="1" applyAlignment="1">
      <alignment horizontal="right" vertical="center"/>
    </xf>
    <xf numFmtId="43" fontId="11" fillId="0" borderId="27" xfId="5" applyNumberFormat="1" applyFont="1" applyBorder="1" applyAlignment="1">
      <alignment horizontal="right" vertical="center"/>
    </xf>
    <xf numFmtId="14" fontId="11" fillId="0" borderId="27" xfId="5" applyNumberFormat="1" applyFont="1" applyBorder="1" applyAlignment="1">
      <alignment vertical="center"/>
    </xf>
    <xf numFmtId="43" fontId="11" fillId="0" borderId="10" xfId="9" applyNumberFormat="1" applyFont="1" applyFill="1" applyBorder="1" applyAlignment="1">
      <alignment vertical="center"/>
    </xf>
    <xf numFmtId="43" fontId="11" fillId="0" borderId="36" xfId="9" applyNumberFormat="1" applyFont="1" applyFill="1" applyBorder="1" applyAlignment="1">
      <alignment vertical="center"/>
    </xf>
    <xf numFmtId="44" fontId="11" fillId="0" borderId="27" xfId="1" applyFont="1" applyFill="1" applyBorder="1" applyAlignment="1">
      <alignment horizontal="right" vertical="center"/>
    </xf>
    <xf numFmtId="44" fontId="11" fillId="5" borderId="27" xfId="1" applyFont="1" applyFill="1" applyBorder="1" applyAlignment="1">
      <alignment horizontal="right" vertical="center"/>
    </xf>
    <xf numFmtId="44" fontId="0" fillId="0" borderId="0" xfId="0" applyNumberFormat="1"/>
    <xf numFmtId="10" fontId="6" fillId="5" borderId="1" xfId="2" applyNumberFormat="1" applyFont="1" applyFill="1" applyBorder="1" applyAlignment="1">
      <alignment horizontal="center" vertical="center"/>
    </xf>
    <xf numFmtId="2" fontId="0" fillId="0" borderId="0" xfId="0" applyNumberFormat="1"/>
    <xf numFmtId="0" fontId="3" fillId="2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/>
    </xf>
    <xf numFmtId="0" fontId="5" fillId="8" borderId="7" xfId="0" applyFont="1" applyFill="1" applyBorder="1" applyAlignment="1">
      <alignment horizontal="center" vertical="center" wrapText="1"/>
    </xf>
    <xf numFmtId="0" fontId="5" fillId="8" borderId="8" xfId="0" applyFont="1" applyFill="1" applyBorder="1" applyAlignment="1">
      <alignment horizontal="center" vertical="center" wrapText="1"/>
    </xf>
    <xf numFmtId="0" fontId="5" fillId="8" borderId="2" xfId="0" applyFont="1" applyFill="1" applyBorder="1" applyAlignment="1">
      <alignment horizontal="center" vertical="center" wrapText="1"/>
    </xf>
    <xf numFmtId="0" fontId="8" fillId="7" borderId="7" xfId="0" applyFont="1" applyFill="1" applyBorder="1" applyAlignment="1">
      <alignment horizontal="center" vertical="center" wrapText="1"/>
    </xf>
    <xf numFmtId="0" fontId="8" fillId="7" borderId="8" xfId="0" applyFont="1" applyFill="1" applyBorder="1" applyAlignment="1">
      <alignment horizontal="center" vertical="center" wrapText="1"/>
    </xf>
    <xf numFmtId="0" fontId="8" fillId="7" borderId="2" xfId="0" applyFont="1" applyFill="1" applyBorder="1" applyAlignment="1">
      <alignment horizontal="center" vertical="center" wrapText="1"/>
    </xf>
    <xf numFmtId="0" fontId="7" fillId="8" borderId="7" xfId="0" applyFont="1" applyFill="1" applyBorder="1" applyAlignment="1">
      <alignment horizontal="right" vertical="center" wrapText="1"/>
    </xf>
    <xf numFmtId="0" fontId="7" fillId="8" borderId="8" xfId="0" applyFont="1" applyFill="1" applyBorder="1" applyAlignment="1">
      <alignment horizontal="right" vertical="center" wrapText="1"/>
    </xf>
    <xf numFmtId="0" fontId="7" fillId="8" borderId="2" xfId="0" applyFont="1" applyFill="1" applyBorder="1" applyAlignment="1">
      <alignment horizontal="right" vertical="center" wrapText="1"/>
    </xf>
    <xf numFmtId="0" fontId="6" fillId="0" borderId="11" xfId="0" applyFont="1" applyBorder="1" applyAlignment="1">
      <alignment horizontal="center"/>
    </xf>
    <xf numFmtId="0" fontId="12" fillId="12" borderId="7" xfId="0" applyFont="1" applyFill="1" applyBorder="1" applyAlignment="1">
      <alignment horizontal="center" vertical="center" wrapText="1"/>
    </xf>
    <xf numFmtId="0" fontId="12" fillId="12" borderId="8" xfId="0" applyFont="1" applyFill="1" applyBorder="1" applyAlignment="1">
      <alignment horizontal="center" vertical="center" wrapText="1"/>
    </xf>
    <xf numFmtId="0" fontId="12" fillId="12" borderId="2" xfId="0" applyFont="1" applyFill="1" applyBorder="1" applyAlignment="1">
      <alignment horizontal="center" vertical="center" wrapText="1"/>
    </xf>
    <xf numFmtId="0" fontId="2" fillId="14" borderId="7" xfId="0" applyFont="1" applyFill="1" applyBorder="1" applyAlignment="1">
      <alignment horizontal="right"/>
    </xf>
    <xf numFmtId="0" fontId="2" fillId="14" borderId="8" xfId="0" applyFont="1" applyFill="1" applyBorder="1" applyAlignment="1">
      <alignment horizontal="right"/>
    </xf>
    <xf numFmtId="0" fontId="2" fillId="14" borderId="2" xfId="0" applyFont="1" applyFill="1" applyBorder="1" applyAlignment="1">
      <alignment horizontal="right"/>
    </xf>
    <xf numFmtId="43" fontId="17" fillId="16" borderId="12" xfId="3" applyFont="1" applyFill="1" applyBorder="1" applyAlignment="1">
      <alignment horizontal="left" vertical="center"/>
    </xf>
    <xf numFmtId="43" fontId="17" fillId="16" borderId="13" xfId="3" applyFont="1" applyFill="1" applyBorder="1" applyAlignment="1">
      <alignment horizontal="left" vertical="center"/>
    </xf>
    <xf numFmtId="43" fontId="17" fillId="16" borderId="14" xfId="3" applyFont="1" applyFill="1" applyBorder="1" applyAlignment="1">
      <alignment horizontal="left" vertical="center"/>
    </xf>
    <xf numFmtId="0" fontId="8" fillId="15" borderId="12" xfId="4" applyFont="1" applyFill="1" applyBorder="1" applyAlignment="1">
      <alignment horizontal="center" vertical="center" wrapText="1"/>
    </xf>
    <xf numFmtId="0" fontId="8" fillId="15" borderId="13" xfId="4" applyFont="1" applyFill="1" applyBorder="1" applyAlignment="1">
      <alignment horizontal="center" vertical="center" wrapText="1"/>
    </xf>
    <xf numFmtId="0" fontId="8" fillId="15" borderId="14" xfId="4" applyFont="1" applyFill="1" applyBorder="1" applyAlignment="1">
      <alignment horizontal="center" vertical="center" wrapText="1"/>
    </xf>
    <xf numFmtId="0" fontId="15" fillId="0" borderId="0" xfId="4" applyFont="1" applyAlignment="1">
      <alignment horizontal="center" vertical="center" wrapText="1"/>
    </xf>
    <xf numFmtId="0" fontId="11" fillId="0" borderId="0" xfId="4" applyFont="1" applyAlignment="1">
      <alignment horizontal="center" vertical="center"/>
    </xf>
    <xf numFmtId="43" fontId="17" fillId="16" borderId="15" xfId="3" applyFont="1" applyFill="1" applyBorder="1" applyAlignment="1">
      <alignment horizontal="left" vertical="center"/>
    </xf>
    <xf numFmtId="43" fontId="17" fillId="16" borderId="16" xfId="3" applyFont="1" applyFill="1" applyBorder="1" applyAlignment="1">
      <alignment horizontal="left" vertical="center"/>
    </xf>
    <xf numFmtId="0" fontId="11" fillId="0" borderId="17" xfId="5" applyFont="1" applyBorder="1" applyAlignment="1">
      <alignment horizontal="center" vertical="center"/>
    </xf>
    <xf numFmtId="0" fontId="11" fillId="0" borderId="16" xfId="5" applyFont="1" applyBorder="1" applyAlignment="1">
      <alignment horizontal="center" vertical="center"/>
    </xf>
    <xf numFmtId="49" fontId="11" fillId="0" borderId="18" xfId="5" applyNumberFormat="1" applyFont="1" applyBorder="1" applyAlignment="1">
      <alignment horizontal="center" vertical="center"/>
    </xf>
    <xf numFmtId="49" fontId="11" fillId="0" borderId="19" xfId="5" applyNumberFormat="1" applyFont="1" applyBorder="1" applyAlignment="1">
      <alignment horizontal="center" vertical="center"/>
    </xf>
    <xf numFmtId="14" fontId="11" fillId="0" borderId="18" xfId="5" applyNumberFormat="1" applyFont="1" applyBorder="1" applyAlignment="1">
      <alignment horizontal="center" vertical="center"/>
    </xf>
    <xf numFmtId="0" fontId="11" fillId="0" borderId="19" xfId="5" applyFont="1" applyBorder="1" applyAlignment="1">
      <alignment horizontal="center" vertical="center"/>
    </xf>
    <xf numFmtId="20" fontId="11" fillId="0" borderId="20" xfId="5" applyNumberFormat="1" applyFont="1" applyBorder="1" applyAlignment="1">
      <alignment horizontal="center" vertical="center"/>
    </xf>
    <xf numFmtId="0" fontId="11" fillId="0" borderId="22" xfId="5" applyFont="1" applyBorder="1" applyAlignment="1">
      <alignment horizontal="center" vertical="center"/>
    </xf>
    <xf numFmtId="43" fontId="11" fillId="0" borderId="0" xfId="3" applyFont="1" applyFill="1" applyBorder="1" applyAlignment="1">
      <alignment horizontal="left" vertical="center"/>
    </xf>
    <xf numFmtId="43" fontId="11" fillId="0" borderId="28" xfId="3" applyFont="1" applyFill="1" applyBorder="1" applyAlignment="1">
      <alignment horizontal="left" vertical="center"/>
    </xf>
    <xf numFmtId="0" fontId="17" fillId="0" borderId="15" xfId="5" applyFont="1" applyBorder="1" applyAlignment="1">
      <alignment horizontal="center" vertical="center"/>
    </xf>
    <xf numFmtId="0" fontId="17" fillId="0" borderId="16" xfId="5" applyFont="1" applyBorder="1" applyAlignment="1">
      <alignment horizontal="center" vertical="center"/>
    </xf>
    <xf numFmtId="0" fontId="11" fillId="0" borderId="0" xfId="5" applyFont="1" applyAlignment="1">
      <alignment horizontal="left" vertical="center"/>
    </xf>
    <xf numFmtId="43" fontId="17" fillId="16" borderId="23" xfId="3" applyFont="1" applyFill="1" applyBorder="1" applyAlignment="1">
      <alignment horizontal="left" vertical="center" wrapText="1"/>
    </xf>
    <xf numFmtId="43" fontId="17" fillId="16" borderId="24" xfId="3" applyFont="1" applyFill="1" applyBorder="1" applyAlignment="1">
      <alignment horizontal="left" vertical="center" wrapText="1"/>
    </xf>
    <xf numFmtId="43" fontId="17" fillId="16" borderId="25" xfId="3" applyFont="1" applyFill="1" applyBorder="1" applyAlignment="1">
      <alignment horizontal="left" vertical="center" wrapText="1"/>
    </xf>
    <xf numFmtId="43" fontId="11" fillId="0" borderId="15" xfId="3" applyFont="1" applyFill="1" applyBorder="1" applyAlignment="1">
      <alignment horizontal="left" vertical="center"/>
    </xf>
    <xf numFmtId="43" fontId="17" fillId="0" borderId="18" xfId="3" applyFont="1" applyFill="1" applyBorder="1" applyAlignment="1">
      <alignment horizontal="left" vertical="center" wrapText="1"/>
    </xf>
    <xf numFmtId="43" fontId="17" fillId="0" borderId="0" xfId="3" applyFont="1" applyFill="1" applyBorder="1" applyAlignment="1">
      <alignment horizontal="left" vertical="center" wrapText="1"/>
    </xf>
    <xf numFmtId="43" fontId="11" fillId="0" borderId="21" xfId="3" applyFont="1" applyFill="1" applyBorder="1" applyAlignment="1">
      <alignment horizontal="left" vertical="center"/>
    </xf>
    <xf numFmtId="43" fontId="11" fillId="0" borderId="29" xfId="3" applyFont="1" applyFill="1" applyBorder="1" applyAlignment="1">
      <alignment horizontal="left" vertical="center"/>
    </xf>
    <xf numFmtId="43" fontId="17" fillId="17" borderId="31" xfId="3" applyFont="1" applyFill="1" applyBorder="1" applyAlignment="1">
      <alignment horizontal="left" vertical="center" wrapText="1"/>
    </xf>
    <xf numFmtId="43" fontId="17" fillId="17" borderId="32" xfId="3" applyFont="1" applyFill="1" applyBorder="1" applyAlignment="1">
      <alignment horizontal="left" vertical="center" wrapText="1"/>
    </xf>
    <xf numFmtId="43" fontId="17" fillId="17" borderId="26" xfId="3" applyFont="1" applyFill="1" applyBorder="1" applyAlignment="1">
      <alignment horizontal="left" vertical="center" wrapText="1"/>
    </xf>
    <xf numFmtId="43" fontId="17" fillId="16" borderId="33" xfId="3" applyFont="1" applyFill="1" applyBorder="1" applyAlignment="1">
      <alignment horizontal="left" vertical="center" wrapText="1"/>
    </xf>
    <xf numFmtId="43" fontId="17" fillId="16" borderId="8" xfId="3" applyFont="1" applyFill="1" applyBorder="1" applyAlignment="1">
      <alignment horizontal="left" vertical="center" wrapText="1"/>
    </xf>
    <xf numFmtId="43" fontId="17" fillId="16" borderId="2" xfId="3" applyFont="1" applyFill="1" applyBorder="1" applyAlignment="1">
      <alignment horizontal="left" vertical="center" wrapText="1"/>
    </xf>
    <xf numFmtId="0" fontId="11" fillId="0" borderId="0" xfId="3" applyNumberFormat="1" applyFont="1" applyFill="1" applyBorder="1" applyAlignment="1">
      <alignment horizontal="left" vertical="center"/>
    </xf>
    <xf numFmtId="43" fontId="17" fillId="0" borderId="20" xfId="3" applyFont="1" applyFill="1" applyBorder="1" applyAlignment="1">
      <alignment horizontal="left" vertical="center"/>
    </xf>
    <xf numFmtId="43" fontId="17" fillId="0" borderId="21" xfId="3" applyFont="1" applyFill="1" applyBorder="1" applyAlignment="1">
      <alignment horizontal="left" vertical="center"/>
    </xf>
    <xf numFmtId="43" fontId="17" fillId="16" borderId="35" xfId="3" applyFont="1" applyFill="1" applyBorder="1" applyAlignment="1">
      <alignment horizontal="left" vertical="center" wrapText="1"/>
    </xf>
    <xf numFmtId="43" fontId="17" fillId="16" borderId="1" xfId="3" applyFont="1" applyFill="1" applyBorder="1" applyAlignment="1">
      <alignment horizontal="left" vertical="center" wrapText="1"/>
    </xf>
    <xf numFmtId="43" fontId="17" fillId="0" borderId="37" xfId="3" applyFont="1" applyFill="1" applyBorder="1" applyAlignment="1">
      <alignment horizontal="left" vertical="center" wrapText="1"/>
    </xf>
    <xf numFmtId="43" fontId="17" fillId="0" borderId="6" xfId="3" applyFont="1" applyFill="1" applyBorder="1" applyAlignment="1">
      <alignment horizontal="left" vertical="center" wrapText="1"/>
    </xf>
    <xf numFmtId="43" fontId="17" fillId="0" borderId="20" xfId="3" applyFont="1" applyFill="1" applyBorder="1" applyAlignment="1">
      <alignment horizontal="left" vertical="center" wrapText="1"/>
    </xf>
    <xf numFmtId="43" fontId="17" fillId="0" borderId="21" xfId="3" applyFont="1" applyFill="1" applyBorder="1" applyAlignment="1">
      <alignment horizontal="left" vertical="center" wrapText="1"/>
    </xf>
    <xf numFmtId="43" fontId="17" fillId="16" borderId="34" xfId="3" applyFont="1" applyFill="1" applyBorder="1" applyAlignment="1">
      <alignment horizontal="left" vertical="center" wrapText="1"/>
    </xf>
    <xf numFmtId="43" fontId="11" fillId="0" borderId="0" xfId="3" applyFont="1" applyFill="1" applyBorder="1" applyAlignment="1">
      <alignment horizontal="left" vertical="center" wrapText="1"/>
    </xf>
    <xf numFmtId="0" fontId="11" fillId="0" borderId="0" xfId="3" applyNumberFormat="1" applyFont="1" applyFill="1" applyBorder="1" applyAlignment="1">
      <alignment horizontal="left" vertical="center" wrapText="1"/>
    </xf>
    <xf numFmtId="0" fontId="11" fillId="0" borderId="28" xfId="3" applyNumberFormat="1" applyFont="1" applyFill="1" applyBorder="1" applyAlignment="1">
      <alignment horizontal="left" vertical="center" wrapText="1"/>
    </xf>
    <xf numFmtId="0" fontId="18" fillId="0" borderId="18" xfId="4" applyFont="1" applyBorder="1" applyAlignment="1">
      <alignment horizontal="left" vertical="center" wrapText="1"/>
    </xf>
    <xf numFmtId="43" fontId="17" fillId="0" borderId="29" xfId="3" applyFont="1" applyFill="1" applyBorder="1" applyAlignment="1">
      <alignment horizontal="left" vertical="center" wrapText="1"/>
    </xf>
    <xf numFmtId="43" fontId="17" fillId="16" borderId="31" xfId="3" applyFont="1" applyFill="1" applyBorder="1" applyAlignment="1">
      <alignment horizontal="left" vertical="center" wrapText="1"/>
    </xf>
    <xf numFmtId="43" fontId="17" fillId="16" borderId="32" xfId="3" applyFont="1" applyFill="1" applyBorder="1" applyAlignment="1">
      <alignment horizontal="left" vertical="center" wrapText="1"/>
    </xf>
    <xf numFmtId="43" fontId="17" fillId="16" borderId="26" xfId="3" applyFont="1" applyFill="1" applyBorder="1" applyAlignment="1">
      <alignment horizontal="left" vertical="center" wrapText="1"/>
    </xf>
    <xf numFmtId="0" fontId="11" fillId="0" borderId="11" xfId="3" applyNumberFormat="1" applyFont="1" applyFill="1" applyBorder="1" applyAlignment="1">
      <alignment horizontal="left" vertical="center" wrapText="1"/>
    </xf>
    <xf numFmtId="0" fontId="11" fillId="0" borderId="41" xfId="3" applyNumberFormat="1" applyFont="1" applyFill="1" applyBorder="1" applyAlignment="1">
      <alignment horizontal="left" vertical="center" wrapText="1"/>
    </xf>
    <xf numFmtId="43" fontId="17" fillId="17" borderId="31" xfId="3" applyFont="1" applyFill="1" applyBorder="1" applyAlignment="1">
      <alignment horizontal="left" vertical="center"/>
    </xf>
    <xf numFmtId="43" fontId="17" fillId="17" borderId="32" xfId="3" applyFont="1" applyFill="1" applyBorder="1" applyAlignment="1">
      <alignment horizontal="left" vertical="center"/>
    </xf>
    <xf numFmtId="43" fontId="17" fillId="17" borderId="26" xfId="3" applyFont="1" applyFill="1" applyBorder="1" applyAlignment="1">
      <alignment horizontal="left" vertical="center"/>
    </xf>
    <xf numFmtId="43" fontId="17" fillId="16" borderId="33" xfId="3" applyFont="1" applyFill="1" applyBorder="1" applyAlignment="1">
      <alignment horizontal="left" vertical="center"/>
    </xf>
    <xf numFmtId="43" fontId="17" fillId="16" borderId="8" xfId="3" applyFont="1" applyFill="1" applyBorder="1" applyAlignment="1">
      <alignment horizontal="left" vertical="center"/>
    </xf>
    <xf numFmtId="43" fontId="11" fillId="0" borderId="18" xfId="3" applyFont="1" applyFill="1" applyBorder="1" applyAlignment="1">
      <alignment horizontal="left" vertical="top"/>
    </xf>
    <xf numFmtId="43" fontId="11" fillId="0" borderId="21" xfId="3" applyFont="1" applyFill="1" applyBorder="1" applyAlignment="1">
      <alignment horizontal="left" vertical="center" wrapText="1"/>
    </xf>
    <xf numFmtId="0" fontId="17" fillId="5" borderId="12" xfId="4" applyFont="1" applyFill="1" applyBorder="1" applyAlignment="1">
      <alignment horizontal="left" vertical="center" wrapText="1"/>
    </xf>
    <xf numFmtId="0" fontId="17" fillId="5" borderId="13" xfId="4" applyFont="1" applyFill="1" applyBorder="1" applyAlignment="1">
      <alignment horizontal="left" vertical="center" wrapText="1"/>
    </xf>
    <xf numFmtId="43" fontId="11" fillId="0" borderId="28" xfId="3" applyFont="1" applyFill="1" applyBorder="1" applyAlignment="1">
      <alignment horizontal="left" vertical="center" wrapText="1"/>
    </xf>
    <xf numFmtId="43" fontId="11" fillId="0" borderId="9" xfId="3" applyFont="1" applyFill="1" applyBorder="1" applyAlignment="1">
      <alignment horizontal="left" vertical="center" wrapText="1"/>
    </xf>
    <xf numFmtId="43" fontId="17" fillId="0" borderId="43" xfId="3" applyFont="1" applyFill="1" applyBorder="1" applyAlignment="1">
      <alignment vertical="center" wrapText="1"/>
    </xf>
    <xf numFmtId="43" fontId="17" fillId="0" borderId="36" xfId="3" applyFont="1" applyFill="1" applyBorder="1" applyAlignment="1">
      <alignment vertical="center" wrapText="1"/>
    </xf>
    <xf numFmtId="43" fontId="17" fillId="0" borderId="9" xfId="3" applyFont="1" applyFill="1" applyBorder="1" applyAlignment="1">
      <alignment vertical="center" wrapText="1"/>
    </xf>
    <xf numFmtId="0" fontId="2" fillId="0" borderId="47" xfId="0" applyFont="1" applyBorder="1" applyAlignment="1">
      <alignment horizontal="right" vertical="center"/>
    </xf>
    <xf numFmtId="0" fontId="2" fillId="0" borderId="48" xfId="0" applyFont="1" applyBorder="1" applyAlignment="1">
      <alignment horizontal="right" vertical="center"/>
    </xf>
    <xf numFmtId="0" fontId="8" fillId="15" borderId="12" xfId="0" applyFont="1" applyFill="1" applyBorder="1" applyAlignment="1">
      <alignment horizontal="center" vertical="center"/>
    </xf>
    <xf numFmtId="0" fontId="8" fillId="15" borderId="13" xfId="0" applyFont="1" applyFill="1" applyBorder="1" applyAlignment="1">
      <alignment horizontal="center" vertical="center"/>
    </xf>
    <xf numFmtId="0" fontId="8" fillId="15" borderId="14" xfId="0" applyFont="1" applyFill="1" applyBorder="1" applyAlignment="1">
      <alignment horizontal="center" vertical="center"/>
    </xf>
    <xf numFmtId="0" fontId="22" fillId="0" borderId="44" xfId="0" applyFont="1" applyBorder="1" applyAlignment="1">
      <alignment horizontal="center" vertical="center" wrapText="1"/>
    </xf>
    <xf numFmtId="0" fontId="22" fillId="0" borderId="46" xfId="0" applyFont="1" applyBorder="1" applyAlignment="1">
      <alignment horizontal="center" vertical="center" wrapText="1"/>
    </xf>
    <xf numFmtId="0" fontId="22" fillId="0" borderId="45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8" fillId="15" borderId="20" xfId="0" applyFont="1" applyFill="1" applyBorder="1" applyAlignment="1">
      <alignment horizontal="center" vertical="center"/>
    </xf>
    <xf numFmtId="0" fontId="8" fillId="15" borderId="21" xfId="0" applyFont="1" applyFill="1" applyBorder="1" applyAlignment="1">
      <alignment horizontal="center" vertical="center"/>
    </xf>
    <xf numFmtId="0" fontId="11" fillId="0" borderId="10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24" fillId="20" borderId="51" xfId="0" applyFont="1" applyFill="1" applyBorder="1" applyAlignment="1">
      <alignment horizontal="center" vertical="center"/>
    </xf>
    <xf numFmtId="0" fontId="24" fillId="20" borderId="6" xfId="0" applyFont="1" applyFill="1" applyBorder="1" applyAlignment="1">
      <alignment horizontal="center" vertical="center"/>
    </xf>
    <xf numFmtId="0" fontId="24" fillId="20" borderId="4" xfId="0" applyFont="1" applyFill="1" applyBorder="1" applyAlignment="1">
      <alignment horizontal="center" vertical="center"/>
    </xf>
    <xf numFmtId="0" fontId="23" fillId="19" borderId="1" xfId="0" applyFont="1" applyFill="1" applyBorder="1" applyAlignment="1">
      <alignment horizontal="center" vertical="center"/>
    </xf>
    <xf numFmtId="0" fontId="7" fillId="20" borderId="10" xfId="0" applyFont="1" applyFill="1" applyBorder="1" applyAlignment="1">
      <alignment horizontal="center" vertical="center"/>
    </xf>
    <xf numFmtId="0" fontId="9" fillId="22" borderId="7" xfId="0" applyFont="1" applyFill="1" applyBorder="1" applyAlignment="1">
      <alignment horizontal="right" vertical="center"/>
    </xf>
    <xf numFmtId="0" fontId="9" fillId="22" borderId="8" xfId="0" applyFont="1" applyFill="1" applyBorder="1" applyAlignment="1">
      <alignment horizontal="right" vertical="center"/>
    </xf>
    <xf numFmtId="0" fontId="9" fillId="22" borderId="2" xfId="0" applyFont="1" applyFill="1" applyBorder="1" applyAlignment="1">
      <alignment horizontal="right" vertical="center"/>
    </xf>
    <xf numFmtId="0" fontId="9" fillId="14" borderId="1" xfId="0" applyFont="1" applyFill="1" applyBorder="1" applyAlignment="1">
      <alignment horizontal="right" vertical="center"/>
    </xf>
    <xf numFmtId="0" fontId="18" fillId="5" borderId="52" xfId="0" applyFont="1" applyFill="1" applyBorder="1" applyAlignment="1">
      <alignment horizontal="left" vertical="center" wrapText="1"/>
    </xf>
    <xf numFmtId="0" fontId="18" fillId="5" borderId="41" xfId="0" applyFont="1" applyFill="1" applyBorder="1" applyAlignment="1">
      <alignment horizontal="left" vertical="center" wrapText="1"/>
    </xf>
    <xf numFmtId="0" fontId="18" fillId="5" borderId="51" xfId="0" applyFont="1" applyFill="1" applyBorder="1" applyAlignment="1">
      <alignment horizontal="left" vertical="center" wrapText="1"/>
    </xf>
    <xf numFmtId="0" fontId="18" fillId="5" borderId="4" xfId="0" applyFont="1" applyFill="1" applyBorder="1" applyAlignment="1">
      <alignment horizontal="left" vertical="center" wrapText="1"/>
    </xf>
    <xf numFmtId="0" fontId="18" fillId="21" borderId="1" xfId="0" applyFont="1" applyFill="1" applyBorder="1" applyAlignment="1">
      <alignment horizontal="center" vertical="center" wrapText="1"/>
    </xf>
    <xf numFmtId="0" fontId="27" fillId="0" borderId="8" xfId="0" applyFont="1" applyBorder="1" applyAlignment="1">
      <alignment horizontal="center" vertical="center"/>
    </xf>
    <xf numFmtId="0" fontId="8" fillId="19" borderId="1" xfId="0" applyFont="1" applyFill="1" applyBorder="1" applyAlignment="1">
      <alignment horizontal="center" vertical="center"/>
    </xf>
    <xf numFmtId="0" fontId="9" fillId="0" borderId="7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3" fillId="26" borderId="15" xfId="0" applyFont="1" applyFill="1" applyBorder="1" applyAlignment="1">
      <alignment horizontal="center" vertical="center" wrapText="1"/>
    </xf>
    <xf numFmtId="0" fontId="3" fillId="26" borderId="0" xfId="0" applyFont="1" applyFill="1" applyAlignment="1">
      <alignment horizontal="center" vertical="center" wrapText="1"/>
    </xf>
    <xf numFmtId="0" fontId="9" fillId="22" borderId="1" xfId="0" applyFont="1" applyFill="1" applyBorder="1" applyAlignment="1">
      <alignment horizontal="right" vertical="center"/>
    </xf>
    <xf numFmtId="0" fontId="9" fillId="22" borderId="10" xfId="0" applyFont="1" applyFill="1" applyBorder="1" applyAlignment="1">
      <alignment horizontal="right" vertical="center"/>
    </xf>
    <xf numFmtId="0" fontId="9" fillId="22" borderId="53" xfId="0" applyFont="1" applyFill="1" applyBorder="1" applyAlignment="1">
      <alignment horizontal="right" vertical="center"/>
    </xf>
    <xf numFmtId="0" fontId="9" fillId="22" borderId="54" xfId="0" applyFont="1" applyFill="1" applyBorder="1" applyAlignment="1">
      <alignment horizontal="right" vertical="center"/>
    </xf>
    <xf numFmtId="0" fontId="9" fillId="22" borderId="55" xfId="0" applyFont="1" applyFill="1" applyBorder="1" applyAlignment="1">
      <alignment horizontal="right" vertical="center"/>
    </xf>
    <xf numFmtId="0" fontId="7" fillId="14" borderId="12" xfId="0" applyFont="1" applyFill="1" applyBorder="1" applyAlignment="1">
      <alignment horizontal="center" vertical="center" wrapText="1"/>
    </xf>
    <xf numFmtId="0" fontId="7" fillId="14" borderId="13" xfId="0" applyFont="1" applyFill="1" applyBorder="1" applyAlignment="1">
      <alignment horizontal="center" vertical="center" wrapText="1"/>
    </xf>
    <xf numFmtId="44" fontId="15" fillId="25" borderId="13" xfId="1" applyFont="1" applyFill="1" applyBorder="1" applyAlignment="1">
      <alignment horizontal="center" vertical="center"/>
    </xf>
    <xf numFmtId="44" fontId="15" fillId="25" borderId="14" xfId="1" applyFont="1" applyFill="1" applyBorder="1" applyAlignment="1">
      <alignment horizontal="center" vertical="center"/>
    </xf>
  </cellXfs>
  <cellStyles count="10">
    <cellStyle name="Moeda" xfId="1" builtinId="4"/>
    <cellStyle name="Moeda 2 2" xfId="9" xr:uid="{88509CE2-7680-4EFD-8F6A-7024805FC9C2}"/>
    <cellStyle name="Normal" xfId="0" builtinId="0"/>
    <cellStyle name="Normal 2 2" xfId="5" xr:uid="{9FFDE938-C445-4500-99CD-71CCF88119E8}"/>
    <cellStyle name="Normal 3" xfId="4" xr:uid="{927A9AA4-3885-4EE2-B4CF-C35568FF6AC4}"/>
    <cellStyle name="Porcentagem" xfId="2" builtinId="5"/>
    <cellStyle name="Porcentagem 2 2" xfId="7" xr:uid="{8BB37384-3093-4A81-B185-42C93377200C}"/>
    <cellStyle name="Vírgula" xfId="3" builtinId="3"/>
    <cellStyle name="Vírgula 3 2" xfId="8" xr:uid="{B82A481C-B51F-4746-902B-C05EF6D82925}"/>
    <cellStyle name="Vírgula 4" xfId="6" xr:uid="{ECD7E5CF-6062-4F02-86A4-3C597DB07C5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microsoft.com/office/2017/10/relationships/person" Target="persons/perso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Gilberto de Oliveira Maximo" id="{4358EAC6-D4BD-4049-92C9-B0B8A0E7C82F}" userId="S::gilberto.maximo@cgu.gov.br::54361949-fca1-499d-979f-9a9df253716a" providerId="AD"/>
</personList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37" dT="2020-07-22T21:03:40.58" personId="{4358EAC6-D4BD-4049-92C9-B0B8A0E7C82F}" id="{A93E56ED-B3B3-45AB-9C9C-54B959023504}">
    <text>Esses percentuais de 13º e Férias foram definidos para coincidirem com os valores que serão recolhidos mensalmente para a Conta Vinculada</text>
  </threadedComment>
  <threadedComment ref="D42" dT="2020-07-22T21:02:39.01" personId="{4358EAC6-D4BD-4049-92C9-B0B8A0E7C82F}" id="{E2984235-7AD8-4157-BFA4-932D2A96C696}">
    <text>Com exceção do item C (SAT) que varia de empresa para empresa,  todos os percentuais do  Submódulo 2.2 são fixos, definidos em lei.</text>
  </threadedComment>
  <threadedComment ref="A66" dT="2020-07-22T21:00:46.94" personId="{4358EAC6-D4BD-4049-92C9-B0B8A0E7C82F}" id="{7564D43E-DFBB-4E87-A24F-BA09FFC14F18}">
    <text>Todo este módulo é de preenchimento discricionário da empresa. Para efeitos de estimativa, foram utilizados os valores que costumam ser cotados nas planilhas de serviços com mão-de-obra na CGU.</text>
  </threadedComment>
  <threadedComment ref="C70" dT="2020-07-22T20:59:09.90" personId="{4358EAC6-D4BD-4049-92C9-B0B8A0E7C82F}" id="{9B37DF37-AE34-4A9F-A45F-8F5ECCEBF7E0}">
    <text>Valor estimado pela empresa. A soma dos percentuais das Multas do FGTS sobre o API e sobre o APT deve resultar em 4% (valor a ser recolhido mensalmente pela Conta Vinculada)</text>
  </threadedComment>
  <threadedComment ref="C73" dT="2020-07-22T20:59:51.91" personId="{4358EAC6-D4BD-4049-92C9-B0B8A0E7C82F}" id="{5E738FFD-5D6C-4D4A-90BE-C9965B033A22}">
    <text>Valor estimado pela empresa. A soma dos percentuais das Multas do FGTS sobre o API e sobre o APT deve resultar em 4% (valor a ser recolhido mensalmente pela Conta Vinculada)</text>
  </threadedComment>
  <threadedComment ref="A76" dT="2020-07-22T21:08:38.94" personId="{4358EAC6-D4BD-4049-92C9-B0B8A0E7C82F}" id="{C741CC43-C9D0-427B-8B98-2ECBFF5458E9}">
    <text>Módulo de preenchimento discricionário da licitante. Percentuais estimados conforme a média aplicada no DF</text>
  </threadedComment>
  <threadedComment ref="A92" dT="2020-07-24T18:48:31.66" personId="{4358EAC6-D4BD-4049-92C9-B0B8A0E7C82F}" id="{4D24D4D9-FC49-4EC4-AD89-1A5D59A21CA8}">
    <text>Cotações feitas pela área técnica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A36" dT="2020-07-22T21:03:40.58" personId="{4358EAC6-D4BD-4049-92C9-B0B8A0E7C82F}" id="{DF120C6B-7781-4AAA-A4FC-75A80097A442}">
    <text>Esses percentuais de 13º e Férias foram definidos para coincidirem com os valores que serão recolhidos mensalmente para a Conta Vinculada</text>
  </threadedComment>
  <threadedComment ref="D41" dT="2020-07-22T21:02:39.01" personId="{4358EAC6-D4BD-4049-92C9-B0B8A0E7C82F}" id="{9D182E3C-984D-4941-81DD-625D5382464E}">
    <text>Com exceção do item C (SAT) que varia de empresa para empresa,  todos os percentuais do  Submódulo 2.2 são fixos, definidos em lei.</text>
  </threadedComment>
  <threadedComment ref="A65" dT="2020-07-22T21:00:46.94" personId="{4358EAC6-D4BD-4049-92C9-B0B8A0E7C82F}" id="{9C22D8F3-3461-4BD0-A0A5-D4FBA9208E7C}">
    <text>Todo este módulo é de preenchimento discricionário da empresa. Para efeitos de estimativa, foram utilizados os valores que costumam ser cotados nas planilhas de serviços com mão-de-obra na CGU.</text>
  </threadedComment>
  <threadedComment ref="C69" dT="2020-07-22T20:59:09.90" personId="{4358EAC6-D4BD-4049-92C9-B0B8A0E7C82F}" id="{C4BC6ACF-4901-47F6-8C4A-502D59066E80}">
    <text>Valor estimado pela empresa. A soma dos percentuais das Multas do FGTS sobre o API e sobre o APT deve resultar em 4% (valor a ser recolhido mensalmente pela Conta Vinculada)</text>
  </threadedComment>
  <threadedComment ref="C72" dT="2020-07-22T20:59:51.91" personId="{4358EAC6-D4BD-4049-92C9-B0B8A0E7C82F}" id="{E2CE9C4B-41A2-43F1-967D-D0192FD31ADB}">
    <text>Valor estimado pela empresa. A soma dos percentuais das Multas do FGTS sobre o API e sobre o APT deve resultar em 4% (valor a ser recolhido mensalmente pela Conta Vinculada)</text>
  </threadedComment>
  <threadedComment ref="A75" dT="2020-07-22T21:08:38.94" personId="{4358EAC6-D4BD-4049-92C9-B0B8A0E7C82F}" id="{23C66356-0B85-4E9D-8AC1-1BE03F5BF909}">
    <text>Módulo de preenchimento discricionário da licitante. Percentuais estimados conforme a média aplicada no DF</text>
  </threadedComment>
  <threadedComment ref="A91" dT="2020-07-24T18:48:31.66" personId="{4358EAC6-D4BD-4049-92C9-B0B8A0E7C82F}" id="{C63A2EE4-CA11-4C2F-8BC0-830D6F1C39C1}">
    <text>Cotações feitas pela área técnica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A37" dT="2020-07-22T21:03:40.58" personId="{4358EAC6-D4BD-4049-92C9-B0B8A0E7C82F}" id="{50D55811-80CC-40A8-AB0E-E39F7476A911}">
    <text>Esses percentuais de 13º e Férias foram definidos para coincidirem com os valores que serão recolhidos mensalmente para a Conta Vinculada</text>
  </threadedComment>
  <threadedComment ref="D42" dT="2020-07-22T21:02:39.01" personId="{4358EAC6-D4BD-4049-92C9-B0B8A0E7C82F}" id="{B3C8ADEF-8D12-437B-8A49-0C97A1F00928}">
    <text>Com exceção do item C (SAT) que varia de empresa para empresa,  todos os percentuais do  Submódulo 2.2 são fixos, definidos em lei.</text>
  </threadedComment>
  <threadedComment ref="A66" dT="2020-07-22T21:00:46.94" personId="{4358EAC6-D4BD-4049-92C9-B0B8A0E7C82F}" id="{C11497F5-AFCC-4CBF-A439-BFDC1EAC689F}">
    <text>Todo este módulo é de preenchimento discricionário da empresa. Para efeitos de estimativa, foram utilizados os valores que costumam ser cotados nas planilhas de serviços com mão-de-obra na CGU.</text>
  </threadedComment>
  <threadedComment ref="C70" dT="2020-07-22T20:59:09.90" personId="{4358EAC6-D4BD-4049-92C9-B0B8A0E7C82F}" id="{CC6EFDEE-4670-45BD-A5E3-F46D8017D1BA}">
    <text>Valor estimado pela empresa. A soma dos percentuais das Multas do FGTS sobre o API e sobre o APT deve resultar em 4% (valor a ser recolhido mensalmente pela Conta Vinculada)</text>
  </threadedComment>
  <threadedComment ref="C73" dT="2020-07-22T20:59:51.91" personId="{4358EAC6-D4BD-4049-92C9-B0B8A0E7C82F}" id="{0F34D13C-7153-43CE-8C18-397B8C7B98C9}">
    <text>Valor estimado pela empresa. A soma dos percentuais das Multas do FGTS sobre o API e sobre o APT deve resultar em 4% (valor a ser recolhido mensalmente pela Conta Vinculada)</text>
  </threadedComment>
  <threadedComment ref="A76" dT="2020-07-22T21:08:38.94" personId="{4358EAC6-D4BD-4049-92C9-B0B8A0E7C82F}" id="{888DB214-A551-434E-AC5C-F3583E391491}">
    <text>Módulo de preenchimento discricionário da licitante. Percentuais estimados conforme a média aplicada no DF</text>
  </threadedComment>
  <threadedComment ref="A92" dT="2020-07-24T18:48:31.66" personId="{4358EAC6-D4BD-4049-92C9-B0B8A0E7C82F}" id="{3C675CEF-23C8-488C-A004-C54E1AC90D09}">
    <text>Cotações feitas pela área técnica</text>
  </threadedComment>
</ThreadedComments>
</file>

<file path=xl/threadedComments/threadedComment4.xml><?xml version="1.0" encoding="utf-8"?>
<ThreadedComments xmlns="http://schemas.microsoft.com/office/spreadsheetml/2018/threadedcomments" xmlns:x="http://schemas.openxmlformats.org/spreadsheetml/2006/main">
  <threadedComment ref="A37" dT="2020-07-22T21:03:40.58" personId="{4358EAC6-D4BD-4049-92C9-B0B8A0E7C82F}" id="{B421623A-FA7B-4064-932F-2BB493274790}">
    <text>Esses percentuais de 13º e Férias foram definidos para coincidirem com os valores que serão recolhidos mensalmente para a Conta Vinculada</text>
  </threadedComment>
  <threadedComment ref="D42" dT="2020-07-22T21:02:39.01" personId="{4358EAC6-D4BD-4049-92C9-B0B8A0E7C82F}" id="{F72CE375-4A65-4D87-BA98-E9B0DBE6B333}">
    <text>Com exceção do item C (SAT) que varia de empresa para empresa,  todos os percentuais do  Submódulo 2.2 são fixos, definidos em lei.</text>
  </threadedComment>
  <threadedComment ref="A66" dT="2020-07-22T21:00:46.94" personId="{4358EAC6-D4BD-4049-92C9-B0B8A0E7C82F}" id="{6362D997-6E0B-4F0D-9169-D6D98683A7D4}">
    <text>Todo este módulo é de preenchimento discricionário da empresa. Para efeitos de estimativa, foram utilizados os valores que costumam ser cotados nas planilhas de serviços com mão-de-obra na CGU.</text>
  </threadedComment>
  <threadedComment ref="C70" dT="2020-07-22T20:59:09.90" personId="{4358EAC6-D4BD-4049-92C9-B0B8A0E7C82F}" id="{56F3438E-50B1-416C-B990-C5692C9DA801}">
    <text>Valor estimado pela empresa. A soma dos percentuais das Multas do FGTS sobre o API e sobre o APT deve resultar em 4% (valor a ser recolhido mensalmente pela Conta Vinculada)</text>
  </threadedComment>
  <threadedComment ref="C73" dT="2020-07-22T20:59:51.91" personId="{4358EAC6-D4BD-4049-92C9-B0B8A0E7C82F}" id="{9D160DC4-7DE1-447C-A1B5-6C6FE6F76F5F}">
    <text>Valor estimado pela empresa. A soma dos percentuais das Multas do FGTS sobre o API e sobre o APT deve resultar em 4% (valor a ser recolhido mensalmente pela Conta Vinculada)</text>
  </threadedComment>
  <threadedComment ref="A76" dT="2020-07-22T21:08:38.94" personId="{4358EAC6-D4BD-4049-92C9-B0B8A0E7C82F}" id="{0DA5C2D1-F42A-4B2B-A097-1CB0833BBE2C}">
    <text>Módulo de preenchimento discricionário da licitante. Percentuais estimados conforme a média aplicada no DF</text>
  </threadedComment>
  <threadedComment ref="A92" dT="2020-07-24T18:48:31.66" personId="{4358EAC6-D4BD-4049-92C9-B0B8A0E7C82F}" id="{E1E755CC-579E-4664-B025-39121A2BA2C3}">
    <text>Cotações feitas pela área técnica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Relationship Id="rId4" Type="http://schemas.microsoft.com/office/2017/10/relationships/threadedComment" Target="../threadedComments/threadedComment1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Relationship Id="rId4" Type="http://schemas.microsoft.com/office/2017/10/relationships/threadedComment" Target="../threadedComments/threadedComment2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Relationship Id="rId4" Type="http://schemas.microsoft.com/office/2017/10/relationships/threadedComment" Target="../threadedComments/threadedComment3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8.bin"/><Relationship Id="rId4" Type="http://schemas.microsoft.com/office/2017/10/relationships/threadedComment" Target="../threadedComments/threadedComment4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E0DD9F-5AF5-4192-87D4-B18D3E2E729C}">
  <dimension ref="A1:C14"/>
  <sheetViews>
    <sheetView showGridLines="0" tabSelected="1" zoomScaleNormal="100" workbookViewId="0">
      <selection activeCell="F46" sqref="F46"/>
    </sheetView>
  </sheetViews>
  <sheetFormatPr defaultRowHeight="15" x14ac:dyDescent="0.25"/>
  <cols>
    <col min="1" max="1" width="29.7109375" bestFit="1" customWidth="1"/>
    <col min="2" max="2" width="21" bestFit="1" customWidth="1"/>
    <col min="3" max="3" width="22" bestFit="1" customWidth="1"/>
  </cols>
  <sheetData>
    <row r="1" spans="1:3" ht="15.75" x14ac:dyDescent="0.25">
      <c r="A1" s="179" t="s">
        <v>0</v>
      </c>
      <c r="B1" s="179"/>
      <c r="C1" s="179"/>
    </row>
    <row r="2" spans="1:3" x14ac:dyDescent="0.25">
      <c r="A2" s="1" t="s">
        <v>1</v>
      </c>
      <c r="B2" s="2" t="s">
        <v>2</v>
      </c>
      <c r="C2" s="2" t="s">
        <v>3</v>
      </c>
    </row>
    <row r="3" spans="1:3" x14ac:dyDescent="0.25">
      <c r="A3" s="3" t="s">
        <v>4</v>
      </c>
      <c r="B3" s="177">
        <v>3.85E-2</v>
      </c>
      <c r="C3" s="177">
        <v>4.4999999999999998E-2</v>
      </c>
    </row>
    <row r="4" spans="1:3" x14ac:dyDescent="0.25">
      <c r="A4" s="3" t="s">
        <v>5</v>
      </c>
      <c r="B4" s="177">
        <v>4.7999999999999996E-3</v>
      </c>
      <c r="C4" s="177">
        <v>1.7399999999999999E-2</v>
      </c>
    </row>
    <row r="5" spans="1:3" x14ac:dyDescent="0.25">
      <c r="A5" s="3" t="s">
        <v>6</v>
      </c>
      <c r="B5" s="177">
        <v>8.5000000000000006E-3</v>
      </c>
      <c r="C5" s="177">
        <v>1.14E-2</v>
      </c>
    </row>
    <row r="6" spans="1:3" x14ac:dyDescent="0.25">
      <c r="A6" s="3" t="s">
        <v>7</v>
      </c>
      <c r="B6" s="177">
        <v>8.6999999999999994E-3</v>
      </c>
      <c r="C6" s="177">
        <v>1.6799999999999999E-2</v>
      </c>
    </row>
    <row r="7" spans="1:3" x14ac:dyDescent="0.25">
      <c r="A7" s="3" t="s">
        <v>8</v>
      </c>
      <c r="B7" s="177">
        <v>6.8500000000000005E-2</v>
      </c>
      <c r="C7" s="177">
        <v>0.08</v>
      </c>
    </row>
    <row r="8" spans="1:3" x14ac:dyDescent="0.25">
      <c r="A8" s="3" t="s">
        <v>9</v>
      </c>
      <c r="B8" s="4">
        <f>C12+C13+C14</f>
        <v>8.6499999999999994E-2</v>
      </c>
      <c r="C8" s="4">
        <f>C12+C13</f>
        <v>3.6499999999999998E-2</v>
      </c>
    </row>
    <row r="9" spans="1:3" ht="15.75" x14ac:dyDescent="0.25">
      <c r="A9" s="5" t="s">
        <v>10</v>
      </c>
      <c r="B9" s="6">
        <f>((((1+(B3+B4+B5))*(1+B6)*(1+B7))/(1-B8))-1)</f>
        <v>0.24096965540229887</v>
      </c>
      <c r="C9" s="6">
        <f>ROUND(((((1+(C3+C4+C5))*(1+C6)*(1+C7))/(1-C8))-1),4)</f>
        <v>0.22389999999999999</v>
      </c>
    </row>
    <row r="10" spans="1:3" x14ac:dyDescent="0.25">
      <c r="A10" s="7"/>
      <c r="B10" s="7"/>
      <c r="C10" s="7"/>
    </row>
    <row r="11" spans="1:3" x14ac:dyDescent="0.25">
      <c r="B11" s="180" t="s">
        <v>11</v>
      </c>
      <c r="C11" s="180"/>
    </row>
    <row r="12" spans="1:3" x14ac:dyDescent="0.25">
      <c r="B12" s="8" t="s">
        <v>12</v>
      </c>
      <c r="C12" s="177">
        <v>0.03</v>
      </c>
    </row>
    <row r="13" spans="1:3" x14ac:dyDescent="0.25">
      <c r="B13" s="8" t="s">
        <v>13</v>
      </c>
      <c r="C13" s="177">
        <v>6.4999999999999997E-3</v>
      </c>
    </row>
    <row r="14" spans="1:3" x14ac:dyDescent="0.25">
      <c r="B14" s="8" t="s">
        <v>14</v>
      </c>
      <c r="C14" s="177">
        <v>0.05</v>
      </c>
    </row>
  </sheetData>
  <mergeCells count="2">
    <mergeCell ref="A1:C1"/>
    <mergeCell ref="B11:C1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B6AF5A-ADA0-41D7-AAE4-44E2ECEC6484}">
  <dimension ref="A1:F45"/>
  <sheetViews>
    <sheetView showGridLines="0" tabSelected="1" topLeftCell="A22" zoomScaleNormal="100" workbookViewId="0">
      <selection activeCell="F46" sqref="F46"/>
    </sheetView>
  </sheetViews>
  <sheetFormatPr defaultRowHeight="15" x14ac:dyDescent="0.25"/>
  <cols>
    <col min="1" max="1" width="82.42578125" style="16" customWidth="1"/>
    <col min="2" max="2" width="16.42578125" style="16" bestFit="1" customWidth="1"/>
    <col min="3" max="3" width="14.7109375" style="16" bestFit="1" customWidth="1"/>
    <col min="4" max="4" width="19.42578125" style="38" customWidth="1"/>
    <col min="5" max="6" width="12.140625" bestFit="1" customWidth="1"/>
  </cols>
  <sheetData>
    <row r="1" spans="1:5" ht="18" x14ac:dyDescent="0.25">
      <c r="A1" s="284" t="s">
        <v>372</v>
      </c>
      <c r="B1" s="284"/>
      <c r="C1" s="284"/>
      <c r="D1" s="284"/>
    </row>
    <row r="2" spans="1:5" ht="15.75" x14ac:dyDescent="0.25">
      <c r="A2" s="285" t="s">
        <v>373</v>
      </c>
      <c r="B2" s="285"/>
      <c r="C2" s="285"/>
      <c r="D2" s="285"/>
    </row>
    <row r="3" spans="1:5" x14ac:dyDescent="0.25">
      <c r="A3" s="281" t="s">
        <v>374</v>
      </c>
      <c r="B3" s="282"/>
      <c r="C3" s="282"/>
      <c r="D3" s="283"/>
    </row>
    <row r="4" spans="1:5" ht="26.25" x14ac:dyDescent="0.25">
      <c r="A4" s="141"/>
      <c r="B4" s="142" t="s">
        <v>375</v>
      </c>
      <c r="C4" s="142" t="s">
        <v>376</v>
      </c>
      <c r="D4" s="143" t="s">
        <v>377</v>
      </c>
    </row>
    <row r="5" spans="1:5" x14ac:dyDescent="0.25">
      <c r="A5" s="144" t="s">
        <v>378</v>
      </c>
      <c r="B5" s="145">
        <f>'TÉC. REFRIGERAÇÃO'!D120</f>
        <v>6853</v>
      </c>
      <c r="C5" s="146">
        <v>2</v>
      </c>
      <c r="D5" s="145">
        <f>ROUND(B5*C5,2)</f>
        <v>13706</v>
      </c>
      <c r="E5">
        <v>13706</v>
      </c>
    </row>
    <row r="6" spans="1:5" x14ac:dyDescent="0.25">
      <c r="A6" s="144" t="s">
        <v>379</v>
      </c>
      <c r="B6" s="144"/>
      <c r="C6" s="144"/>
      <c r="D6" s="145">
        <f>SERVIÇOS_ESPECIALIZADOS!G6</f>
        <v>9430</v>
      </c>
      <c r="E6">
        <v>9430</v>
      </c>
    </row>
    <row r="7" spans="1:5" x14ac:dyDescent="0.25">
      <c r="A7" s="286" t="s">
        <v>380</v>
      </c>
      <c r="B7" s="287"/>
      <c r="C7" s="288"/>
      <c r="D7" s="147">
        <f>SUM(D5:D6)</f>
        <v>23136</v>
      </c>
    </row>
    <row r="8" spans="1:5" x14ac:dyDescent="0.25">
      <c r="A8"/>
      <c r="B8"/>
      <c r="C8"/>
      <c r="D8"/>
    </row>
    <row r="9" spans="1:5" ht="15.75" x14ac:dyDescent="0.25">
      <c r="A9" s="285" t="s">
        <v>381</v>
      </c>
      <c r="B9" s="285"/>
      <c r="C9" s="285"/>
      <c r="D9" s="285"/>
    </row>
    <row r="10" spans="1:5" x14ac:dyDescent="0.25">
      <c r="A10" s="281" t="s">
        <v>382</v>
      </c>
      <c r="B10" s="282"/>
      <c r="C10" s="282"/>
      <c r="D10" s="283"/>
    </row>
    <row r="11" spans="1:5" ht="25.5" x14ac:dyDescent="0.25">
      <c r="A11" s="290" t="s">
        <v>383</v>
      </c>
      <c r="B11" s="291"/>
      <c r="C11" s="148" t="s">
        <v>384</v>
      </c>
      <c r="D11" s="149" t="s">
        <v>385</v>
      </c>
    </row>
    <row r="12" spans="1:5" x14ac:dyDescent="0.25">
      <c r="A12" s="292"/>
      <c r="B12" s="293"/>
      <c r="C12" s="163">
        <f>'SUPERV. ENG. MECÂNICO'!D119</f>
        <v>130.82539607465176</v>
      </c>
      <c r="D12" s="151">
        <f>ROUND(8*C12,2)</f>
        <v>1046.5999999999999</v>
      </c>
    </row>
    <row r="13" spans="1:5" ht="25.5" x14ac:dyDescent="0.25">
      <c r="A13" s="290" t="s">
        <v>386</v>
      </c>
      <c r="B13" s="291"/>
      <c r="C13" s="148" t="s">
        <v>384</v>
      </c>
      <c r="D13" s="149" t="s">
        <v>387</v>
      </c>
    </row>
    <row r="14" spans="1:5" x14ac:dyDescent="0.25">
      <c r="A14" s="292"/>
      <c r="B14" s="293"/>
      <c r="C14" s="150">
        <f>MÃO_DE_OBRA!F12</f>
        <v>38.9375</v>
      </c>
      <c r="D14" s="151">
        <f>ROUND(48*C14,2)</f>
        <v>1869</v>
      </c>
    </row>
    <row r="15" spans="1:5" ht="25.5" x14ac:dyDescent="0.25">
      <c r="A15" s="290" t="s">
        <v>388</v>
      </c>
      <c r="B15" s="291"/>
      <c r="C15" s="148" t="s">
        <v>384</v>
      </c>
      <c r="D15" s="149" t="s">
        <v>387</v>
      </c>
    </row>
    <row r="16" spans="1:5" x14ac:dyDescent="0.25">
      <c r="A16" s="292"/>
      <c r="B16" s="293"/>
      <c r="C16" s="150">
        <f>MÃO_DE_OBRA!F13</f>
        <v>39.381548818449971</v>
      </c>
      <c r="D16" s="151">
        <f>ROUND(48*C16,2)</f>
        <v>1890.31</v>
      </c>
    </row>
    <row r="17" spans="1:5" ht="25.5" x14ac:dyDescent="0.25">
      <c r="A17" s="290" t="s">
        <v>389</v>
      </c>
      <c r="B17" s="291"/>
      <c r="C17" s="148" t="s">
        <v>384</v>
      </c>
      <c r="D17" s="149" t="s">
        <v>390</v>
      </c>
    </row>
    <row r="18" spans="1:5" x14ac:dyDescent="0.25">
      <c r="A18" s="292"/>
      <c r="B18" s="293"/>
      <c r="C18" s="150">
        <f>MÃO_DE_OBRA!F14</f>
        <v>26.596614552443679</v>
      </c>
      <c r="D18" s="151">
        <f>ROUND(32*C18,2)</f>
        <v>851.09</v>
      </c>
      <c r="E18" s="176">
        <f>D12+D14+D16+D18</f>
        <v>5657</v>
      </c>
    </row>
    <row r="19" spans="1:5" ht="27" customHeight="1" x14ac:dyDescent="0.25">
      <c r="A19" s="290" t="s">
        <v>391</v>
      </c>
      <c r="B19" s="291"/>
      <c r="C19" s="294" t="s">
        <v>392</v>
      </c>
      <c r="D19" s="294"/>
    </row>
    <row r="20" spans="1:5" x14ac:dyDescent="0.25">
      <c r="A20" s="292"/>
      <c r="B20" s="293"/>
      <c r="C20" s="152"/>
      <c r="D20" s="153">
        <f>PEÇAS_COMPONENTES!H54</f>
        <v>5934.517499999999</v>
      </c>
      <c r="E20">
        <v>5934.52</v>
      </c>
    </row>
    <row r="21" spans="1:5" x14ac:dyDescent="0.25">
      <c r="A21" s="286" t="s">
        <v>380</v>
      </c>
      <c r="B21" s="287"/>
      <c r="C21" s="288"/>
      <c r="D21" s="147">
        <f>D12+D14+D16+D18+D20</f>
        <v>11591.517499999998</v>
      </c>
    </row>
    <row r="22" spans="1:5" x14ac:dyDescent="0.25">
      <c r="A22" s="295"/>
      <c r="B22" s="295"/>
      <c r="C22" s="295"/>
      <c r="D22" s="295"/>
    </row>
    <row r="23" spans="1:5" ht="15.75" x14ac:dyDescent="0.25">
      <c r="A23" s="296" t="s">
        <v>393</v>
      </c>
      <c r="B23" s="296"/>
      <c r="C23" s="296"/>
      <c r="D23" s="296"/>
    </row>
    <row r="24" spans="1:5" x14ac:dyDescent="0.25">
      <c r="A24" s="297" t="s">
        <v>394</v>
      </c>
      <c r="B24" s="298"/>
      <c r="C24" s="299"/>
      <c r="D24" s="145">
        <f>D5</f>
        <v>13706</v>
      </c>
    </row>
    <row r="25" spans="1:5" x14ac:dyDescent="0.25">
      <c r="A25" s="297" t="s">
        <v>395</v>
      </c>
      <c r="B25" s="298"/>
      <c r="C25" s="299"/>
      <c r="D25" s="145">
        <f>D6</f>
        <v>9430</v>
      </c>
    </row>
    <row r="26" spans="1:5" x14ac:dyDescent="0.25">
      <c r="A26" s="289" t="s">
        <v>396</v>
      </c>
      <c r="B26" s="289"/>
      <c r="C26" s="289"/>
      <c r="D26" s="154">
        <f>D24+D25</f>
        <v>23136</v>
      </c>
    </row>
    <row r="27" spans="1:5" x14ac:dyDescent="0.25">
      <c r="A27" s="297" t="s">
        <v>397</v>
      </c>
      <c r="B27" s="298"/>
      <c r="C27" s="299"/>
      <c r="D27" s="145">
        <f>D12+D14+D16+D18</f>
        <v>5657</v>
      </c>
    </row>
    <row r="28" spans="1:5" x14ac:dyDescent="0.25">
      <c r="A28" s="297" t="s">
        <v>398</v>
      </c>
      <c r="B28" s="298"/>
      <c r="C28" s="299"/>
      <c r="D28" s="145">
        <f>D20</f>
        <v>5934.517499999999</v>
      </c>
    </row>
    <row r="29" spans="1:5" x14ac:dyDescent="0.25">
      <c r="A29" s="289" t="s">
        <v>399</v>
      </c>
      <c r="B29" s="289"/>
      <c r="C29" s="289" t="e">
        <f>D12+#REF!+D20</f>
        <v>#REF!</v>
      </c>
      <c r="D29" s="154">
        <f>D21</f>
        <v>11591.517499999998</v>
      </c>
    </row>
    <row r="30" spans="1:5" x14ac:dyDescent="0.25">
      <c r="A30" s="302" t="s">
        <v>400</v>
      </c>
      <c r="B30" s="302"/>
      <c r="C30" s="302"/>
      <c r="D30" s="147">
        <f>D26+D29</f>
        <v>34727.517500000002</v>
      </c>
    </row>
    <row r="31" spans="1:5" x14ac:dyDescent="0.25">
      <c r="A31" s="295"/>
      <c r="B31" s="295"/>
      <c r="C31" s="295"/>
      <c r="D31" s="295"/>
    </row>
    <row r="32" spans="1:5" ht="15.75" x14ac:dyDescent="0.25">
      <c r="A32" s="296" t="s">
        <v>401</v>
      </c>
      <c r="B32" s="296"/>
      <c r="C32" s="296"/>
      <c r="D32" s="296"/>
    </row>
    <row r="33" spans="1:6" x14ac:dyDescent="0.25">
      <c r="A33" s="297" t="s">
        <v>402</v>
      </c>
      <c r="B33" s="298"/>
      <c r="C33" s="299"/>
      <c r="D33" s="165">
        <f>('TÉC. REFRIGERAÇÃO'!D102)*2</f>
        <v>1138.219978256446</v>
      </c>
    </row>
    <row r="34" spans="1:6" x14ac:dyDescent="0.25">
      <c r="A34" s="155" t="s">
        <v>403</v>
      </c>
      <c r="B34" s="156"/>
      <c r="C34" s="157"/>
      <c r="D34" s="145">
        <f>'TÉC. REFRIGERAÇÃO'!E110+'SUPERV. ENG. MECÂNICO'!E108+'TÉC. ELETRICISTA'!E110+AJUDANTE!E110</f>
        <v>434.44911207164864</v>
      </c>
    </row>
    <row r="35" spans="1:6" x14ac:dyDescent="0.25">
      <c r="A35" s="303" t="s">
        <v>380</v>
      </c>
      <c r="B35" s="303"/>
      <c r="C35" s="303"/>
      <c r="D35" s="158">
        <f>D33+D34</f>
        <v>1572.6690903280946</v>
      </c>
    </row>
    <row r="36" spans="1:6" x14ac:dyDescent="0.25">
      <c r="A36" s="304" t="s">
        <v>404</v>
      </c>
      <c r="B36" s="305"/>
      <c r="C36" s="306"/>
      <c r="D36" s="159">
        <f>D35*12</f>
        <v>18872.029083937137</v>
      </c>
    </row>
    <row r="37" spans="1:6" ht="15.75" thickBot="1" x14ac:dyDescent="0.3">
      <c r="A37"/>
      <c r="B37"/>
      <c r="C37"/>
      <c r="D37"/>
    </row>
    <row r="38" spans="1:6" ht="16.5" thickBot="1" x14ac:dyDescent="0.3">
      <c r="A38" s="307" t="s">
        <v>405</v>
      </c>
      <c r="B38" s="308"/>
      <c r="C38" s="309">
        <f>12*D30</f>
        <v>416730.21</v>
      </c>
      <c r="D38" s="310"/>
      <c r="F38" s="178"/>
    </row>
    <row r="39" spans="1:6" x14ac:dyDescent="0.25">
      <c r="A39"/>
      <c r="B39"/>
      <c r="C39" s="300" t="s">
        <v>406</v>
      </c>
      <c r="D39" s="300"/>
    </row>
    <row r="40" spans="1:6" x14ac:dyDescent="0.25">
      <c r="A40" s="160"/>
      <c r="B40" s="160"/>
      <c r="C40" s="301"/>
      <c r="D40" s="301"/>
      <c r="F40" s="176"/>
    </row>
    <row r="41" spans="1:6" x14ac:dyDescent="0.25">
      <c r="A41" s="160"/>
      <c r="B41" s="160"/>
      <c r="C41" s="160"/>
      <c r="D41" s="160"/>
    </row>
    <row r="43" spans="1:6" x14ac:dyDescent="0.25">
      <c r="D43" s="161"/>
    </row>
    <row r="44" spans="1:6" x14ac:dyDescent="0.25">
      <c r="D44" s="161"/>
    </row>
    <row r="45" spans="1:6" x14ac:dyDescent="0.25">
      <c r="D45" s="161"/>
    </row>
  </sheetData>
  <mergeCells count="30">
    <mergeCell ref="C39:D40"/>
    <mergeCell ref="A27:C27"/>
    <mergeCell ref="A28:C28"/>
    <mergeCell ref="A29:C29"/>
    <mergeCell ref="A30:C30"/>
    <mergeCell ref="A31:D31"/>
    <mergeCell ref="A32:D32"/>
    <mergeCell ref="A33:C33"/>
    <mergeCell ref="A35:C35"/>
    <mergeCell ref="A36:C36"/>
    <mergeCell ref="A38:B38"/>
    <mergeCell ref="C38:D38"/>
    <mergeCell ref="A26:C26"/>
    <mergeCell ref="A11:B12"/>
    <mergeCell ref="A13:B14"/>
    <mergeCell ref="A15:B16"/>
    <mergeCell ref="A17:B18"/>
    <mergeCell ref="A19:B20"/>
    <mergeCell ref="C19:D19"/>
    <mergeCell ref="A21:C21"/>
    <mergeCell ref="A22:D22"/>
    <mergeCell ref="A23:D23"/>
    <mergeCell ref="A24:C24"/>
    <mergeCell ref="A25:C25"/>
    <mergeCell ref="A10:D10"/>
    <mergeCell ref="A1:D1"/>
    <mergeCell ref="A2:D2"/>
    <mergeCell ref="A3:D3"/>
    <mergeCell ref="A7:C7"/>
    <mergeCell ref="A9:D9"/>
  </mergeCells>
  <pageMargins left="0.511811024" right="0.511811024" top="0.78740157499999996" bottom="0.78740157499999996" header="0.31496062000000002" footer="0.31496062000000002"/>
  <pageSetup paperSize="9" scale="6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37C5C2-DEC6-4A65-A264-5056429979FA}">
  <sheetPr>
    <tabColor theme="8" tint="-0.249977111117893"/>
  </sheetPr>
  <dimension ref="A1:H79"/>
  <sheetViews>
    <sheetView showGridLines="0" tabSelected="1" topLeftCell="A64" zoomScaleNormal="100" workbookViewId="0">
      <selection activeCell="F46" sqref="F46"/>
    </sheetView>
  </sheetViews>
  <sheetFormatPr defaultRowHeight="15" x14ac:dyDescent="0.25"/>
  <cols>
    <col min="1" max="1" width="9.28515625" style="16" bestFit="1" customWidth="1"/>
    <col min="2" max="2" width="66.140625" style="17" customWidth="1"/>
    <col min="3" max="3" width="9.140625" style="17"/>
    <col min="4" max="4" width="9.28515625" style="17" bestFit="1" customWidth="1"/>
    <col min="5" max="5" width="15" style="17" customWidth="1"/>
    <col min="6" max="7" width="9.28515625" style="17" bestFit="1" customWidth="1"/>
    <col min="8" max="8" width="13.140625" style="17" bestFit="1" customWidth="1"/>
  </cols>
  <sheetData>
    <row r="1" spans="1:8" ht="15.75" x14ac:dyDescent="0.25">
      <c r="A1" s="184" t="s">
        <v>15</v>
      </c>
      <c r="B1" s="185"/>
      <c r="C1" s="185"/>
      <c r="D1" s="185"/>
      <c r="E1" s="185"/>
      <c r="F1" s="185"/>
      <c r="G1" s="185"/>
      <c r="H1" s="186"/>
    </row>
    <row r="2" spans="1:8" ht="25.5" x14ac:dyDescent="0.25">
      <c r="A2" s="9" t="s">
        <v>16</v>
      </c>
      <c r="B2" s="9" t="s">
        <v>17</v>
      </c>
      <c r="C2" s="9" t="s">
        <v>18</v>
      </c>
      <c r="D2" s="10" t="s">
        <v>19</v>
      </c>
      <c r="E2" s="9" t="s">
        <v>20</v>
      </c>
      <c r="F2" s="9" t="s">
        <v>21</v>
      </c>
      <c r="G2" s="9" t="s">
        <v>22</v>
      </c>
      <c r="H2" s="9" t="s">
        <v>23</v>
      </c>
    </row>
    <row r="3" spans="1:8" x14ac:dyDescent="0.25">
      <c r="A3" s="11">
        <v>1</v>
      </c>
      <c r="B3" s="12" t="s">
        <v>24</v>
      </c>
      <c r="C3" s="13" t="s">
        <v>25</v>
      </c>
      <c r="D3" s="14" t="s">
        <v>26</v>
      </c>
      <c r="E3" s="28">
        <v>10.52</v>
      </c>
      <c r="F3" s="13">
        <v>12</v>
      </c>
      <c r="G3" s="13">
        <v>1</v>
      </c>
      <c r="H3" s="15">
        <f>IFERROR(ROUND(E3*G3/F3,2),"")</f>
        <v>0.88</v>
      </c>
    </row>
    <row r="4" spans="1:8" x14ac:dyDescent="0.25">
      <c r="A4" s="11">
        <v>2</v>
      </c>
      <c r="B4" s="12" t="s">
        <v>27</v>
      </c>
      <c r="C4" s="13" t="s">
        <v>28</v>
      </c>
      <c r="D4" s="14" t="s">
        <v>29</v>
      </c>
      <c r="E4" s="28">
        <v>11</v>
      </c>
      <c r="F4" s="13">
        <v>12</v>
      </c>
      <c r="G4" s="13">
        <v>10</v>
      </c>
      <c r="H4" s="15">
        <f t="shared" ref="H4:H15" si="0">IFERROR(ROUND(E4*G4/F4,2),"")</f>
        <v>9.17</v>
      </c>
    </row>
    <row r="5" spans="1:8" x14ac:dyDescent="0.25">
      <c r="A5" s="11">
        <v>3</v>
      </c>
      <c r="B5" s="12" t="s">
        <v>30</v>
      </c>
      <c r="C5" s="13" t="s">
        <v>31</v>
      </c>
      <c r="D5" s="14" t="s">
        <v>32</v>
      </c>
      <c r="E5" s="28">
        <v>15.86</v>
      </c>
      <c r="F5" s="13">
        <v>12</v>
      </c>
      <c r="G5" s="13">
        <v>5</v>
      </c>
      <c r="H5" s="15">
        <f t="shared" si="0"/>
        <v>6.61</v>
      </c>
    </row>
    <row r="6" spans="1:8" x14ac:dyDescent="0.25">
      <c r="A6" s="11">
        <v>4</v>
      </c>
      <c r="B6" s="12" t="s">
        <v>33</v>
      </c>
      <c r="C6" s="13" t="s">
        <v>34</v>
      </c>
      <c r="D6" s="14" t="s">
        <v>35</v>
      </c>
      <c r="E6" s="28">
        <v>1.62</v>
      </c>
      <c r="F6" s="13">
        <v>12</v>
      </c>
      <c r="G6" s="13">
        <v>60</v>
      </c>
      <c r="H6" s="15">
        <f t="shared" si="0"/>
        <v>8.1</v>
      </c>
    </row>
    <row r="7" spans="1:8" x14ac:dyDescent="0.25">
      <c r="A7" s="11">
        <v>5</v>
      </c>
      <c r="B7" s="12" t="s">
        <v>36</v>
      </c>
      <c r="C7" s="13" t="s">
        <v>25</v>
      </c>
      <c r="D7" s="14" t="s">
        <v>37</v>
      </c>
      <c r="E7" s="28">
        <v>14.38</v>
      </c>
      <c r="F7" s="13">
        <v>12</v>
      </c>
      <c r="G7" s="13">
        <v>2</v>
      </c>
      <c r="H7" s="15">
        <f t="shared" si="0"/>
        <v>2.4</v>
      </c>
    </row>
    <row r="8" spans="1:8" ht="28.5" x14ac:dyDescent="0.25">
      <c r="A8" s="11">
        <v>6</v>
      </c>
      <c r="B8" s="12" t="s">
        <v>38</v>
      </c>
      <c r="C8" s="13" t="s">
        <v>25</v>
      </c>
      <c r="D8" s="14" t="s">
        <v>39</v>
      </c>
      <c r="E8" s="166">
        <v>10.9</v>
      </c>
      <c r="F8" s="13">
        <v>12</v>
      </c>
      <c r="G8" s="13">
        <v>10</v>
      </c>
      <c r="H8" s="15">
        <f t="shared" si="0"/>
        <v>9.08</v>
      </c>
    </row>
    <row r="9" spans="1:8" x14ac:dyDescent="0.25">
      <c r="A9" s="11">
        <v>7</v>
      </c>
      <c r="B9" s="12" t="s">
        <v>40</v>
      </c>
      <c r="C9" s="13" t="s">
        <v>31</v>
      </c>
      <c r="D9" s="14" t="s">
        <v>41</v>
      </c>
      <c r="E9" s="28">
        <v>47.71</v>
      </c>
      <c r="F9" s="13">
        <v>12</v>
      </c>
      <c r="G9" s="13">
        <v>5</v>
      </c>
      <c r="H9" s="15">
        <f t="shared" si="0"/>
        <v>19.88</v>
      </c>
    </row>
    <row r="10" spans="1:8" x14ac:dyDescent="0.25">
      <c r="A10" s="11">
        <v>8</v>
      </c>
      <c r="B10" s="12" t="s">
        <v>42</v>
      </c>
      <c r="C10" s="13" t="s">
        <v>25</v>
      </c>
      <c r="D10" s="14" t="s">
        <v>43</v>
      </c>
      <c r="E10" s="28">
        <v>27.85</v>
      </c>
      <c r="F10" s="13">
        <v>12</v>
      </c>
      <c r="G10" s="13">
        <v>3</v>
      </c>
      <c r="H10" s="15">
        <f>IFERROR(ROUND(E10*G10/F10,2),"")</f>
        <v>6.96</v>
      </c>
    </row>
    <row r="11" spans="1:8" x14ac:dyDescent="0.25">
      <c r="A11" s="11">
        <v>9</v>
      </c>
      <c r="B11" s="12" t="s">
        <v>44</v>
      </c>
      <c r="C11" s="13" t="s">
        <v>25</v>
      </c>
      <c r="D11" s="14" t="s">
        <v>45</v>
      </c>
      <c r="E11" s="28">
        <v>16.516666666666666</v>
      </c>
      <c r="F11" s="13">
        <v>12</v>
      </c>
      <c r="G11" s="13">
        <v>10</v>
      </c>
      <c r="H11" s="15">
        <f t="shared" si="0"/>
        <v>13.76</v>
      </c>
    </row>
    <row r="12" spans="1:8" x14ac:dyDescent="0.25">
      <c r="A12" s="11">
        <v>10</v>
      </c>
      <c r="B12" s="12" t="s">
        <v>46</v>
      </c>
      <c r="C12" s="13" t="s">
        <v>25</v>
      </c>
      <c r="D12" s="14" t="s">
        <v>45</v>
      </c>
      <c r="E12" s="28">
        <v>34.346666666666664</v>
      </c>
      <c r="F12" s="13">
        <v>12</v>
      </c>
      <c r="G12" s="13">
        <v>5</v>
      </c>
      <c r="H12" s="15">
        <f t="shared" si="0"/>
        <v>14.31</v>
      </c>
    </row>
    <row r="13" spans="1:8" x14ac:dyDescent="0.25">
      <c r="A13" s="11">
        <v>11</v>
      </c>
      <c r="B13" s="12" t="s">
        <v>47</v>
      </c>
      <c r="C13" s="13" t="s">
        <v>25</v>
      </c>
      <c r="D13" s="14" t="s">
        <v>45</v>
      </c>
      <c r="E13" s="28">
        <v>129.86333333333334</v>
      </c>
      <c r="F13" s="13">
        <v>12</v>
      </c>
      <c r="G13" s="13">
        <v>2</v>
      </c>
      <c r="H13" s="15">
        <f t="shared" si="0"/>
        <v>21.64</v>
      </c>
    </row>
    <row r="14" spans="1:8" x14ac:dyDescent="0.25">
      <c r="A14" s="11">
        <v>12</v>
      </c>
      <c r="B14" s="12" t="s">
        <v>48</v>
      </c>
      <c r="C14" s="13" t="s">
        <v>25</v>
      </c>
      <c r="D14" s="14" t="s">
        <v>45</v>
      </c>
      <c r="E14" s="28">
        <v>74.38333333333334</v>
      </c>
      <c r="F14" s="13">
        <v>12</v>
      </c>
      <c r="G14" s="13">
        <v>2</v>
      </c>
      <c r="H14" s="15">
        <f t="shared" si="0"/>
        <v>12.4</v>
      </c>
    </row>
    <row r="15" spans="1:8" x14ac:dyDescent="0.25">
      <c r="A15" s="11">
        <v>13</v>
      </c>
      <c r="B15" s="12" t="s">
        <v>49</v>
      </c>
      <c r="C15" s="13" t="s">
        <v>25</v>
      </c>
      <c r="D15" s="14" t="s">
        <v>45</v>
      </c>
      <c r="E15" s="28">
        <v>88.203333333333333</v>
      </c>
      <c r="F15" s="13">
        <v>12</v>
      </c>
      <c r="G15" s="13">
        <v>2</v>
      </c>
      <c r="H15" s="15">
        <f t="shared" si="0"/>
        <v>14.7</v>
      </c>
    </row>
    <row r="16" spans="1:8" x14ac:dyDescent="0.25">
      <c r="C16" s="181" t="s">
        <v>50</v>
      </c>
      <c r="D16" s="182"/>
      <c r="E16" s="182"/>
      <c r="F16" s="182"/>
      <c r="G16" s="183"/>
      <c r="H16" s="15">
        <f>SUM(H3:H15)</f>
        <v>139.88999999999999</v>
      </c>
    </row>
    <row r="17" spans="1:8" ht="15.75" x14ac:dyDescent="0.25">
      <c r="C17" s="181" t="s">
        <v>51</v>
      </c>
      <c r="D17" s="182"/>
      <c r="E17" s="182"/>
      <c r="F17" s="182"/>
      <c r="G17" s="183"/>
      <c r="H17" s="18">
        <f>H16/2</f>
        <v>69.944999999999993</v>
      </c>
    </row>
    <row r="19" spans="1:8" ht="15.75" x14ac:dyDescent="0.25">
      <c r="A19" s="184" t="s">
        <v>52</v>
      </c>
      <c r="B19" s="185"/>
      <c r="C19" s="185"/>
      <c r="D19" s="185"/>
      <c r="E19" s="185"/>
      <c r="F19" s="185"/>
      <c r="G19" s="185"/>
      <c r="H19" s="186"/>
    </row>
    <row r="20" spans="1:8" ht="24.75" customHeight="1" x14ac:dyDescent="0.25">
      <c r="A20" s="9" t="s">
        <v>16</v>
      </c>
      <c r="B20" s="9" t="s">
        <v>17</v>
      </c>
      <c r="C20" s="9" t="s">
        <v>18</v>
      </c>
      <c r="D20" s="10" t="s">
        <v>19</v>
      </c>
      <c r="E20" s="9" t="s">
        <v>20</v>
      </c>
      <c r="F20" s="9" t="s">
        <v>21</v>
      </c>
      <c r="G20" s="9" t="s">
        <v>22</v>
      </c>
      <c r="H20" s="19" t="s">
        <v>53</v>
      </c>
    </row>
    <row r="21" spans="1:8" x14ac:dyDescent="0.25">
      <c r="A21" s="11">
        <v>1</v>
      </c>
      <c r="B21" s="12" t="s">
        <v>54</v>
      </c>
      <c r="C21" s="13" t="s">
        <v>25</v>
      </c>
      <c r="D21" s="13" t="s">
        <v>45</v>
      </c>
      <c r="E21" s="167">
        <v>308.21333333333337</v>
      </c>
      <c r="F21" s="13">
        <v>60</v>
      </c>
      <c r="G21" s="13">
        <v>1</v>
      </c>
      <c r="H21" s="15">
        <f t="shared" ref="H21:H58" si="1">IFERROR(ROUND(E21*G21*0.8/F21,2),"")</f>
        <v>4.1100000000000003</v>
      </c>
    </row>
    <row r="22" spans="1:8" x14ac:dyDescent="0.25">
      <c r="A22" s="11">
        <v>2</v>
      </c>
      <c r="B22" s="12" t="s">
        <v>55</v>
      </c>
      <c r="C22" s="13" t="s">
        <v>25</v>
      </c>
      <c r="D22" s="13" t="s">
        <v>45</v>
      </c>
      <c r="E22" s="167">
        <v>67.166666666666671</v>
      </c>
      <c r="F22" s="13">
        <v>60</v>
      </c>
      <c r="G22" s="13">
        <v>1</v>
      </c>
      <c r="H22" s="15">
        <f t="shared" si="1"/>
        <v>0.9</v>
      </c>
    </row>
    <row r="23" spans="1:8" x14ac:dyDescent="0.25">
      <c r="A23" s="11">
        <v>3</v>
      </c>
      <c r="B23" s="12" t="s">
        <v>56</v>
      </c>
      <c r="C23" s="13" t="s">
        <v>25</v>
      </c>
      <c r="D23" s="13" t="s">
        <v>45</v>
      </c>
      <c r="E23" s="167">
        <v>87.266666666666666</v>
      </c>
      <c r="F23" s="13">
        <v>60</v>
      </c>
      <c r="G23" s="13">
        <v>1</v>
      </c>
      <c r="H23" s="15">
        <f t="shared" si="1"/>
        <v>1.1599999999999999</v>
      </c>
    </row>
    <row r="24" spans="1:8" x14ac:dyDescent="0.25">
      <c r="A24" s="11">
        <v>4</v>
      </c>
      <c r="B24" s="12" t="s">
        <v>57</v>
      </c>
      <c r="C24" s="13" t="s">
        <v>25</v>
      </c>
      <c r="D24" s="13" t="s">
        <v>45</v>
      </c>
      <c r="E24" s="167">
        <v>79.2</v>
      </c>
      <c r="F24" s="13">
        <v>60</v>
      </c>
      <c r="G24" s="13">
        <v>1</v>
      </c>
      <c r="H24" s="15">
        <f t="shared" si="1"/>
        <v>1.06</v>
      </c>
    </row>
    <row r="25" spans="1:8" x14ac:dyDescent="0.25">
      <c r="A25" s="11">
        <v>5</v>
      </c>
      <c r="B25" s="12" t="s">
        <v>58</v>
      </c>
      <c r="C25" s="13" t="s">
        <v>25</v>
      </c>
      <c r="D25" s="13" t="s">
        <v>45</v>
      </c>
      <c r="E25" s="167">
        <v>68.203333333333333</v>
      </c>
      <c r="F25" s="13">
        <v>60</v>
      </c>
      <c r="G25" s="13">
        <v>1</v>
      </c>
      <c r="H25" s="15">
        <f t="shared" si="1"/>
        <v>0.91</v>
      </c>
    </row>
    <row r="26" spans="1:8" x14ac:dyDescent="0.25">
      <c r="A26" s="11">
        <v>6</v>
      </c>
      <c r="B26" s="12" t="s">
        <v>59</v>
      </c>
      <c r="C26" s="13" t="s">
        <v>25</v>
      </c>
      <c r="D26" s="13" t="s">
        <v>45</v>
      </c>
      <c r="E26" s="167">
        <v>104.86000000000001</v>
      </c>
      <c r="F26" s="13">
        <v>60</v>
      </c>
      <c r="G26" s="13">
        <v>1</v>
      </c>
      <c r="H26" s="15">
        <f t="shared" si="1"/>
        <v>1.4</v>
      </c>
    </row>
    <row r="27" spans="1:8" x14ac:dyDescent="0.25">
      <c r="A27" s="11">
        <v>7</v>
      </c>
      <c r="B27" s="12" t="s">
        <v>60</v>
      </c>
      <c r="C27" s="13" t="s">
        <v>25</v>
      </c>
      <c r="D27" s="13" t="s">
        <v>45</v>
      </c>
      <c r="E27" s="167">
        <v>40.573333333333331</v>
      </c>
      <c r="F27" s="13">
        <v>60</v>
      </c>
      <c r="G27" s="13">
        <v>1</v>
      </c>
      <c r="H27" s="15">
        <f t="shared" si="1"/>
        <v>0.54</v>
      </c>
    </row>
    <row r="28" spans="1:8" x14ac:dyDescent="0.25">
      <c r="A28" s="11">
        <v>8</v>
      </c>
      <c r="B28" s="12" t="s">
        <v>61</v>
      </c>
      <c r="C28" s="13" t="s">
        <v>25</v>
      </c>
      <c r="D28" s="13" t="s">
        <v>45</v>
      </c>
      <c r="E28" s="167">
        <v>34.063333333333333</v>
      </c>
      <c r="F28" s="13">
        <v>60</v>
      </c>
      <c r="G28" s="13">
        <v>1</v>
      </c>
      <c r="H28" s="15">
        <f t="shared" si="1"/>
        <v>0.45</v>
      </c>
    </row>
    <row r="29" spans="1:8" x14ac:dyDescent="0.25">
      <c r="A29" s="11">
        <v>9</v>
      </c>
      <c r="B29" s="12" t="s">
        <v>62</v>
      </c>
      <c r="C29" s="13" t="s">
        <v>25</v>
      </c>
      <c r="D29" s="13" t="s">
        <v>45</v>
      </c>
      <c r="E29" s="167">
        <v>37.493333333333332</v>
      </c>
      <c r="F29" s="13">
        <v>60</v>
      </c>
      <c r="G29" s="13">
        <v>1</v>
      </c>
      <c r="H29" s="15">
        <f t="shared" si="1"/>
        <v>0.5</v>
      </c>
    </row>
    <row r="30" spans="1:8" x14ac:dyDescent="0.25">
      <c r="A30" s="11">
        <v>10</v>
      </c>
      <c r="B30" s="12" t="s">
        <v>63</v>
      </c>
      <c r="C30" s="13" t="s">
        <v>25</v>
      </c>
      <c r="D30" s="13" t="s">
        <v>45</v>
      </c>
      <c r="E30" s="167">
        <v>38.853333333333332</v>
      </c>
      <c r="F30" s="13">
        <v>60</v>
      </c>
      <c r="G30" s="13">
        <v>1</v>
      </c>
      <c r="H30" s="15">
        <f t="shared" si="1"/>
        <v>0.52</v>
      </c>
    </row>
    <row r="31" spans="1:8" x14ac:dyDescent="0.25">
      <c r="A31" s="11">
        <v>11</v>
      </c>
      <c r="B31" s="12" t="s">
        <v>64</v>
      </c>
      <c r="C31" s="13" t="s">
        <v>25</v>
      </c>
      <c r="D31" s="13" t="s">
        <v>45</v>
      </c>
      <c r="E31" s="167">
        <v>30.040000000000003</v>
      </c>
      <c r="F31" s="13">
        <v>60</v>
      </c>
      <c r="G31" s="13">
        <v>1</v>
      </c>
      <c r="H31" s="15">
        <f t="shared" si="1"/>
        <v>0.4</v>
      </c>
    </row>
    <row r="32" spans="1:8" x14ac:dyDescent="0.25">
      <c r="A32" s="11">
        <v>12</v>
      </c>
      <c r="B32" s="12" t="s">
        <v>65</v>
      </c>
      <c r="C32" s="13" t="s">
        <v>25</v>
      </c>
      <c r="D32" s="13" t="s">
        <v>45</v>
      </c>
      <c r="E32" s="167">
        <v>39.036666666666669</v>
      </c>
      <c r="F32" s="13">
        <v>60</v>
      </c>
      <c r="G32" s="13">
        <v>1</v>
      </c>
      <c r="H32" s="15">
        <f t="shared" si="1"/>
        <v>0.52</v>
      </c>
    </row>
    <row r="33" spans="1:8" x14ac:dyDescent="0.25">
      <c r="A33" s="11">
        <v>13</v>
      </c>
      <c r="B33" s="12" t="s">
        <v>66</v>
      </c>
      <c r="C33" s="13" t="s">
        <v>25</v>
      </c>
      <c r="D33" s="13" t="s">
        <v>45</v>
      </c>
      <c r="E33" s="167">
        <v>76.510000000000005</v>
      </c>
      <c r="F33" s="13">
        <v>60</v>
      </c>
      <c r="G33" s="13">
        <v>1</v>
      </c>
      <c r="H33" s="15">
        <f t="shared" si="1"/>
        <v>1.02</v>
      </c>
    </row>
    <row r="34" spans="1:8" x14ac:dyDescent="0.25">
      <c r="A34" s="11">
        <v>14</v>
      </c>
      <c r="B34" s="12" t="s">
        <v>67</v>
      </c>
      <c r="C34" s="13" t="s">
        <v>25</v>
      </c>
      <c r="D34" s="13" t="s">
        <v>45</v>
      </c>
      <c r="E34" s="167">
        <v>59.00333333333333</v>
      </c>
      <c r="F34" s="13">
        <v>60</v>
      </c>
      <c r="G34" s="13">
        <v>1</v>
      </c>
      <c r="H34" s="15">
        <f t="shared" si="1"/>
        <v>0.79</v>
      </c>
    </row>
    <row r="35" spans="1:8" x14ac:dyDescent="0.25">
      <c r="A35" s="11">
        <v>15</v>
      </c>
      <c r="B35" s="12" t="s">
        <v>68</v>
      </c>
      <c r="C35" s="13" t="s">
        <v>25</v>
      </c>
      <c r="D35" s="13" t="s">
        <v>45</v>
      </c>
      <c r="E35" s="167">
        <v>433.18333333333334</v>
      </c>
      <c r="F35" s="13">
        <v>60</v>
      </c>
      <c r="G35" s="13">
        <v>1</v>
      </c>
      <c r="H35" s="15">
        <f t="shared" si="1"/>
        <v>5.78</v>
      </c>
    </row>
    <row r="36" spans="1:8" x14ac:dyDescent="0.25">
      <c r="A36" s="11">
        <v>16</v>
      </c>
      <c r="B36" s="12" t="s">
        <v>69</v>
      </c>
      <c r="C36" s="13" t="s">
        <v>25</v>
      </c>
      <c r="D36" s="13" t="s">
        <v>45</v>
      </c>
      <c r="E36" s="167">
        <v>173.67333333333332</v>
      </c>
      <c r="F36" s="13">
        <v>60</v>
      </c>
      <c r="G36" s="13">
        <v>1</v>
      </c>
      <c r="H36" s="15">
        <f t="shared" si="1"/>
        <v>2.3199999999999998</v>
      </c>
    </row>
    <row r="37" spans="1:8" x14ac:dyDescent="0.25">
      <c r="A37" s="11">
        <v>17</v>
      </c>
      <c r="B37" s="12" t="s">
        <v>70</v>
      </c>
      <c r="C37" s="13" t="s">
        <v>25</v>
      </c>
      <c r="D37" s="13" t="s">
        <v>45</v>
      </c>
      <c r="E37" s="167">
        <v>421.08333333333331</v>
      </c>
      <c r="F37" s="13">
        <v>60</v>
      </c>
      <c r="G37" s="13">
        <v>1</v>
      </c>
      <c r="H37" s="15">
        <f t="shared" si="1"/>
        <v>5.61</v>
      </c>
    </row>
    <row r="38" spans="1:8" x14ac:dyDescent="0.25">
      <c r="A38" s="11">
        <v>18</v>
      </c>
      <c r="B38" s="12" t="s">
        <v>71</v>
      </c>
      <c r="C38" s="13" t="s">
        <v>25</v>
      </c>
      <c r="D38" s="13" t="s">
        <v>45</v>
      </c>
      <c r="E38" s="167">
        <v>57.173333333333325</v>
      </c>
      <c r="F38" s="13">
        <v>60</v>
      </c>
      <c r="G38" s="13">
        <v>1</v>
      </c>
      <c r="H38" s="15">
        <f t="shared" si="1"/>
        <v>0.76</v>
      </c>
    </row>
    <row r="39" spans="1:8" x14ac:dyDescent="0.25">
      <c r="A39" s="11">
        <v>19</v>
      </c>
      <c r="B39" s="12" t="s">
        <v>72</v>
      </c>
      <c r="C39" s="13" t="s">
        <v>25</v>
      </c>
      <c r="D39" s="13" t="s">
        <v>45</v>
      </c>
      <c r="E39" s="167">
        <v>73.676666666666662</v>
      </c>
      <c r="F39" s="13">
        <v>60</v>
      </c>
      <c r="G39" s="13">
        <v>1</v>
      </c>
      <c r="H39" s="15">
        <f t="shared" si="1"/>
        <v>0.98</v>
      </c>
    </row>
    <row r="40" spans="1:8" x14ac:dyDescent="0.25">
      <c r="A40" s="11">
        <v>20</v>
      </c>
      <c r="B40" s="12" t="s">
        <v>73</v>
      </c>
      <c r="C40" s="13" t="s">
        <v>25</v>
      </c>
      <c r="D40" s="13" t="s">
        <v>45</v>
      </c>
      <c r="E40" s="167">
        <v>35.113333333333337</v>
      </c>
      <c r="F40" s="13">
        <v>60</v>
      </c>
      <c r="G40" s="13">
        <v>1</v>
      </c>
      <c r="H40" s="15">
        <f t="shared" si="1"/>
        <v>0.47</v>
      </c>
    </row>
    <row r="41" spans="1:8" x14ac:dyDescent="0.25">
      <c r="A41" s="11">
        <v>21</v>
      </c>
      <c r="B41" s="12" t="s">
        <v>74</v>
      </c>
      <c r="C41" s="13" t="s">
        <v>25</v>
      </c>
      <c r="D41" s="13" t="s">
        <v>45</v>
      </c>
      <c r="E41" s="167">
        <v>77.306666666666658</v>
      </c>
      <c r="F41" s="13">
        <v>60</v>
      </c>
      <c r="G41" s="13">
        <v>1</v>
      </c>
      <c r="H41" s="15">
        <f t="shared" si="1"/>
        <v>1.03</v>
      </c>
    </row>
    <row r="42" spans="1:8" x14ac:dyDescent="0.25">
      <c r="A42" s="11">
        <v>22</v>
      </c>
      <c r="B42" s="12" t="s">
        <v>75</v>
      </c>
      <c r="C42" s="13" t="s">
        <v>25</v>
      </c>
      <c r="D42" s="13" t="s">
        <v>45</v>
      </c>
      <c r="E42" s="167">
        <v>253.40333333333334</v>
      </c>
      <c r="F42" s="13">
        <v>60</v>
      </c>
      <c r="G42" s="13">
        <v>1</v>
      </c>
      <c r="H42" s="15">
        <f t="shared" si="1"/>
        <v>3.38</v>
      </c>
    </row>
    <row r="43" spans="1:8" x14ac:dyDescent="0.25">
      <c r="A43" s="11">
        <v>23</v>
      </c>
      <c r="B43" s="12" t="s">
        <v>76</v>
      </c>
      <c r="C43" s="13" t="s">
        <v>25</v>
      </c>
      <c r="D43" s="13" t="s">
        <v>45</v>
      </c>
      <c r="E43" s="167">
        <v>438.65333333333336</v>
      </c>
      <c r="F43" s="13">
        <v>60</v>
      </c>
      <c r="G43" s="13">
        <v>1</v>
      </c>
      <c r="H43" s="15">
        <f t="shared" si="1"/>
        <v>5.85</v>
      </c>
    </row>
    <row r="44" spans="1:8" x14ac:dyDescent="0.25">
      <c r="A44" s="11">
        <v>24</v>
      </c>
      <c r="B44" s="12" t="s">
        <v>77</v>
      </c>
      <c r="C44" s="13" t="s">
        <v>25</v>
      </c>
      <c r="D44" s="13" t="s">
        <v>45</v>
      </c>
      <c r="E44" s="167">
        <v>692.98</v>
      </c>
      <c r="F44" s="13">
        <v>60</v>
      </c>
      <c r="G44" s="13">
        <v>1</v>
      </c>
      <c r="H44" s="15">
        <f t="shared" si="1"/>
        <v>9.24</v>
      </c>
    </row>
    <row r="45" spans="1:8" x14ac:dyDescent="0.25">
      <c r="A45" s="11">
        <v>25</v>
      </c>
      <c r="B45" s="12" t="s">
        <v>78</v>
      </c>
      <c r="C45" s="13" t="s">
        <v>25</v>
      </c>
      <c r="D45" s="13" t="s">
        <v>45</v>
      </c>
      <c r="E45" s="167">
        <v>88.093333333333348</v>
      </c>
      <c r="F45" s="13">
        <v>60</v>
      </c>
      <c r="G45" s="13">
        <v>1</v>
      </c>
      <c r="H45" s="15">
        <f t="shared" si="1"/>
        <v>1.17</v>
      </c>
    </row>
    <row r="46" spans="1:8" x14ac:dyDescent="0.25">
      <c r="A46" s="11">
        <v>26</v>
      </c>
      <c r="B46" s="12" t="s">
        <v>79</v>
      </c>
      <c r="C46" s="13" t="s">
        <v>25</v>
      </c>
      <c r="D46" s="13" t="s">
        <v>45</v>
      </c>
      <c r="E46" s="167">
        <v>58.646666666666668</v>
      </c>
      <c r="F46" s="13">
        <v>60</v>
      </c>
      <c r="G46" s="13">
        <v>1</v>
      </c>
      <c r="H46" s="15">
        <f t="shared" si="1"/>
        <v>0.78</v>
      </c>
    </row>
    <row r="47" spans="1:8" x14ac:dyDescent="0.25">
      <c r="A47" s="11">
        <v>27</v>
      </c>
      <c r="B47" s="12" t="s">
        <v>80</v>
      </c>
      <c r="C47" s="13" t="s">
        <v>25</v>
      </c>
      <c r="D47" s="13" t="s">
        <v>45</v>
      </c>
      <c r="E47" s="167">
        <v>82.353333333333339</v>
      </c>
      <c r="F47" s="13">
        <v>60</v>
      </c>
      <c r="G47" s="13">
        <v>1</v>
      </c>
      <c r="H47" s="15">
        <f t="shared" si="1"/>
        <v>1.1000000000000001</v>
      </c>
    </row>
    <row r="48" spans="1:8" x14ac:dyDescent="0.25">
      <c r="A48" s="11">
        <v>28</v>
      </c>
      <c r="B48" s="12" t="s">
        <v>81</v>
      </c>
      <c r="C48" s="13" t="s">
        <v>25</v>
      </c>
      <c r="D48" s="13" t="s">
        <v>45</v>
      </c>
      <c r="E48" s="167">
        <v>2214.2033333333334</v>
      </c>
      <c r="F48" s="13">
        <v>60</v>
      </c>
      <c r="G48" s="13">
        <v>1</v>
      </c>
      <c r="H48" s="15">
        <f t="shared" si="1"/>
        <v>29.52</v>
      </c>
    </row>
    <row r="49" spans="1:8" x14ac:dyDescent="0.25">
      <c r="A49" s="11">
        <v>29</v>
      </c>
      <c r="B49" s="12" t="s">
        <v>82</v>
      </c>
      <c r="C49" s="13" t="s">
        <v>25</v>
      </c>
      <c r="D49" s="13" t="s">
        <v>45</v>
      </c>
      <c r="E49" s="167">
        <v>369.5333333333333</v>
      </c>
      <c r="F49" s="13">
        <v>60</v>
      </c>
      <c r="G49" s="13">
        <v>1</v>
      </c>
      <c r="H49" s="15">
        <f t="shared" si="1"/>
        <v>4.93</v>
      </c>
    </row>
    <row r="50" spans="1:8" x14ac:dyDescent="0.25">
      <c r="A50" s="11">
        <v>30</v>
      </c>
      <c r="B50" s="12" t="s">
        <v>83</v>
      </c>
      <c r="C50" s="13" t="s">
        <v>25</v>
      </c>
      <c r="D50" s="13" t="s">
        <v>45</v>
      </c>
      <c r="E50" s="167">
        <v>490.53666666666663</v>
      </c>
      <c r="F50" s="13">
        <v>60</v>
      </c>
      <c r="G50" s="13">
        <v>1</v>
      </c>
      <c r="H50" s="15">
        <f t="shared" si="1"/>
        <v>6.54</v>
      </c>
    </row>
    <row r="51" spans="1:8" x14ac:dyDescent="0.25">
      <c r="A51" s="11">
        <v>31</v>
      </c>
      <c r="B51" s="12" t="s">
        <v>84</v>
      </c>
      <c r="C51" s="13" t="s">
        <v>25</v>
      </c>
      <c r="D51" s="13" t="s">
        <v>45</v>
      </c>
      <c r="E51" s="167">
        <v>140.47</v>
      </c>
      <c r="F51" s="13">
        <v>60</v>
      </c>
      <c r="G51" s="13">
        <v>1</v>
      </c>
      <c r="H51" s="15">
        <f t="shared" si="1"/>
        <v>1.87</v>
      </c>
    </row>
    <row r="52" spans="1:8" x14ac:dyDescent="0.25">
      <c r="A52" s="11">
        <v>32</v>
      </c>
      <c r="B52" s="12" t="s">
        <v>85</v>
      </c>
      <c r="C52" s="13" t="s">
        <v>25</v>
      </c>
      <c r="D52" s="13" t="s">
        <v>45</v>
      </c>
      <c r="E52" s="167">
        <v>630.94333333333327</v>
      </c>
      <c r="F52" s="13">
        <v>60</v>
      </c>
      <c r="G52" s="13">
        <v>1</v>
      </c>
      <c r="H52" s="15">
        <f t="shared" si="1"/>
        <v>8.41</v>
      </c>
    </row>
    <row r="53" spans="1:8" x14ac:dyDescent="0.25">
      <c r="A53" s="11">
        <v>33</v>
      </c>
      <c r="B53" s="12" t="s">
        <v>86</v>
      </c>
      <c r="C53" s="13" t="s">
        <v>25</v>
      </c>
      <c r="D53" s="13" t="s">
        <v>45</v>
      </c>
      <c r="E53" s="167">
        <v>271.30666666666667</v>
      </c>
      <c r="F53" s="13">
        <v>60</v>
      </c>
      <c r="G53" s="13">
        <v>1</v>
      </c>
      <c r="H53" s="15">
        <f t="shared" si="1"/>
        <v>3.62</v>
      </c>
    </row>
    <row r="54" spans="1:8" x14ac:dyDescent="0.25">
      <c r="A54" s="11">
        <v>34</v>
      </c>
      <c r="B54" s="12" t="s">
        <v>87</v>
      </c>
      <c r="C54" s="13" t="s">
        <v>25</v>
      </c>
      <c r="D54" s="13" t="s">
        <v>45</v>
      </c>
      <c r="E54" s="167">
        <v>439.66</v>
      </c>
      <c r="F54" s="13">
        <v>60</v>
      </c>
      <c r="G54" s="13">
        <v>1</v>
      </c>
      <c r="H54" s="15">
        <f t="shared" si="1"/>
        <v>5.86</v>
      </c>
    </row>
    <row r="55" spans="1:8" x14ac:dyDescent="0.25">
      <c r="A55" s="11">
        <v>35</v>
      </c>
      <c r="B55" s="12" t="s">
        <v>88</v>
      </c>
      <c r="C55" s="13" t="s">
        <v>25</v>
      </c>
      <c r="D55" s="13" t="s">
        <v>45</v>
      </c>
      <c r="E55" s="167">
        <v>342.64333333333326</v>
      </c>
      <c r="F55" s="13">
        <v>60</v>
      </c>
      <c r="G55" s="13">
        <v>1</v>
      </c>
      <c r="H55" s="15">
        <f t="shared" si="1"/>
        <v>4.57</v>
      </c>
    </row>
    <row r="56" spans="1:8" x14ac:dyDescent="0.25">
      <c r="A56" s="11">
        <v>36</v>
      </c>
      <c r="B56" s="12" t="s">
        <v>89</v>
      </c>
      <c r="C56" s="13" t="s">
        <v>25</v>
      </c>
      <c r="D56" s="13" t="s">
        <v>45</v>
      </c>
      <c r="E56" s="167">
        <v>171.80999999999997</v>
      </c>
      <c r="F56" s="13">
        <v>60</v>
      </c>
      <c r="G56" s="13">
        <v>1</v>
      </c>
      <c r="H56" s="15">
        <f t="shared" si="1"/>
        <v>2.29</v>
      </c>
    </row>
    <row r="57" spans="1:8" x14ac:dyDescent="0.25">
      <c r="A57" s="11">
        <v>37</v>
      </c>
      <c r="B57" s="12" t="s">
        <v>90</v>
      </c>
      <c r="C57" s="13" t="s">
        <v>25</v>
      </c>
      <c r="D57" s="13" t="s">
        <v>45</v>
      </c>
      <c r="E57" s="167">
        <v>93.216666666666654</v>
      </c>
      <c r="F57" s="13">
        <v>60</v>
      </c>
      <c r="G57" s="13">
        <v>1</v>
      </c>
      <c r="H57" s="15">
        <f t="shared" si="1"/>
        <v>1.24</v>
      </c>
    </row>
    <row r="58" spans="1:8" x14ac:dyDescent="0.25">
      <c r="A58" s="11">
        <v>39</v>
      </c>
      <c r="B58" s="12" t="s">
        <v>91</v>
      </c>
      <c r="C58" s="13" t="s">
        <v>25</v>
      </c>
      <c r="D58" s="13" t="s">
        <v>45</v>
      </c>
      <c r="E58" s="167">
        <v>297.95333333333332</v>
      </c>
      <c r="F58" s="13">
        <v>60</v>
      </c>
      <c r="G58" s="13">
        <v>1</v>
      </c>
      <c r="H58" s="15">
        <f t="shared" si="1"/>
        <v>3.97</v>
      </c>
    </row>
    <row r="59" spans="1:8" x14ac:dyDescent="0.25">
      <c r="C59" s="181" t="s">
        <v>50</v>
      </c>
      <c r="D59" s="182"/>
      <c r="E59" s="182"/>
      <c r="F59" s="182"/>
      <c r="G59" s="183"/>
      <c r="H59" s="15">
        <f>SUM(H25:H58)</f>
        <v>118.34</v>
      </c>
    </row>
    <row r="60" spans="1:8" ht="15.75" x14ac:dyDescent="0.25">
      <c r="C60" s="181" t="s">
        <v>51</v>
      </c>
      <c r="D60" s="182"/>
      <c r="E60" s="182"/>
      <c r="F60" s="182"/>
      <c r="G60" s="183"/>
      <c r="H60" s="18">
        <f>H59/2</f>
        <v>59.17</v>
      </c>
    </row>
    <row r="62" spans="1:8" ht="15.75" x14ac:dyDescent="0.25">
      <c r="A62" s="184" t="s">
        <v>92</v>
      </c>
      <c r="B62" s="185"/>
      <c r="C62" s="185"/>
      <c r="D62" s="185"/>
      <c r="E62" s="185"/>
      <c r="F62" s="185"/>
      <c r="G62" s="185"/>
      <c r="H62" s="186"/>
    </row>
    <row r="63" spans="1:8" ht="25.5" x14ac:dyDescent="0.25">
      <c r="A63" s="9" t="s">
        <v>16</v>
      </c>
      <c r="B63" s="9" t="s">
        <v>17</v>
      </c>
      <c r="C63" s="9" t="s">
        <v>18</v>
      </c>
      <c r="D63" s="10" t="s">
        <v>19</v>
      </c>
      <c r="E63" s="9" t="s">
        <v>20</v>
      </c>
      <c r="F63" s="9" t="s">
        <v>21</v>
      </c>
      <c r="G63" s="9" t="s">
        <v>22</v>
      </c>
      <c r="H63" s="9" t="s">
        <v>23</v>
      </c>
    </row>
    <row r="64" spans="1:8" x14ac:dyDescent="0.25">
      <c r="A64" s="11">
        <v>1</v>
      </c>
      <c r="B64" s="20" t="s">
        <v>93</v>
      </c>
      <c r="C64" s="13" t="s">
        <v>25</v>
      </c>
      <c r="D64" s="13" t="s">
        <v>45</v>
      </c>
      <c r="E64" s="28">
        <v>96.87</v>
      </c>
      <c r="F64" s="21">
        <v>6</v>
      </c>
      <c r="G64" s="21">
        <v>2</v>
      </c>
      <c r="H64" s="15">
        <f>IFERROR(ROUND(E64*G64/F64,2),"")</f>
        <v>32.29</v>
      </c>
    </row>
    <row r="65" spans="1:8" x14ac:dyDescent="0.25">
      <c r="A65" s="11">
        <v>2</v>
      </c>
      <c r="B65" s="20" t="s">
        <v>94</v>
      </c>
      <c r="C65" s="13" t="s">
        <v>25</v>
      </c>
      <c r="D65" s="13" t="s">
        <v>45</v>
      </c>
      <c r="E65" s="28">
        <v>73.959999999999994</v>
      </c>
      <c r="F65" s="21">
        <v>6</v>
      </c>
      <c r="G65" s="21">
        <v>2</v>
      </c>
      <c r="H65" s="15">
        <f t="shared" ref="H65:H67" si="2">IFERROR(ROUND(E65*G65/F65,2),"")</f>
        <v>24.65</v>
      </c>
    </row>
    <row r="66" spans="1:8" ht="28.5" x14ac:dyDescent="0.25">
      <c r="A66" s="11">
        <v>3</v>
      </c>
      <c r="B66" s="20" t="s">
        <v>95</v>
      </c>
      <c r="C66" s="13" t="s">
        <v>25</v>
      </c>
      <c r="D66" s="13" t="s">
        <v>45</v>
      </c>
      <c r="E66" s="28">
        <v>94.76</v>
      </c>
      <c r="F66" s="21">
        <v>6</v>
      </c>
      <c r="G66" s="21">
        <v>2</v>
      </c>
      <c r="H66" s="15">
        <f t="shared" si="2"/>
        <v>31.59</v>
      </c>
    </row>
    <row r="67" spans="1:8" x14ac:dyDescent="0.25">
      <c r="A67" s="11">
        <v>4</v>
      </c>
      <c r="B67" s="20" t="s">
        <v>96</v>
      </c>
      <c r="C67" s="13" t="s">
        <v>97</v>
      </c>
      <c r="D67" s="13" t="s">
        <v>45</v>
      </c>
      <c r="E67" s="28">
        <v>27.53</v>
      </c>
      <c r="F67" s="21">
        <v>6</v>
      </c>
      <c r="G67" s="21">
        <v>4</v>
      </c>
      <c r="H67" s="15">
        <f t="shared" si="2"/>
        <v>18.350000000000001</v>
      </c>
    </row>
    <row r="68" spans="1:8" ht="15.75" x14ac:dyDescent="0.25">
      <c r="C68" s="181" t="s">
        <v>51</v>
      </c>
      <c r="D68" s="182"/>
      <c r="E68" s="182"/>
      <c r="F68" s="182"/>
      <c r="G68" s="183"/>
      <c r="H68" s="22">
        <f>SUM(H64:H67)</f>
        <v>106.88</v>
      </c>
    </row>
    <row r="70" spans="1:8" ht="15.75" x14ac:dyDescent="0.25">
      <c r="A70" s="184" t="s">
        <v>98</v>
      </c>
      <c r="B70" s="185"/>
      <c r="C70" s="185"/>
      <c r="D70" s="23"/>
      <c r="E70" s="23"/>
      <c r="F70" s="23"/>
      <c r="G70" s="23"/>
      <c r="H70" s="24"/>
    </row>
    <row r="71" spans="1:8" ht="25.5" x14ac:dyDescent="0.25">
      <c r="A71" s="25" t="s">
        <v>16</v>
      </c>
      <c r="B71" s="25" t="s">
        <v>17</v>
      </c>
      <c r="C71" s="25" t="s">
        <v>18</v>
      </c>
      <c r="D71" s="10" t="s">
        <v>19</v>
      </c>
      <c r="E71" s="25" t="s">
        <v>20</v>
      </c>
      <c r="F71" s="25" t="s">
        <v>21</v>
      </c>
      <c r="G71" s="25" t="s">
        <v>22</v>
      </c>
      <c r="H71" s="25" t="s">
        <v>23</v>
      </c>
    </row>
    <row r="72" spans="1:8" x14ac:dyDescent="0.25">
      <c r="A72" s="11">
        <v>1</v>
      </c>
      <c r="B72" s="20" t="s">
        <v>99</v>
      </c>
      <c r="C72" s="13" t="s">
        <v>97</v>
      </c>
      <c r="D72" s="26">
        <v>12892</v>
      </c>
      <c r="E72" s="28">
        <v>19.899999999999999</v>
      </c>
      <c r="F72" s="21">
        <v>12</v>
      </c>
      <c r="G72" s="21">
        <v>1</v>
      </c>
      <c r="H72" s="15">
        <f>IFERROR(ROUND(E72*G72/F72,2),"")</f>
        <v>1.66</v>
      </c>
    </row>
    <row r="73" spans="1:8" x14ac:dyDescent="0.25">
      <c r="A73" s="11">
        <v>2</v>
      </c>
      <c r="B73" s="20" t="s">
        <v>100</v>
      </c>
      <c r="C73" s="13" t="s">
        <v>97</v>
      </c>
      <c r="D73" s="26">
        <v>12893</v>
      </c>
      <c r="E73" s="28">
        <v>118</v>
      </c>
      <c r="F73" s="21">
        <v>6</v>
      </c>
      <c r="G73" s="21">
        <v>1</v>
      </c>
      <c r="H73" s="15">
        <f t="shared" ref="H73:H78" si="3">IFERROR(ROUND(E73*G73/F73,2),"")</f>
        <v>19.670000000000002</v>
      </c>
    </row>
    <row r="74" spans="1:8" x14ac:dyDescent="0.25">
      <c r="A74" s="11">
        <v>3</v>
      </c>
      <c r="B74" s="20" t="s">
        <v>101</v>
      </c>
      <c r="C74" s="13" t="s">
        <v>25</v>
      </c>
      <c r="D74" s="26">
        <v>12894</v>
      </c>
      <c r="E74" s="28">
        <v>38.76</v>
      </c>
      <c r="F74" s="21">
        <v>12</v>
      </c>
      <c r="G74" s="21">
        <v>1</v>
      </c>
      <c r="H74" s="15">
        <f t="shared" si="3"/>
        <v>3.23</v>
      </c>
    </row>
    <row r="75" spans="1:8" ht="28.5" x14ac:dyDescent="0.25">
      <c r="A75" s="11">
        <v>4</v>
      </c>
      <c r="B75" s="20" t="s">
        <v>102</v>
      </c>
      <c r="C75" s="13" t="s">
        <v>25</v>
      </c>
      <c r="D75" s="26">
        <v>12895</v>
      </c>
      <c r="E75" s="28">
        <v>47.88</v>
      </c>
      <c r="F75" s="21">
        <v>12</v>
      </c>
      <c r="G75" s="21">
        <v>1</v>
      </c>
      <c r="H75" s="15">
        <f t="shared" si="3"/>
        <v>3.99</v>
      </c>
    </row>
    <row r="76" spans="1:8" ht="28.5" x14ac:dyDescent="0.25">
      <c r="A76" s="11">
        <v>5</v>
      </c>
      <c r="B76" s="20" t="s">
        <v>103</v>
      </c>
      <c r="C76" s="13" t="s">
        <v>25</v>
      </c>
      <c r="D76" s="26">
        <v>36142</v>
      </c>
      <c r="E76" s="28">
        <v>9.0299999999999994</v>
      </c>
      <c r="F76" s="21">
        <v>6</v>
      </c>
      <c r="G76" s="21">
        <v>1</v>
      </c>
      <c r="H76" s="15">
        <f t="shared" si="3"/>
        <v>1.51</v>
      </c>
    </row>
    <row r="77" spans="1:8" ht="28.5" x14ac:dyDescent="0.25">
      <c r="A77" s="11">
        <v>6</v>
      </c>
      <c r="B77" s="20" t="s">
        <v>104</v>
      </c>
      <c r="C77" s="13" t="s">
        <v>25</v>
      </c>
      <c r="D77" s="26">
        <v>36148</v>
      </c>
      <c r="E77" s="28">
        <v>142.44</v>
      </c>
      <c r="F77" s="21">
        <v>12</v>
      </c>
      <c r="G77" s="21">
        <v>1</v>
      </c>
      <c r="H77" s="15">
        <f>IFERROR(ROUND(E77*G77/F77,2),"")</f>
        <v>11.87</v>
      </c>
    </row>
    <row r="78" spans="1:8" ht="28.5" x14ac:dyDescent="0.25">
      <c r="A78" s="11">
        <v>7</v>
      </c>
      <c r="B78" s="20" t="s">
        <v>105</v>
      </c>
      <c r="C78" s="13" t="s">
        <v>25</v>
      </c>
      <c r="D78" s="26">
        <v>36152</v>
      </c>
      <c r="E78" s="28">
        <v>7.9</v>
      </c>
      <c r="F78" s="21">
        <v>6</v>
      </c>
      <c r="G78" s="21">
        <v>1</v>
      </c>
      <c r="H78" s="15">
        <f t="shared" si="3"/>
        <v>1.32</v>
      </c>
    </row>
    <row r="79" spans="1:8" ht="15.75" x14ac:dyDescent="0.25">
      <c r="C79" s="181" t="s">
        <v>51</v>
      </c>
      <c r="D79" s="182"/>
      <c r="E79" s="182"/>
      <c r="F79" s="182"/>
      <c r="G79" s="183"/>
      <c r="H79" s="22">
        <f>SUM(H72:H78)</f>
        <v>43.250000000000007</v>
      </c>
    </row>
  </sheetData>
  <mergeCells count="10">
    <mergeCell ref="C59:G59"/>
    <mergeCell ref="A1:H1"/>
    <mergeCell ref="C16:G16"/>
    <mergeCell ref="C17:G17"/>
    <mergeCell ref="A19:H19"/>
    <mergeCell ref="C60:G60"/>
    <mergeCell ref="A62:H62"/>
    <mergeCell ref="C68:G68"/>
    <mergeCell ref="A70:C70"/>
    <mergeCell ref="C79:G79"/>
  </mergeCells>
  <pageMargins left="0.511811024" right="0.511811024" top="0.78740157499999996" bottom="0.78740157499999996" header="0.31496062000000002" footer="0.31496062000000002"/>
  <pageSetup paperSize="9" scale="65" orientation="portrait" r:id="rId1"/>
  <rowBreaks count="1" manualBreakCount="1">
    <brk id="69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CB22C8-718D-43E1-AC41-8C9009A08BB1}">
  <sheetPr>
    <tabColor theme="8" tint="0.39997558519241921"/>
  </sheetPr>
  <dimension ref="A1:H6"/>
  <sheetViews>
    <sheetView showGridLines="0" tabSelected="1" topLeftCell="B1" zoomScaleNormal="100" workbookViewId="0">
      <selection activeCell="F46" sqref="F46"/>
    </sheetView>
  </sheetViews>
  <sheetFormatPr defaultRowHeight="15" x14ac:dyDescent="0.25"/>
  <cols>
    <col min="1" max="1" width="9.28515625" style="16" bestFit="1" customWidth="1"/>
    <col min="2" max="2" width="66.140625" style="17" customWidth="1"/>
    <col min="3" max="3" width="23.42578125" style="17" customWidth="1"/>
    <col min="4" max="4" width="20.42578125" style="17" customWidth="1"/>
    <col min="5" max="5" width="8.42578125" style="17" bestFit="1" customWidth="1"/>
    <col min="6" max="6" width="20.42578125" style="17" customWidth="1"/>
    <col min="7" max="7" width="20" style="17" customWidth="1"/>
    <col min="8" max="8" width="17.28515625" style="17" customWidth="1"/>
  </cols>
  <sheetData>
    <row r="1" spans="1:8" ht="15.75" x14ac:dyDescent="0.25">
      <c r="A1" s="184" t="s">
        <v>106</v>
      </c>
      <c r="B1" s="185"/>
      <c r="C1" s="185"/>
      <c r="D1" s="185"/>
      <c r="E1" s="185"/>
      <c r="F1" s="185"/>
      <c r="G1" s="185"/>
      <c r="H1" s="186"/>
    </row>
    <row r="2" spans="1:8" ht="25.5" x14ac:dyDescent="0.25">
      <c r="A2" s="9" t="s">
        <v>107</v>
      </c>
      <c r="B2" s="9" t="s">
        <v>108</v>
      </c>
      <c r="C2" s="9" t="s">
        <v>109</v>
      </c>
      <c r="D2" s="9" t="s">
        <v>110</v>
      </c>
      <c r="E2" s="9" t="s">
        <v>111</v>
      </c>
      <c r="F2" s="9" t="s">
        <v>112</v>
      </c>
      <c r="G2" s="9" t="s">
        <v>113</v>
      </c>
      <c r="H2" s="9" t="s">
        <v>114</v>
      </c>
    </row>
    <row r="3" spans="1:8" x14ac:dyDescent="0.25">
      <c r="A3" s="11">
        <v>1</v>
      </c>
      <c r="B3" s="12" t="s">
        <v>115</v>
      </c>
      <c r="C3" s="13" t="s">
        <v>116</v>
      </c>
      <c r="D3" s="28">
        <v>2398.71</v>
      </c>
      <c r="E3" s="27">
        <v>0.24099999999999999</v>
      </c>
      <c r="F3" s="28">
        <f>ROUND((D3*(1+E3)),2)</f>
        <v>2976.8</v>
      </c>
      <c r="G3" s="15">
        <f>F3</f>
        <v>2976.8</v>
      </c>
      <c r="H3" s="15">
        <f>G3*12</f>
        <v>35721.600000000006</v>
      </c>
    </row>
    <row r="4" spans="1:8" ht="15.75" customHeight="1" x14ac:dyDescent="0.25">
      <c r="A4" s="11">
        <v>2</v>
      </c>
      <c r="B4" s="12" t="s">
        <v>117</v>
      </c>
      <c r="C4" s="13" t="s">
        <v>118</v>
      </c>
      <c r="D4" s="28">
        <v>1200</v>
      </c>
      <c r="E4" s="27">
        <v>0.24099999999999999</v>
      </c>
      <c r="F4" s="28">
        <f>ROUND((D4*(1+E4)),2)</f>
        <v>1489.2</v>
      </c>
      <c r="G4" s="15">
        <f>F4/6</f>
        <v>248.20000000000002</v>
      </c>
      <c r="H4" s="15">
        <f>G4*12</f>
        <v>2978.4</v>
      </c>
    </row>
    <row r="5" spans="1:8" x14ac:dyDescent="0.25">
      <c r="A5" s="11">
        <v>3</v>
      </c>
      <c r="B5" s="12" t="s">
        <v>119</v>
      </c>
      <c r="C5" s="13" t="s">
        <v>116</v>
      </c>
      <c r="D5" s="28">
        <v>5000</v>
      </c>
      <c r="E5" s="27">
        <v>0.24099999999999999</v>
      </c>
      <c r="F5" s="28">
        <f>ROUND((D5*(1+E5)),2)</f>
        <v>6205</v>
      </c>
      <c r="G5" s="15">
        <f>F5</f>
        <v>6205</v>
      </c>
      <c r="H5" s="15">
        <f>G5*12</f>
        <v>74460</v>
      </c>
    </row>
    <row r="6" spans="1:8" ht="15.75" x14ac:dyDescent="0.25">
      <c r="C6" s="187" t="s">
        <v>120</v>
      </c>
      <c r="D6" s="188"/>
      <c r="E6" s="188"/>
      <c r="F6" s="189"/>
      <c r="G6" s="29">
        <f>SUM(G3:G5)</f>
        <v>9430</v>
      </c>
      <c r="H6" s="30">
        <f>SUM(H3:H5)</f>
        <v>113160</v>
      </c>
    </row>
  </sheetData>
  <mergeCells count="2">
    <mergeCell ref="A1:H1"/>
    <mergeCell ref="C6:F6"/>
  </mergeCells>
  <pageMargins left="0.511811024" right="0.511811024" top="0.78740157499999996" bottom="0.78740157499999996" header="0.31496062000000002" footer="0.31496062000000002"/>
  <pageSetup paperSize="9" scale="4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8A7C3A-C2B8-4E66-8000-57096248A734}">
  <sheetPr>
    <tabColor rgb="FF00B0F0"/>
  </sheetPr>
  <dimension ref="A1:H55"/>
  <sheetViews>
    <sheetView showGridLines="0" tabSelected="1" topLeftCell="A31" zoomScaleNormal="100" workbookViewId="0">
      <selection activeCell="F46" sqref="F46"/>
    </sheetView>
  </sheetViews>
  <sheetFormatPr defaultRowHeight="15" x14ac:dyDescent="0.25"/>
  <cols>
    <col min="1" max="1" width="9.140625" style="38"/>
    <col min="2" max="2" width="67.85546875" style="38" customWidth="1"/>
    <col min="3" max="3" width="9.85546875" style="38" customWidth="1"/>
    <col min="4" max="4" width="9.140625" style="38"/>
    <col min="5" max="5" width="14.42578125" style="38" customWidth="1"/>
    <col min="6" max="6" width="9.140625" style="38"/>
    <col min="7" max="7" width="16.28515625" style="38" customWidth="1"/>
    <col min="8" max="8" width="18.42578125" style="38" customWidth="1"/>
  </cols>
  <sheetData>
    <row r="1" spans="1:8" ht="15.75" x14ac:dyDescent="0.25">
      <c r="A1" s="184" t="s">
        <v>121</v>
      </c>
      <c r="B1" s="185"/>
      <c r="C1" s="185"/>
      <c r="D1" s="185"/>
      <c r="E1" s="185"/>
      <c r="F1" s="185"/>
      <c r="G1" s="185"/>
      <c r="H1" s="186"/>
    </row>
    <row r="2" spans="1:8" ht="21.75" customHeight="1" x14ac:dyDescent="0.25">
      <c r="A2" s="191" t="s">
        <v>122</v>
      </c>
      <c r="B2" s="192"/>
      <c r="C2" s="192"/>
      <c r="D2" s="192"/>
      <c r="E2" s="192"/>
      <c r="F2" s="192"/>
      <c r="G2" s="192"/>
      <c r="H2" s="193"/>
    </row>
    <row r="3" spans="1:8" ht="31.5" x14ac:dyDescent="0.25">
      <c r="A3" s="31" t="s">
        <v>107</v>
      </c>
      <c r="B3" s="31" t="s">
        <v>123</v>
      </c>
      <c r="C3" s="31" t="s">
        <v>124</v>
      </c>
      <c r="D3" s="31" t="s">
        <v>125</v>
      </c>
      <c r="E3" s="31" t="s">
        <v>126</v>
      </c>
      <c r="F3" s="31" t="s">
        <v>111</v>
      </c>
      <c r="G3" s="31" t="s">
        <v>127</v>
      </c>
      <c r="H3" s="31" t="s">
        <v>128</v>
      </c>
    </row>
    <row r="4" spans="1:8" x14ac:dyDescent="0.25">
      <c r="A4" s="32">
        <v>1</v>
      </c>
      <c r="B4" s="33" t="s">
        <v>129</v>
      </c>
      <c r="C4" s="32" t="s">
        <v>124</v>
      </c>
      <c r="D4" s="32">
        <v>1</v>
      </c>
      <c r="E4" s="168">
        <v>1644.3730769230772</v>
      </c>
      <c r="F4" s="34">
        <v>0.22389999999999999</v>
      </c>
      <c r="G4" s="35">
        <f>ROUND(E4*(1+F4),2)</f>
        <v>2012.55</v>
      </c>
      <c r="H4" s="35">
        <f>ROUND(D4*G4,2)</f>
        <v>2012.55</v>
      </c>
    </row>
    <row r="5" spans="1:8" x14ac:dyDescent="0.25">
      <c r="A5" s="32">
        <v>2</v>
      </c>
      <c r="B5" s="33" t="s">
        <v>130</v>
      </c>
      <c r="C5" s="32" t="s">
        <v>124</v>
      </c>
      <c r="D5" s="32">
        <v>1</v>
      </c>
      <c r="E5" s="168">
        <v>2286.3624999999997</v>
      </c>
      <c r="F5" s="34">
        <v>0.22389999999999999</v>
      </c>
      <c r="G5" s="35">
        <f>ROUND(E5*(1+F5),2)</f>
        <v>2798.28</v>
      </c>
      <c r="H5" s="35">
        <f t="shared" ref="H5:H52" si="0">ROUND(D5*G5,2)</f>
        <v>2798.28</v>
      </c>
    </row>
    <row r="6" spans="1:8" x14ac:dyDescent="0.25">
      <c r="A6" s="32">
        <v>3</v>
      </c>
      <c r="B6" s="33" t="s">
        <v>131</v>
      </c>
      <c r="C6" s="32" t="s">
        <v>124</v>
      </c>
      <c r="D6" s="32">
        <v>1</v>
      </c>
      <c r="E6" s="168">
        <v>9400</v>
      </c>
      <c r="F6" s="34">
        <v>0.22389999999999999</v>
      </c>
      <c r="G6" s="35">
        <f t="shared" ref="G6:G52" si="1">ROUND(E6*(1+F6),2)</f>
        <v>11504.66</v>
      </c>
      <c r="H6" s="35">
        <f t="shared" si="0"/>
        <v>11504.66</v>
      </c>
    </row>
    <row r="7" spans="1:8" x14ac:dyDescent="0.25">
      <c r="A7" s="32">
        <v>4</v>
      </c>
      <c r="B7" s="33" t="s">
        <v>132</v>
      </c>
      <c r="C7" s="32" t="s">
        <v>124</v>
      </c>
      <c r="D7" s="32">
        <v>1</v>
      </c>
      <c r="E7" s="168">
        <v>3400</v>
      </c>
      <c r="F7" s="34">
        <v>0.22389999999999999</v>
      </c>
      <c r="G7" s="35">
        <f t="shared" si="1"/>
        <v>4161.26</v>
      </c>
      <c r="H7" s="35">
        <f t="shared" si="0"/>
        <v>4161.26</v>
      </c>
    </row>
    <row r="8" spans="1:8" x14ac:dyDescent="0.25">
      <c r="A8" s="32">
        <v>5</v>
      </c>
      <c r="B8" s="33" t="s">
        <v>133</v>
      </c>
      <c r="C8" s="32" t="s">
        <v>124</v>
      </c>
      <c r="D8" s="32">
        <v>1</v>
      </c>
      <c r="E8" s="168">
        <v>4800</v>
      </c>
      <c r="F8" s="34">
        <v>0.22389999999999999</v>
      </c>
      <c r="G8" s="35">
        <f t="shared" si="1"/>
        <v>5874.72</v>
      </c>
      <c r="H8" s="35">
        <f t="shared" si="0"/>
        <v>5874.72</v>
      </c>
    </row>
    <row r="9" spans="1:8" x14ac:dyDescent="0.25">
      <c r="A9" s="32">
        <v>6</v>
      </c>
      <c r="B9" s="33" t="s">
        <v>134</v>
      </c>
      <c r="C9" s="32" t="s">
        <v>124</v>
      </c>
      <c r="D9" s="32">
        <v>1</v>
      </c>
      <c r="E9" s="168">
        <v>160.512</v>
      </c>
      <c r="F9" s="34">
        <v>0.22389999999999999</v>
      </c>
      <c r="G9" s="35">
        <f t="shared" si="1"/>
        <v>196.45</v>
      </c>
      <c r="H9" s="35">
        <f t="shared" si="0"/>
        <v>196.45</v>
      </c>
    </row>
    <row r="10" spans="1:8" x14ac:dyDescent="0.25">
      <c r="A10" s="32">
        <v>7</v>
      </c>
      <c r="B10" s="33" t="s">
        <v>135</v>
      </c>
      <c r="C10" s="32" t="s">
        <v>124</v>
      </c>
      <c r="D10" s="32">
        <v>3</v>
      </c>
      <c r="E10" s="168">
        <v>258.08800000000002</v>
      </c>
      <c r="F10" s="34">
        <v>0.22389999999999999</v>
      </c>
      <c r="G10" s="35">
        <f t="shared" si="1"/>
        <v>315.87</v>
      </c>
      <c r="H10" s="35">
        <f t="shared" si="0"/>
        <v>947.61</v>
      </c>
    </row>
    <row r="11" spans="1:8" x14ac:dyDescent="0.25">
      <c r="A11" s="32">
        <v>8</v>
      </c>
      <c r="B11" s="33" t="s">
        <v>136</v>
      </c>
      <c r="C11" s="32" t="s">
        <v>124</v>
      </c>
      <c r="D11" s="32">
        <v>2</v>
      </c>
      <c r="E11" s="168">
        <v>71.683999999999997</v>
      </c>
      <c r="F11" s="34">
        <v>0.22389999999999999</v>
      </c>
      <c r="G11" s="35">
        <f t="shared" si="1"/>
        <v>87.73</v>
      </c>
      <c r="H11" s="35">
        <f t="shared" si="0"/>
        <v>175.46</v>
      </c>
    </row>
    <row r="12" spans="1:8" x14ac:dyDescent="0.25">
      <c r="A12" s="32">
        <v>9</v>
      </c>
      <c r="B12" s="33" t="s">
        <v>137</v>
      </c>
      <c r="C12" s="32" t="s">
        <v>124</v>
      </c>
      <c r="D12" s="32">
        <v>1</v>
      </c>
      <c r="E12" s="168">
        <v>78.486666666666665</v>
      </c>
      <c r="F12" s="34">
        <v>0.22389999999999999</v>
      </c>
      <c r="G12" s="35">
        <f t="shared" si="1"/>
        <v>96.06</v>
      </c>
      <c r="H12" s="35">
        <f t="shared" si="0"/>
        <v>96.06</v>
      </c>
    </row>
    <row r="13" spans="1:8" x14ac:dyDescent="0.25">
      <c r="A13" s="32">
        <v>10</v>
      </c>
      <c r="B13" s="33" t="s">
        <v>138</v>
      </c>
      <c r="C13" s="32" t="s">
        <v>124</v>
      </c>
      <c r="D13" s="32">
        <v>3</v>
      </c>
      <c r="E13" s="168">
        <v>45.322857142857139</v>
      </c>
      <c r="F13" s="34">
        <v>0.22389999999999999</v>
      </c>
      <c r="G13" s="35">
        <f t="shared" si="1"/>
        <v>55.47</v>
      </c>
      <c r="H13" s="35">
        <f t="shared" si="0"/>
        <v>166.41</v>
      </c>
    </row>
    <row r="14" spans="1:8" x14ac:dyDescent="0.25">
      <c r="A14" s="32">
        <v>11</v>
      </c>
      <c r="B14" s="33" t="s">
        <v>139</v>
      </c>
      <c r="C14" s="32" t="s">
        <v>124</v>
      </c>
      <c r="D14" s="32">
        <v>1</v>
      </c>
      <c r="E14" s="168">
        <v>177.39499999999998</v>
      </c>
      <c r="F14" s="34">
        <v>0.22389999999999999</v>
      </c>
      <c r="G14" s="35">
        <f t="shared" si="1"/>
        <v>217.11</v>
      </c>
      <c r="H14" s="35">
        <f t="shared" si="0"/>
        <v>217.11</v>
      </c>
    </row>
    <row r="15" spans="1:8" x14ac:dyDescent="0.25">
      <c r="A15" s="32">
        <v>12</v>
      </c>
      <c r="B15" s="33" t="s">
        <v>140</v>
      </c>
      <c r="C15" s="32" t="s">
        <v>124</v>
      </c>
      <c r="D15" s="32">
        <v>4</v>
      </c>
      <c r="E15" s="168">
        <v>84.568000000000012</v>
      </c>
      <c r="F15" s="34">
        <v>0.22389999999999999</v>
      </c>
      <c r="G15" s="35">
        <f t="shared" si="1"/>
        <v>103.5</v>
      </c>
      <c r="H15" s="35">
        <f t="shared" si="0"/>
        <v>414</v>
      </c>
    </row>
    <row r="16" spans="1:8" x14ac:dyDescent="0.25">
      <c r="A16" s="32">
        <v>13</v>
      </c>
      <c r="B16" s="33" t="s">
        <v>141</v>
      </c>
      <c r="C16" s="32" t="s">
        <v>124</v>
      </c>
      <c r="D16" s="32">
        <v>1</v>
      </c>
      <c r="E16" s="168">
        <v>95.93</v>
      </c>
      <c r="F16" s="34">
        <v>0.22389999999999999</v>
      </c>
      <c r="G16" s="35">
        <f t="shared" si="1"/>
        <v>117.41</v>
      </c>
      <c r="H16" s="35">
        <f t="shared" si="0"/>
        <v>117.41</v>
      </c>
    </row>
    <row r="17" spans="1:8" x14ac:dyDescent="0.25">
      <c r="A17" s="32">
        <v>14</v>
      </c>
      <c r="B17" s="33" t="s">
        <v>142</v>
      </c>
      <c r="C17" s="32" t="s">
        <v>124</v>
      </c>
      <c r="D17" s="32">
        <v>1</v>
      </c>
      <c r="E17" s="168">
        <v>147.94666666666669</v>
      </c>
      <c r="F17" s="34">
        <v>0.22389999999999999</v>
      </c>
      <c r="G17" s="35">
        <f t="shared" si="1"/>
        <v>181.07</v>
      </c>
      <c r="H17" s="35">
        <f t="shared" si="0"/>
        <v>181.07</v>
      </c>
    </row>
    <row r="18" spans="1:8" x14ac:dyDescent="0.25">
      <c r="A18" s="32">
        <v>15</v>
      </c>
      <c r="B18" s="33" t="s">
        <v>143</v>
      </c>
      <c r="C18" s="32" t="s">
        <v>124</v>
      </c>
      <c r="D18" s="32">
        <v>4</v>
      </c>
      <c r="E18" s="168">
        <v>127.74166666666667</v>
      </c>
      <c r="F18" s="34">
        <v>0.22389999999999999</v>
      </c>
      <c r="G18" s="35">
        <f t="shared" si="1"/>
        <v>156.34</v>
      </c>
      <c r="H18" s="35">
        <f t="shared" si="0"/>
        <v>625.36</v>
      </c>
    </row>
    <row r="19" spans="1:8" x14ac:dyDescent="0.25">
      <c r="A19" s="32">
        <v>16</v>
      </c>
      <c r="B19" s="33" t="s">
        <v>144</v>
      </c>
      <c r="C19" s="32" t="s">
        <v>124</v>
      </c>
      <c r="D19" s="32">
        <v>2</v>
      </c>
      <c r="E19" s="168">
        <v>141.00333333333333</v>
      </c>
      <c r="F19" s="34">
        <v>0.22389999999999999</v>
      </c>
      <c r="G19" s="35">
        <f t="shared" si="1"/>
        <v>172.57</v>
      </c>
      <c r="H19" s="35">
        <f t="shared" si="0"/>
        <v>345.14</v>
      </c>
    </row>
    <row r="20" spans="1:8" x14ac:dyDescent="0.25">
      <c r="A20" s="32">
        <v>17</v>
      </c>
      <c r="B20" s="33" t="s">
        <v>145</v>
      </c>
      <c r="C20" s="32" t="s">
        <v>124</v>
      </c>
      <c r="D20" s="32">
        <v>1</v>
      </c>
      <c r="E20" s="168">
        <v>172.58</v>
      </c>
      <c r="F20" s="34">
        <v>0.22389999999999999</v>
      </c>
      <c r="G20" s="35">
        <f t="shared" si="1"/>
        <v>211.22</v>
      </c>
      <c r="H20" s="35">
        <f t="shared" si="0"/>
        <v>211.22</v>
      </c>
    </row>
    <row r="21" spans="1:8" x14ac:dyDescent="0.25">
      <c r="A21" s="32">
        <v>18</v>
      </c>
      <c r="B21" s="33" t="s">
        <v>146</v>
      </c>
      <c r="C21" s="32" t="s">
        <v>124</v>
      </c>
      <c r="D21" s="32">
        <v>1</v>
      </c>
      <c r="E21" s="168">
        <v>87.336666666666659</v>
      </c>
      <c r="F21" s="34">
        <v>0.22389999999999999</v>
      </c>
      <c r="G21" s="35">
        <f t="shared" si="1"/>
        <v>106.89</v>
      </c>
      <c r="H21" s="35">
        <f t="shared" si="0"/>
        <v>106.89</v>
      </c>
    </row>
    <row r="22" spans="1:8" x14ac:dyDescent="0.25">
      <c r="A22" s="32">
        <v>19</v>
      </c>
      <c r="B22" s="33" t="s">
        <v>147</v>
      </c>
      <c r="C22" s="32" t="s">
        <v>124</v>
      </c>
      <c r="D22" s="32">
        <v>4</v>
      </c>
      <c r="E22" s="168">
        <v>110.2</v>
      </c>
      <c r="F22" s="34">
        <v>0.22389999999999999</v>
      </c>
      <c r="G22" s="35">
        <f t="shared" si="1"/>
        <v>134.87</v>
      </c>
      <c r="H22" s="35">
        <f t="shared" si="0"/>
        <v>539.48</v>
      </c>
    </row>
    <row r="23" spans="1:8" x14ac:dyDescent="0.25">
      <c r="A23" s="32">
        <v>20</v>
      </c>
      <c r="B23" s="33" t="s">
        <v>148</v>
      </c>
      <c r="C23" s="32" t="s">
        <v>124</v>
      </c>
      <c r="D23" s="32">
        <v>2</v>
      </c>
      <c r="E23" s="168">
        <v>212.10333333333335</v>
      </c>
      <c r="F23" s="34">
        <v>0.22389999999999999</v>
      </c>
      <c r="G23" s="35">
        <f t="shared" si="1"/>
        <v>259.58999999999997</v>
      </c>
      <c r="H23" s="35">
        <f t="shared" si="0"/>
        <v>519.17999999999995</v>
      </c>
    </row>
    <row r="24" spans="1:8" x14ac:dyDescent="0.25">
      <c r="A24" s="32">
        <v>21</v>
      </c>
      <c r="B24" s="33" t="s">
        <v>149</v>
      </c>
      <c r="C24" s="32" t="s">
        <v>124</v>
      </c>
      <c r="D24" s="32">
        <v>5</v>
      </c>
      <c r="E24" s="168">
        <v>69.893333333333331</v>
      </c>
      <c r="F24" s="34">
        <v>0.22389999999999999</v>
      </c>
      <c r="G24" s="35">
        <f t="shared" si="1"/>
        <v>85.54</v>
      </c>
      <c r="H24" s="35">
        <f t="shared" si="0"/>
        <v>427.7</v>
      </c>
    </row>
    <row r="25" spans="1:8" x14ac:dyDescent="0.25">
      <c r="A25" s="32">
        <v>22</v>
      </c>
      <c r="B25" s="33" t="s">
        <v>150</v>
      </c>
      <c r="C25" s="32" t="s">
        <v>124</v>
      </c>
      <c r="D25" s="32">
        <v>7</v>
      </c>
      <c r="E25" s="168">
        <v>60.616666666666667</v>
      </c>
      <c r="F25" s="34">
        <v>0.22389999999999999</v>
      </c>
      <c r="G25" s="35">
        <f t="shared" si="1"/>
        <v>74.19</v>
      </c>
      <c r="H25" s="35">
        <f t="shared" si="0"/>
        <v>519.33000000000004</v>
      </c>
    </row>
    <row r="26" spans="1:8" x14ac:dyDescent="0.25">
      <c r="A26" s="32">
        <v>23</v>
      </c>
      <c r="B26" s="33" t="s">
        <v>151</v>
      </c>
      <c r="C26" s="32" t="s">
        <v>124</v>
      </c>
      <c r="D26" s="32">
        <v>3</v>
      </c>
      <c r="E26" s="168">
        <v>51.053333333333342</v>
      </c>
      <c r="F26" s="34">
        <v>0.22389999999999999</v>
      </c>
      <c r="G26" s="35">
        <f t="shared" si="1"/>
        <v>62.48</v>
      </c>
      <c r="H26" s="35">
        <f t="shared" si="0"/>
        <v>187.44</v>
      </c>
    </row>
    <row r="27" spans="1:8" x14ac:dyDescent="0.25">
      <c r="A27" s="32">
        <v>24</v>
      </c>
      <c r="B27" s="33" t="s">
        <v>152</v>
      </c>
      <c r="C27" s="32" t="s">
        <v>124</v>
      </c>
      <c r="D27" s="32">
        <v>1</v>
      </c>
      <c r="E27" s="168">
        <v>48.669999999999995</v>
      </c>
      <c r="F27" s="34">
        <v>0.22389999999999999</v>
      </c>
      <c r="G27" s="35">
        <f t="shared" si="1"/>
        <v>59.57</v>
      </c>
      <c r="H27" s="35">
        <f t="shared" si="0"/>
        <v>59.57</v>
      </c>
    </row>
    <row r="28" spans="1:8" x14ac:dyDescent="0.25">
      <c r="A28" s="32">
        <v>25</v>
      </c>
      <c r="B28" s="33" t="s">
        <v>153</v>
      </c>
      <c r="C28" s="32" t="s">
        <v>124</v>
      </c>
      <c r="D28" s="32">
        <v>4</v>
      </c>
      <c r="E28" s="168">
        <v>36.776666666666671</v>
      </c>
      <c r="F28" s="34">
        <v>0.22389999999999999</v>
      </c>
      <c r="G28" s="35">
        <f t="shared" si="1"/>
        <v>45.01</v>
      </c>
      <c r="H28" s="35">
        <f t="shared" si="0"/>
        <v>180.04</v>
      </c>
    </row>
    <row r="29" spans="1:8" x14ac:dyDescent="0.25">
      <c r="A29" s="32">
        <v>26</v>
      </c>
      <c r="B29" s="33" t="s">
        <v>154</v>
      </c>
      <c r="C29" s="32" t="s">
        <v>124</v>
      </c>
      <c r="D29" s="32">
        <v>1</v>
      </c>
      <c r="E29" s="168">
        <v>37.896666666666668</v>
      </c>
      <c r="F29" s="34">
        <v>0.22389999999999999</v>
      </c>
      <c r="G29" s="35">
        <f t="shared" si="1"/>
        <v>46.38</v>
      </c>
      <c r="H29" s="35">
        <f t="shared" si="0"/>
        <v>46.38</v>
      </c>
    </row>
    <row r="30" spans="1:8" x14ac:dyDescent="0.25">
      <c r="A30" s="32">
        <v>27</v>
      </c>
      <c r="B30" s="36" t="s">
        <v>155</v>
      </c>
      <c r="C30" s="32" t="s">
        <v>124</v>
      </c>
      <c r="D30" s="32">
        <v>3</v>
      </c>
      <c r="E30" s="168">
        <v>195.40666666666667</v>
      </c>
      <c r="F30" s="34">
        <v>0.22389999999999999</v>
      </c>
      <c r="G30" s="35">
        <f t="shared" si="1"/>
        <v>239.16</v>
      </c>
      <c r="H30" s="35">
        <f t="shared" si="0"/>
        <v>717.48</v>
      </c>
    </row>
    <row r="31" spans="1:8" x14ac:dyDescent="0.25">
      <c r="A31" s="32">
        <v>28</v>
      </c>
      <c r="B31" s="33" t="s">
        <v>156</v>
      </c>
      <c r="C31" s="32" t="s">
        <v>124</v>
      </c>
      <c r="D31" s="32">
        <v>1</v>
      </c>
      <c r="E31" s="168">
        <v>227.0566666666667</v>
      </c>
      <c r="F31" s="34">
        <v>0.22389999999999999</v>
      </c>
      <c r="G31" s="35">
        <f t="shared" si="1"/>
        <v>277.89</v>
      </c>
      <c r="H31" s="35">
        <f t="shared" si="0"/>
        <v>277.89</v>
      </c>
    </row>
    <row r="32" spans="1:8" x14ac:dyDescent="0.25">
      <c r="A32" s="32">
        <v>29</v>
      </c>
      <c r="B32" s="33" t="s">
        <v>157</v>
      </c>
      <c r="C32" s="32" t="s">
        <v>124</v>
      </c>
      <c r="D32" s="32">
        <v>1</v>
      </c>
      <c r="E32" s="168">
        <v>137.38333333333335</v>
      </c>
      <c r="F32" s="34">
        <v>0.22389999999999999</v>
      </c>
      <c r="G32" s="35">
        <f t="shared" si="1"/>
        <v>168.14</v>
      </c>
      <c r="H32" s="35">
        <f t="shared" si="0"/>
        <v>168.14</v>
      </c>
    </row>
    <row r="33" spans="1:8" x14ac:dyDescent="0.25">
      <c r="A33" s="32">
        <v>30</v>
      </c>
      <c r="B33" s="33" t="s">
        <v>158</v>
      </c>
      <c r="C33" s="32" t="s">
        <v>124</v>
      </c>
      <c r="D33" s="32">
        <v>1</v>
      </c>
      <c r="E33" s="168">
        <v>312.16000000000003</v>
      </c>
      <c r="F33" s="34">
        <v>0.22389999999999999</v>
      </c>
      <c r="G33" s="35">
        <f t="shared" si="1"/>
        <v>382.05</v>
      </c>
      <c r="H33" s="35">
        <f t="shared" si="0"/>
        <v>382.05</v>
      </c>
    </row>
    <row r="34" spans="1:8" x14ac:dyDescent="0.25">
      <c r="A34" s="32">
        <v>31</v>
      </c>
      <c r="B34" s="33" t="s">
        <v>159</v>
      </c>
      <c r="C34" s="32" t="s">
        <v>124</v>
      </c>
      <c r="D34" s="32">
        <v>1</v>
      </c>
      <c r="E34" s="168">
        <v>87.410000000000011</v>
      </c>
      <c r="F34" s="34">
        <v>0.22389999999999999</v>
      </c>
      <c r="G34" s="35">
        <f t="shared" si="1"/>
        <v>106.98</v>
      </c>
      <c r="H34" s="35">
        <f t="shared" si="0"/>
        <v>106.98</v>
      </c>
    </row>
    <row r="35" spans="1:8" x14ac:dyDescent="0.25">
      <c r="A35" s="32">
        <v>32</v>
      </c>
      <c r="B35" s="33" t="s">
        <v>160</v>
      </c>
      <c r="C35" s="32" t="s">
        <v>124</v>
      </c>
      <c r="D35" s="32">
        <v>1</v>
      </c>
      <c r="E35" s="168">
        <v>79.726666666666674</v>
      </c>
      <c r="F35" s="34">
        <v>0.22389999999999999</v>
      </c>
      <c r="G35" s="35">
        <f t="shared" si="1"/>
        <v>97.58</v>
      </c>
      <c r="H35" s="35">
        <f t="shared" si="0"/>
        <v>97.58</v>
      </c>
    </row>
    <row r="36" spans="1:8" x14ac:dyDescent="0.25">
      <c r="A36" s="32">
        <v>33</v>
      </c>
      <c r="B36" s="33" t="s">
        <v>161</v>
      </c>
      <c r="C36" s="32" t="s">
        <v>124</v>
      </c>
      <c r="D36" s="32">
        <v>2</v>
      </c>
      <c r="E36" s="168">
        <v>66.190000000000012</v>
      </c>
      <c r="F36" s="34">
        <v>0.22389999999999999</v>
      </c>
      <c r="G36" s="35">
        <f t="shared" si="1"/>
        <v>81.010000000000005</v>
      </c>
      <c r="H36" s="35">
        <f t="shared" si="0"/>
        <v>162.02000000000001</v>
      </c>
    </row>
    <row r="37" spans="1:8" x14ac:dyDescent="0.25">
      <c r="A37" s="32">
        <v>34</v>
      </c>
      <c r="B37" s="33" t="s">
        <v>162</v>
      </c>
      <c r="C37" s="32" t="s">
        <v>124</v>
      </c>
      <c r="D37" s="32">
        <v>1</v>
      </c>
      <c r="E37" s="168">
        <v>61.576666666666675</v>
      </c>
      <c r="F37" s="34">
        <v>0.22389999999999999</v>
      </c>
      <c r="G37" s="35">
        <f t="shared" si="1"/>
        <v>75.36</v>
      </c>
      <c r="H37" s="35">
        <f t="shared" si="0"/>
        <v>75.36</v>
      </c>
    </row>
    <row r="38" spans="1:8" x14ac:dyDescent="0.25">
      <c r="A38" s="32">
        <v>35</v>
      </c>
      <c r="B38" s="33" t="s">
        <v>163</v>
      </c>
      <c r="C38" s="32" t="s">
        <v>124</v>
      </c>
      <c r="D38" s="32">
        <v>1</v>
      </c>
      <c r="E38" s="168">
        <v>59.316666666666663</v>
      </c>
      <c r="F38" s="34">
        <v>0.22389999999999999</v>
      </c>
      <c r="G38" s="35">
        <f t="shared" si="1"/>
        <v>72.599999999999994</v>
      </c>
      <c r="H38" s="35">
        <f t="shared" si="0"/>
        <v>72.599999999999994</v>
      </c>
    </row>
    <row r="39" spans="1:8" x14ac:dyDescent="0.25">
      <c r="A39" s="32">
        <v>36</v>
      </c>
      <c r="B39" s="33" t="s">
        <v>164</v>
      </c>
      <c r="C39" s="32" t="s">
        <v>124</v>
      </c>
      <c r="D39" s="32">
        <v>2</v>
      </c>
      <c r="E39" s="168">
        <v>53.576666666666675</v>
      </c>
      <c r="F39" s="34">
        <v>0.22389999999999999</v>
      </c>
      <c r="G39" s="35">
        <f t="shared" si="1"/>
        <v>65.569999999999993</v>
      </c>
      <c r="H39" s="35">
        <f t="shared" si="0"/>
        <v>131.13999999999999</v>
      </c>
    </row>
    <row r="40" spans="1:8" x14ac:dyDescent="0.25">
      <c r="A40" s="32">
        <v>37</v>
      </c>
      <c r="B40" s="33" t="s">
        <v>165</v>
      </c>
      <c r="C40" s="32" t="s">
        <v>124</v>
      </c>
      <c r="D40" s="32">
        <v>4</v>
      </c>
      <c r="E40" s="168">
        <v>57.776666666666664</v>
      </c>
      <c r="F40" s="34">
        <v>0.22389999999999999</v>
      </c>
      <c r="G40" s="35">
        <f t="shared" si="1"/>
        <v>70.709999999999994</v>
      </c>
      <c r="H40" s="35">
        <f t="shared" si="0"/>
        <v>282.83999999999997</v>
      </c>
    </row>
    <row r="41" spans="1:8" x14ac:dyDescent="0.25">
      <c r="A41" s="32">
        <v>38</v>
      </c>
      <c r="B41" s="33" t="s">
        <v>166</v>
      </c>
      <c r="C41" s="32" t="s">
        <v>124</v>
      </c>
      <c r="D41" s="32">
        <v>2</v>
      </c>
      <c r="E41" s="168">
        <v>62.126666666666665</v>
      </c>
      <c r="F41" s="34">
        <v>0.22389999999999999</v>
      </c>
      <c r="G41" s="35">
        <f t="shared" si="1"/>
        <v>76.040000000000006</v>
      </c>
      <c r="H41" s="35">
        <f t="shared" si="0"/>
        <v>152.08000000000001</v>
      </c>
    </row>
    <row r="42" spans="1:8" x14ac:dyDescent="0.25">
      <c r="A42" s="32">
        <v>39</v>
      </c>
      <c r="B42" s="33" t="s">
        <v>167</v>
      </c>
      <c r="C42" s="32" t="s">
        <v>124</v>
      </c>
      <c r="D42" s="32">
        <v>2</v>
      </c>
      <c r="E42" s="168">
        <v>64.133333333333326</v>
      </c>
      <c r="F42" s="34">
        <v>0.22389999999999999</v>
      </c>
      <c r="G42" s="35">
        <f t="shared" si="1"/>
        <v>78.489999999999995</v>
      </c>
      <c r="H42" s="35">
        <f t="shared" si="0"/>
        <v>156.97999999999999</v>
      </c>
    </row>
    <row r="43" spans="1:8" x14ac:dyDescent="0.25">
      <c r="A43" s="32">
        <v>40</v>
      </c>
      <c r="B43" s="33" t="s">
        <v>168</v>
      </c>
      <c r="C43" s="32" t="s">
        <v>124</v>
      </c>
      <c r="D43" s="32">
        <v>1</v>
      </c>
      <c r="E43" s="168">
        <v>58.723333333333336</v>
      </c>
      <c r="F43" s="34">
        <v>0.22389999999999999</v>
      </c>
      <c r="G43" s="35">
        <f t="shared" si="1"/>
        <v>71.87</v>
      </c>
      <c r="H43" s="35">
        <f t="shared" si="0"/>
        <v>71.87</v>
      </c>
    </row>
    <row r="44" spans="1:8" x14ac:dyDescent="0.25">
      <c r="A44" s="32">
        <v>41</v>
      </c>
      <c r="B44" s="33" t="s">
        <v>169</v>
      </c>
      <c r="C44" s="32" t="s">
        <v>124</v>
      </c>
      <c r="D44" s="32">
        <v>5</v>
      </c>
      <c r="E44" s="168">
        <v>329.755</v>
      </c>
      <c r="F44" s="34">
        <v>0.22389999999999999</v>
      </c>
      <c r="G44" s="35">
        <f t="shared" si="1"/>
        <v>403.59</v>
      </c>
      <c r="H44" s="35">
        <f t="shared" si="0"/>
        <v>2017.95</v>
      </c>
    </row>
    <row r="45" spans="1:8" x14ac:dyDescent="0.25">
      <c r="A45" s="32">
        <v>42</v>
      </c>
      <c r="B45" s="33" t="s">
        <v>170</v>
      </c>
      <c r="C45" s="32" t="s">
        <v>124</v>
      </c>
      <c r="D45" s="32">
        <v>1</v>
      </c>
      <c r="E45" s="168">
        <v>3352.8700000000003</v>
      </c>
      <c r="F45" s="34">
        <v>0.22389999999999999</v>
      </c>
      <c r="G45" s="35">
        <f t="shared" si="1"/>
        <v>4103.58</v>
      </c>
      <c r="H45" s="35">
        <f t="shared" si="0"/>
        <v>4103.58</v>
      </c>
    </row>
    <row r="46" spans="1:8" ht="16.5" x14ac:dyDescent="0.25">
      <c r="A46" s="32">
        <v>43</v>
      </c>
      <c r="B46" s="33" t="s">
        <v>171</v>
      </c>
      <c r="C46" s="32" t="s">
        <v>172</v>
      </c>
      <c r="D46" s="32">
        <v>60</v>
      </c>
      <c r="E46" s="168">
        <v>88.535883333333345</v>
      </c>
      <c r="F46" s="34">
        <v>0.22389999999999999</v>
      </c>
      <c r="G46" s="35">
        <f t="shared" si="1"/>
        <v>108.36</v>
      </c>
      <c r="H46" s="35">
        <f t="shared" si="0"/>
        <v>6501.6</v>
      </c>
    </row>
    <row r="47" spans="1:8" x14ac:dyDescent="0.25">
      <c r="A47" s="32">
        <v>44</v>
      </c>
      <c r="B47" s="33" t="s">
        <v>173</v>
      </c>
      <c r="C47" s="32" t="s">
        <v>124</v>
      </c>
      <c r="D47" s="32">
        <v>1</v>
      </c>
      <c r="E47" s="168">
        <v>281.04799999999994</v>
      </c>
      <c r="F47" s="34">
        <v>0.22389999999999999</v>
      </c>
      <c r="G47" s="35">
        <f t="shared" si="1"/>
        <v>343.97</v>
      </c>
      <c r="H47" s="35">
        <f t="shared" si="0"/>
        <v>343.97</v>
      </c>
    </row>
    <row r="48" spans="1:8" x14ac:dyDescent="0.25">
      <c r="A48" s="32">
        <v>45</v>
      </c>
      <c r="B48" s="33" t="s">
        <v>174</v>
      </c>
      <c r="C48" s="32" t="s">
        <v>124</v>
      </c>
      <c r="D48" s="32">
        <v>3</v>
      </c>
      <c r="E48" s="168">
        <v>58.337499999999991</v>
      </c>
      <c r="F48" s="34">
        <v>0.22389999999999999</v>
      </c>
      <c r="G48" s="35">
        <f t="shared" si="1"/>
        <v>71.400000000000006</v>
      </c>
      <c r="H48" s="35">
        <f t="shared" si="0"/>
        <v>214.2</v>
      </c>
    </row>
    <row r="49" spans="1:8" x14ac:dyDescent="0.25">
      <c r="A49" s="32">
        <v>46</v>
      </c>
      <c r="B49" s="33" t="s">
        <v>175</v>
      </c>
      <c r="C49" s="32" t="s">
        <v>124</v>
      </c>
      <c r="D49" s="32">
        <v>3</v>
      </c>
      <c r="E49" s="168">
        <v>374.38250000000005</v>
      </c>
      <c r="F49" s="34">
        <v>0.22389999999999999</v>
      </c>
      <c r="G49" s="35">
        <f t="shared" si="1"/>
        <v>458.21</v>
      </c>
      <c r="H49" s="35">
        <f t="shared" si="0"/>
        <v>1374.63</v>
      </c>
    </row>
    <row r="50" spans="1:8" x14ac:dyDescent="0.25">
      <c r="A50" s="32">
        <v>47</v>
      </c>
      <c r="B50" s="33" t="s">
        <v>176</v>
      </c>
      <c r="C50" s="32" t="s">
        <v>124</v>
      </c>
      <c r="D50" s="32">
        <v>3</v>
      </c>
      <c r="E50" s="168">
        <v>209.72199999999998</v>
      </c>
      <c r="F50" s="34">
        <v>0.22389999999999999</v>
      </c>
      <c r="G50" s="35">
        <f t="shared" si="1"/>
        <v>256.68</v>
      </c>
      <c r="H50" s="35">
        <f t="shared" si="0"/>
        <v>770.04</v>
      </c>
    </row>
    <row r="51" spans="1:8" x14ac:dyDescent="0.25">
      <c r="A51" s="32">
        <v>48</v>
      </c>
      <c r="B51" s="33" t="s">
        <v>177</v>
      </c>
      <c r="C51" s="32" t="s">
        <v>124</v>
      </c>
      <c r="D51" s="32">
        <v>1</v>
      </c>
      <c r="E51" s="168">
        <v>9890</v>
      </c>
      <c r="F51" s="34">
        <v>0.22389999999999999</v>
      </c>
      <c r="G51" s="35">
        <f t="shared" si="1"/>
        <v>12104.37</v>
      </c>
      <c r="H51" s="35">
        <f t="shared" si="0"/>
        <v>12104.37</v>
      </c>
    </row>
    <row r="52" spans="1:8" x14ac:dyDescent="0.25">
      <c r="A52" s="32">
        <v>49</v>
      </c>
      <c r="B52" s="33" t="s">
        <v>178</v>
      </c>
      <c r="C52" s="32" t="s">
        <v>124</v>
      </c>
      <c r="D52" s="32">
        <v>1</v>
      </c>
      <c r="E52" s="168">
        <v>6780</v>
      </c>
      <c r="F52" s="34">
        <v>0.22389999999999999</v>
      </c>
      <c r="G52" s="35">
        <f t="shared" si="1"/>
        <v>8298.0400000000009</v>
      </c>
      <c r="H52" s="35">
        <f t="shared" si="0"/>
        <v>8298.0400000000009</v>
      </c>
    </row>
    <row r="53" spans="1:8" ht="15.75" x14ac:dyDescent="0.25">
      <c r="A53" s="194" t="s">
        <v>179</v>
      </c>
      <c r="B53" s="195"/>
      <c r="C53" s="195"/>
      <c r="D53" s="195"/>
      <c r="E53" s="195"/>
      <c r="F53" s="195"/>
      <c r="G53" s="196"/>
      <c r="H53" s="37">
        <f>ROUND(SUM(H4:H52),2)+0.04</f>
        <v>71214.209999999992</v>
      </c>
    </row>
    <row r="54" spans="1:8" ht="15.75" x14ac:dyDescent="0.25">
      <c r="A54" s="194" t="s">
        <v>180</v>
      </c>
      <c r="B54" s="195"/>
      <c r="C54" s="195"/>
      <c r="D54" s="195"/>
      <c r="E54" s="195"/>
      <c r="F54" s="195"/>
      <c r="G54" s="196"/>
      <c r="H54" s="37">
        <f>H53/12</f>
        <v>5934.517499999999</v>
      </c>
    </row>
    <row r="55" spans="1:8" x14ac:dyDescent="0.25">
      <c r="A55" s="190"/>
      <c r="B55" s="190"/>
      <c r="C55" s="190"/>
      <c r="D55" s="190"/>
      <c r="E55" s="190"/>
      <c r="F55" s="190"/>
      <c r="G55" s="190"/>
      <c r="H55" s="190"/>
    </row>
  </sheetData>
  <mergeCells count="5">
    <mergeCell ref="A55:H55"/>
    <mergeCell ref="A1:H1"/>
    <mergeCell ref="A2:H2"/>
    <mergeCell ref="A53:G53"/>
    <mergeCell ref="A54:G54"/>
  </mergeCells>
  <pageMargins left="0.511811024" right="0.511811024" top="0.78740157499999996" bottom="0.78740157499999996" header="0.31496062000000002" footer="0.31496062000000002"/>
  <pageSetup paperSize="9" scale="5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9BA1D5-C71A-48BD-9549-097043BBCC65}">
  <sheetPr>
    <tabColor theme="8" tint="0.79998168889431442"/>
  </sheetPr>
  <dimension ref="A1:E125"/>
  <sheetViews>
    <sheetView showGridLines="0" tabSelected="1" topLeftCell="A97" zoomScaleNormal="100" workbookViewId="0">
      <selection activeCell="F46" sqref="F46"/>
    </sheetView>
  </sheetViews>
  <sheetFormatPr defaultRowHeight="15" x14ac:dyDescent="0.25"/>
  <cols>
    <col min="1" max="1" width="3.85546875" style="48" customWidth="1"/>
    <col min="2" max="2" width="70.7109375" style="57" customWidth="1"/>
    <col min="3" max="3" width="14.7109375" style="48" customWidth="1"/>
    <col min="4" max="4" width="23.7109375" style="123" customWidth="1"/>
    <col min="5" max="5" width="100.140625" style="39" customWidth="1"/>
  </cols>
  <sheetData>
    <row r="1" spans="1:5" ht="16.5" thickBot="1" x14ac:dyDescent="0.3">
      <c r="A1" s="200" t="s">
        <v>181</v>
      </c>
      <c r="B1" s="201"/>
      <c r="C1" s="201"/>
      <c r="D1" s="202"/>
    </row>
    <row r="2" spans="1:5" ht="15.75" x14ac:dyDescent="0.25">
      <c r="A2" s="203" t="s">
        <v>182</v>
      </c>
      <c r="B2" s="203"/>
      <c r="C2" s="203"/>
      <c r="D2" s="203"/>
    </row>
    <row r="3" spans="1:5" ht="15.75" x14ac:dyDescent="0.25">
      <c r="A3" s="203" t="s">
        <v>183</v>
      </c>
      <c r="B3" s="203"/>
      <c r="C3" s="203"/>
      <c r="D3" s="203"/>
    </row>
    <row r="4" spans="1:5" ht="15.75" thickBot="1" x14ac:dyDescent="0.3">
      <c r="A4" s="204"/>
      <c r="B4" s="204"/>
      <c r="C4" s="204"/>
      <c r="D4" s="204"/>
    </row>
    <row r="5" spans="1:5" ht="16.5" thickBot="1" x14ac:dyDescent="0.3">
      <c r="A5" s="200" t="s">
        <v>184</v>
      </c>
      <c r="B5" s="201"/>
      <c r="C5" s="201"/>
      <c r="D5" s="202"/>
    </row>
    <row r="6" spans="1:5" ht="15.75" thickBot="1" x14ac:dyDescent="0.3">
      <c r="A6" s="197" t="s">
        <v>185</v>
      </c>
      <c r="B6" s="198"/>
      <c r="C6" s="205"/>
      <c r="D6" s="206"/>
    </row>
    <row r="7" spans="1:5" x14ac:dyDescent="0.25">
      <c r="A7" s="40" t="s">
        <v>186</v>
      </c>
      <c r="B7" s="41" t="s">
        <v>187</v>
      </c>
      <c r="C7" s="207" t="s">
        <v>188</v>
      </c>
      <c r="D7" s="208"/>
    </row>
    <row r="8" spans="1:5" x14ac:dyDescent="0.25">
      <c r="A8" s="42" t="s">
        <v>189</v>
      </c>
      <c r="B8" s="43" t="s">
        <v>190</v>
      </c>
      <c r="C8" s="209" t="s">
        <v>415</v>
      </c>
      <c r="D8" s="210"/>
    </row>
    <row r="9" spans="1:5" x14ac:dyDescent="0.25">
      <c r="A9" s="42" t="s">
        <v>191</v>
      </c>
      <c r="B9" s="43" t="s">
        <v>192</v>
      </c>
      <c r="C9" s="211">
        <v>45075</v>
      </c>
      <c r="D9" s="212"/>
    </row>
    <row r="10" spans="1:5" ht="15.75" thickBot="1" x14ac:dyDescent="0.3">
      <c r="A10" s="44" t="s">
        <v>193</v>
      </c>
      <c r="B10" s="45" t="s">
        <v>194</v>
      </c>
      <c r="C10" s="213">
        <v>0.45833333333333331</v>
      </c>
      <c r="D10" s="214"/>
    </row>
    <row r="11" spans="1:5" ht="15.75" thickBot="1" x14ac:dyDescent="0.3">
      <c r="A11" s="46"/>
      <c r="B11" s="47"/>
      <c r="D11" s="49"/>
    </row>
    <row r="12" spans="1:5" ht="15.75" thickBot="1" x14ac:dyDescent="0.3">
      <c r="A12" s="197" t="s">
        <v>195</v>
      </c>
      <c r="B12" s="198"/>
      <c r="C12" s="198"/>
      <c r="D12" s="199"/>
    </row>
    <row r="13" spans="1:5" x14ac:dyDescent="0.25">
      <c r="A13" s="40" t="s">
        <v>196</v>
      </c>
      <c r="B13" s="41" t="s">
        <v>197</v>
      </c>
      <c r="C13" s="217"/>
      <c r="D13" s="218"/>
    </row>
    <row r="14" spans="1:5" x14ac:dyDescent="0.25">
      <c r="A14" s="42" t="s">
        <v>198</v>
      </c>
      <c r="B14" s="219" t="s">
        <v>199</v>
      </c>
      <c r="C14" s="219"/>
      <c r="D14" s="50" t="s">
        <v>200</v>
      </c>
    </row>
    <row r="15" spans="1:5" x14ac:dyDescent="0.25">
      <c r="A15" s="42" t="s">
        <v>201</v>
      </c>
      <c r="B15" s="43" t="s">
        <v>202</v>
      </c>
      <c r="C15" s="51" t="s">
        <v>203</v>
      </c>
      <c r="D15" s="50" t="s">
        <v>204</v>
      </c>
      <c r="E15" s="52"/>
    </row>
    <row r="16" spans="1:5" ht="28.5" x14ac:dyDescent="0.25">
      <c r="A16" s="42" t="s">
        <v>205</v>
      </c>
      <c r="B16" s="219" t="s">
        <v>206</v>
      </c>
      <c r="C16" s="219"/>
      <c r="D16" s="53" t="s">
        <v>207</v>
      </c>
    </row>
    <row r="17" spans="1:5" x14ac:dyDescent="0.25">
      <c r="A17" s="42" t="s">
        <v>208</v>
      </c>
      <c r="B17" s="219" t="s">
        <v>209</v>
      </c>
      <c r="C17" s="219"/>
      <c r="D17" s="50" t="s">
        <v>210</v>
      </c>
    </row>
    <row r="18" spans="1:5" ht="15.75" thickBot="1" x14ac:dyDescent="0.3">
      <c r="A18" s="44" t="s">
        <v>211</v>
      </c>
      <c r="B18" s="54" t="s">
        <v>212</v>
      </c>
      <c r="C18" s="55" t="s">
        <v>213</v>
      </c>
      <c r="D18" s="56">
        <v>1320</v>
      </c>
    </row>
    <row r="19" spans="1:5" ht="15.75" thickBot="1" x14ac:dyDescent="0.3">
      <c r="D19" s="58"/>
    </row>
    <row r="20" spans="1:5" ht="15.75" thickBot="1" x14ac:dyDescent="0.3">
      <c r="A20" s="220" t="s">
        <v>214</v>
      </c>
      <c r="B20" s="221"/>
      <c r="C20" s="221"/>
      <c r="D20" s="222"/>
      <c r="E20" s="59" t="s">
        <v>215</v>
      </c>
    </row>
    <row r="21" spans="1:5" ht="30" x14ac:dyDescent="0.25">
      <c r="A21" s="40" t="s">
        <v>216</v>
      </c>
      <c r="B21" s="223" t="s">
        <v>217</v>
      </c>
      <c r="C21" s="223"/>
      <c r="D21" s="60" t="s">
        <v>218</v>
      </c>
    </row>
    <row r="22" spans="1:5" x14ac:dyDescent="0.25">
      <c r="A22" s="42" t="s">
        <v>219</v>
      </c>
      <c r="B22" s="215" t="s">
        <v>220</v>
      </c>
      <c r="C22" s="215"/>
      <c r="D22" s="61">
        <v>3183</v>
      </c>
    </row>
    <row r="23" spans="1:5" x14ac:dyDescent="0.25">
      <c r="A23" s="42" t="s">
        <v>221</v>
      </c>
      <c r="B23" s="215" t="s">
        <v>222</v>
      </c>
      <c r="C23" s="215"/>
      <c r="D23" s="169">
        <v>2000</v>
      </c>
      <c r="E23" s="70"/>
    </row>
    <row r="24" spans="1:5" x14ac:dyDescent="0.25">
      <c r="A24" s="42" t="s">
        <v>223</v>
      </c>
      <c r="B24" s="215" t="s">
        <v>224</v>
      </c>
      <c r="C24" s="215"/>
      <c r="D24" s="170" t="s">
        <v>416</v>
      </c>
      <c r="E24" s="70" t="s">
        <v>417</v>
      </c>
    </row>
    <row r="25" spans="1:5" x14ac:dyDescent="0.25">
      <c r="A25" s="42" t="s">
        <v>225</v>
      </c>
      <c r="B25" s="215" t="s">
        <v>226</v>
      </c>
      <c r="C25" s="215"/>
      <c r="D25" s="171">
        <v>44680</v>
      </c>
    </row>
    <row r="26" spans="1:5" x14ac:dyDescent="0.25">
      <c r="A26" s="42" t="s">
        <v>227</v>
      </c>
      <c r="B26" s="215" t="s">
        <v>228</v>
      </c>
      <c r="C26" s="215"/>
      <c r="D26" s="62">
        <v>45047</v>
      </c>
    </row>
    <row r="27" spans="1:5" x14ac:dyDescent="0.25">
      <c r="A27" s="42" t="s">
        <v>229</v>
      </c>
      <c r="B27" s="215" t="s">
        <v>230</v>
      </c>
      <c r="C27" s="216"/>
      <c r="D27" s="62" t="s">
        <v>231</v>
      </c>
      <c r="E27" s="70" t="s">
        <v>418</v>
      </c>
    </row>
    <row r="28" spans="1:5" ht="15.75" thickBot="1" x14ac:dyDescent="0.3">
      <c r="A28" s="44" t="s">
        <v>232</v>
      </c>
      <c r="B28" s="226" t="s">
        <v>233</v>
      </c>
      <c r="C28" s="227"/>
      <c r="D28" s="64">
        <v>2</v>
      </c>
      <c r="E28" s="52"/>
    </row>
    <row r="29" spans="1:5" ht="15.75" thickBot="1" x14ac:dyDescent="0.3">
      <c r="A29" s="65"/>
      <c r="B29" s="66"/>
      <c r="C29" s="66"/>
      <c r="D29" s="67"/>
    </row>
    <row r="30" spans="1:5" x14ac:dyDescent="0.25">
      <c r="A30" s="228" t="s">
        <v>234</v>
      </c>
      <c r="B30" s="229"/>
      <c r="C30" s="229"/>
      <c r="D30" s="230"/>
    </row>
    <row r="31" spans="1:5" x14ac:dyDescent="0.25">
      <c r="A31" s="231" t="s">
        <v>235</v>
      </c>
      <c r="B31" s="232"/>
      <c r="C31" s="233"/>
      <c r="D31" s="68" t="s">
        <v>236</v>
      </c>
    </row>
    <row r="32" spans="1:5" x14ac:dyDescent="0.25">
      <c r="A32" s="42" t="s">
        <v>237</v>
      </c>
      <c r="B32" s="234" t="s">
        <v>238</v>
      </c>
      <c r="C32" s="234"/>
      <c r="D32" s="69">
        <v>2054.7399999999998</v>
      </c>
      <c r="E32" s="70"/>
    </row>
    <row r="33" spans="1:5" x14ac:dyDescent="0.25">
      <c r="A33" s="42" t="s">
        <v>239</v>
      </c>
      <c r="B33" s="71" t="s">
        <v>240</v>
      </c>
      <c r="C33" s="72">
        <v>0.3</v>
      </c>
      <c r="D33" s="69">
        <f>D32*C33</f>
        <v>616.42199999999991</v>
      </c>
      <c r="E33" s="70"/>
    </row>
    <row r="34" spans="1:5" ht="15.75" thickBot="1" x14ac:dyDescent="0.3">
      <c r="A34" s="235" t="s">
        <v>241</v>
      </c>
      <c r="B34" s="236"/>
      <c r="C34" s="236"/>
      <c r="D34" s="73">
        <f>SUM(D32:D33)</f>
        <v>2671.1619999999998</v>
      </c>
      <c r="E34" s="74"/>
    </row>
    <row r="35" spans="1:5" ht="15.75" thickBot="1" x14ac:dyDescent="0.3">
      <c r="A35" s="57"/>
      <c r="C35" s="57"/>
      <c r="D35" s="57"/>
    </row>
    <row r="36" spans="1:5" x14ac:dyDescent="0.25">
      <c r="A36" s="228" t="s">
        <v>242</v>
      </c>
      <c r="B36" s="229"/>
      <c r="C36" s="229"/>
      <c r="D36" s="230"/>
    </row>
    <row r="37" spans="1:5" x14ac:dyDescent="0.25">
      <c r="A37" s="237" t="s">
        <v>243</v>
      </c>
      <c r="B37" s="238"/>
      <c r="C37" s="75" t="s">
        <v>244</v>
      </c>
      <c r="D37" s="76" t="s">
        <v>245</v>
      </c>
    </row>
    <row r="38" spans="1:5" x14ac:dyDescent="0.25">
      <c r="A38" s="42" t="s">
        <v>237</v>
      </c>
      <c r="B38" s="77" t="s">
        <v>246</v>
      </c>
      <c r="C38" s="78">
        <v>8.3299999999999999E-2</v>
      </c>
      <c r="D38" s="79">
        <f>(D34)*($C$38)</f>
        <v>222.50779459999998</v>
      </c>
    </row>
    <row r="39" spans="1:5" x14ac:dyDescent="0.25">
      <c r="A39" s="42" t="s">
        <v>247</v>
      </c>
      <c r="B39" s="77" t="s">
        <v>248</v>
      </c>
      <c r="C39" s="78">
        <v>0.121</v>
      </c>
      <c r="D39" s="79">
        <f>(D34)*($C$39)</f>
        <v>323.21060199999999</v>
      </c>
      <c r="E39" s="74"/>
    </row>
    <row r="40" spans="1:5" x14ac:dyDescent="0.25">
      <c r="A40" s="239" t="s">
        <v>249</v>
      </c>
      <c r="B40" s="240"/>
      <c r="C40" s="80">
        <f>SUM(C38:C39)</f>
        <v>0.20429999999999998</v>
      </c>
      <c r="D40" s="81">
        <f>SUM(D38:D39)</f>
        <v>545.71839660000001</v>
      </c>
    </row>
    <row r="41" spans="1:5" x14ac:dyDescent="0.25">
      <c r="A41" s="237" t="s">
        <v>250</v>
      </c>
      <c r="B41" s="238"/>
      <c r="C41" s="75" t="s">
        <v>244</v>
      </c>
      <c r="D41" s="68" t="s">
        <v>245</v>
      </c>
    </row>
    <row r="42" spans="1:5" x14ac:dyDescent="0.25">
      <c r="A42" s="42" t="s">
        <v>237</v>
      </c>
      <c r="B42" s="71" t="s">
        <v>251</v>
      </c>
      <c r="C42" s="78">
        <v>0.2</v>
      </c>
      <c r="D42" s="79">
        <f t="shared" ref="D42:D49" si="0">($D$34+$D$40)*(C42)</f>
        <v>643.37607931999992</v>
      </c>
    </row>
    <row r="43" spans="1:5" x14ac:dyDescent="0.25">
      <c r="A43" s="42" t="s">
        <v>247</v>
      </c>
      <c r="B43" s="71" t="s">
        <v>252</v>
      </c>
      <c r="C43" s="78">
        <v>2.5000000000000001E-2</v>
      </c>
      <c r="D43" s="79">
        <f t="shared" si="0"/>
        <v>80.42200991499999</v>
      </c>
    </row>
    <row r="44" spans="1:5" x14ac:dyDescent="0.25">
      <c r="A44" s="42" t="s">
        <v>253</v>
      </c>
      <c r="B44" s="71" t="s">
        <v>254</v>
      </c>
      <c r="C44" s="78">
        <v>1.4999999999999999E-2</v>
      </c>
      <c r="D44" s="79">
        <f t="shared" si="0"/>
        <v>48.253205948999991</v>
      </c>
    </row>
    <row r="45" spans="1:5" x14ac:dyDescent="0.25">
      <c r="A45" s="42" t="s">
        <v>255</v>
      </c>
      <c r="B45" s="71" t="s">
        <v>256</v>
      </c>
      <c r="C45" s="78">
        <v>1.4999999999999999E-2</v>
      </c>
      <c r="D45" s="79">
        <f t="shared" si="0"/>
        <v>48.253205948999991</v>
      </c>
    </row>
    <row r="46" spans="1:5" x14ac:dyDescent="0.25">
      <c r="A46" s="42" t="s">
        <v>257</v>
      </c>
      <c r="B46" s="71" t="s">
        <v>258</v>
      </c>
      <c r="C46" s="78">
        <v>0.01</v>
      </c>
      <c r="D46" s="79">
        <f t="shared" si="0"/>
        <v>32.168803965999999</v>
      </c>
    </row>
    <row r="47" spans="1:5" x14ac:dyDescent="0.25">
      <c r="A47" s="42" t="s">
        <v>259</v>
      </c>
      <c r="B47" s="82" t="s">
        <v>260</v>
      </c>
      <c r="C47" s="78">
        <v>6.0000000000000001E-3</v>
      </c>
      <c r="D47" s="79">
        <f t="shared" si="0"/>
        <v>19.301282379599996</v>
      </c>
    </row>
    <row r="48" spans="1:5" x14ac:dyDescent="0.25">
      <c r="A48" s="42" t="s">
        <v>261</v>
      </c>
      <c r="B48" s="71" t="s">
        <v>262</v>
      </c>
      <c r="C48" s="78">
        <v>2E-3</v>
      </c>
      <c r="D48" s="79">
        <f t="shared" si="0"/>
        <v>6.4337607931999994</v>
      </c>
    </row>
    <row r="49" spans="1:5" x14ac:dyDescent="0.25">
      <c r="A49" s="42" t="s">
        <v>263</v>
      </c>
      <c r="B49" s="71" t="s">
        <v>264</v>
      </c>
      <c r="C49" s="78">
        <v>0.08</v>
      </c>
      <c r="D49" s="79">
        <f t="shared" si="0"/>
        <v>257.35043172799999</v>
      </c>
      <c r="E49" s="74"/>
    </row>
    <row r="50" spans="1:5" x14ac:dyDescent="0.25">
      <c r="A50" s="239" t="s">
        <v>265</v>
      </c>
      <c r="B50" s="240"/>
      <c r="C50" s="80">
        <f>SUM(C42:C49)</f>
        <v>0.35300000000000004</v>
      </c>
      <c r="D50" s="81">
        <f>SUM(D42:D49)</f>
        <v>1135.5587799997998</v>
      </c>
    </row>
    <row r="51" spans="1:5" x14ac:dyDescent="0.25">
      <c r="A51" s="237" t="s">
        <v>266</v>
      </c>
      <c r="B51" s="238"/>
      <c r="C51" s="83" t="s">
        <v>267</v>
      </c>
      <c r="D51" s="68" t="s">
        <v>245</v>
      </c>
    </row>
    <row r="52" spans="1:5" x14ac:dyDescent="0.25">
      <c r="A52" s="42" t="s">
        <v>237</v>
      </c>
      <c r="B52" s="84" t="s">
        <v>268</v>
      </c>
      <c r="C52" s="172">
        <v>11</v>
      </c>
      <c r="D52" s="85">
        <f>IF((C52*22)-(D32*6%)&gt;0,(C52*22)-(D32*6%),0)</f>
        <v>118.71560000000002</v>
      </c>
      <c r="E52" s="70" t="s">
        <v>419</v>
      </c>
    </row>
    <row r="53" spans="1:5" x14ac:dyDescent="0.25">
      <c r="A53" s="42" t="s">
        <v>247</v>
      </c>
      <c r="B53" s="84" t="s">
        <v>269</v>
      </c>
      <c r="C53" s="173">
        <v>22.5</v>
      </c>
      <c r="D53" s="79">
        <f>(C53)*22</f>
        <v>495</v>
      </c>
      <c r="E53" s="70" t="s">
        <v>420</v>
      </c>
    </row>
    <row r="54" spans="1:5" x14ac:dyDescent="0.25">
      <c r="A54" s="224" t="s">
        <v>270</v>
      </c>
      <c r="B54" s="225"/>
      <c r="C54" s="86"/>
      <c r="D54" s="81">
        <f>SUM(D52:D53)</f>
        <v>613.71559999999999</v>
      </c>
    </row>
    <row r="55" spans="1:5" x14ac:dyDescent="0.25">
      <c r="A55" s="231" t="s">
        <v>271</v>
      </c>
      <c r="B55" s="232"/>
      <c r="C55" s="75" t="s">
        <v>272</v>
      </c>
      <c r="D55" s="68" t="s">
        <v>245</v>
      </c>
    </row>
    <row r="56" spans="1:5" x14ac:dyDescent="0.25">
      <c r="A56" s="42" t="s">
        <v>237</v>
      </c>
      <c r="B56" s="77" t="s">
        <v>273</v>
      </c>
      <c r="C56" s="87"/>
      <c r="D56" s="88">
        <f>(D34/220)*150%*0.5*C56</f>
        <v>0</v>
      </c>
    </row>
    <row r="57" spans="1:5" ht="15.75" thickBot="1" x14ac:dyDescent="0.3">
      <c r="A57" s="241" t="s">
        <v>274</v>
      </c>
      <c r="B57" s="242"/>
      <c r="C57" s="89"/>
      <c r="D57" s="90">
        <f>SUM(D56)</f>
        <v>0</v>
      </c>
    </row>
    <row r="58" spans="1:5" x14ac:dyDescent="0.25">
      <c r="A58" s="237" t="s">
        <v>275</v>
      </c>
      <c r="B58" s="238"/>
      <c r="C58" s="238"/>
      <c r="D58" s="243"/>
    </row>
    <row r="59" spans="1:5" ht="43.5" x14ac:dyDescent="0.25">
      <c r="A59" s="91" t="s">
        <v>276</v>
      </c>
      <c r="B59" s="244" t="s">
        <v>277</v>
      </c>
      <c r="C59" s="244"/>
      <c r="D59" s="69">
        <f>(D40)</f>
        <v>545.71839660000001</v>
      </c>
    </row>
    <row r="60" spans="1:5" ht="43.5" x14ac:dyDescent="0.25">
      <c r="A60" s="91" t="s">
        <v>278</v>
      </c>
      <c r="B60" s="244" t="s">
        <v>279</v>
      </c>
      <c r="C60" s="244"/>
      <c r="D60" s="69">
        <f>(D50)</f>
        <v>1135.5587799997998</v>
      </c>
    </row>
    <row r="61" spans="1:5" ht="43.5" x14ac:dyDescent="0.25">
      <c r="A61" s="91" t="s">
        <v>280</v>
      </c>
      <c r="B61" s="244" t="s">
        <v>281</v>
      </c>
      <c r="C61" s="244"/>
      <c r="D61" s="69">
        <f>(D54)</f>
        <v>613.71559999999999</v>
      </c>
    </row>
    <row r="62" spans="1:5" ht="29.25" x14ac:dyDescent="0.25">
      <c r="A62" s="91" t="s">
        <v>282</v>
      </c>
      <c r="B62" s="245" t="s">
        <v>283</v>
      </c>
      <c r="C62" s="246"/>
      <c r="D62" s="69">
        <f>D57</f>
        <v>0</v>
      </c>
    </row>
    <row r="63" spans="1:5" ht="15.75" thickBot="1" x14ac:dyDescent="0.3">
      <c r="A63" s="241" t="s">
        <v>284</v>
      </c>
      <c r="B63" s="242"/>
      <c r="C63" s="242"/>
      <c r="D63" s="73">
        <f>SUM(D59:D62)</f>
        <v>2294.9927765998</v>
      </c>
    </row>
    <row r="64" spans="1:5" ht="15.75" thickBot="1" x14ac:dyDescent="0.3">
      <c r="A64" s="92"/>
      <c r="B64" s="92"/>
      <c r="C64" s="92"/>
      <c r="D64" s="92"/>
    </row>
    <row r="65" spans="1:5" x14ac:dyDescent="0.25">
      <c r="A65" s="228" t="s">
        <v>285</v>
      </c>
      <c r="B65" s="229"/>
      <c r="C65" s="229"/>
      <c r="D65" s="230"/>
    </row>
    <row r="66" spans="1:5" x14ac:dyDescent="0.25">
      <c r="A66" s="237" t="s">
        <v>286</v>
      </c>
      <c r="B66" s="238"/>
      <c r="C66" s="75" t="s">
        <v>244</v>
      </c>
      <c r="D66" s="68" t="s">
        <v>245</v>
      </c>
    </row>
    <row r="67" spans="1:5" x14ac:dyDescent="0.25">
      <c r="A67" s="42" t="s">
        <v>237</v>
      </c>
      <c r="B67" s="93" t="s">
        <v>287</v>
      </c>
      <c r="C67" s="94">
        <v>4.1999999999999997E-3</v>
      </c>
      <c r="D67" s="88">
        <f t="shared" ref="D67:D72" si="1">($D$34)*(C67)</f>
        <v>11.218880399999998</v>
      </c>
    </row>
    <row r="68" spans="1:5" ht="28.5" x14ac:dyDescent="0.25">
      <c r="A68" s="42" t="s">
        <v>247</v>
      </c>
      <c r="B68" s="93" t="s">
        <v>288</v>
      </c>
      <c r="C68" s="95">
        <f>($C$49)*(C67)</f>
        <v>3.3599999999999998E-4</v>
      </c>
      <c r="D68" s="88">
        <f t="shared" si="1"/>
        <v>0.89751043199999991</v>
      </c>
    </row>
    <row r="69" spans="1:5" ht="28.5" x14ac:dyDescent="0.25">
      <c r="A69" s="42" t="s">
        <v>253</v>
      </c>
      <c r="B69" s="93" t="s">
        <v>289</v>
      </c>
      <c r="C69" s="95">
        <v>3.9199999999999999E-2</v>
      </c>
      <c r="D69" s="88">
        <f t="shared" si="1"/>
        <v>104.70955039999998</v>
      </c>
    </row>
    <row r="70" spans="1:5" ht="28.5" x14ac:dyDescent="0.25">
      <c r="A70" s="42" t="s">
        <v>255</v>
      </c>
      <c r="B70" s="93" t="s">
        <v>290</v>
      </c>
      <c r="C70" s="95">
        <v>1.9400000000000001E-2</v>
      </c>
      <c r="D70" s="88">
        <f t="shared" si="1"/>
        <v>51.820542799999998</v>
      </c>
    </row>
    <row r="71" spans="1:5" x14ac:dyDescent="0.25">
      <c r="A71" s="42" t="s">
        <v>257</v>
      </c>
      <c r="B71" s="93" t="s">
        <v>291</v>
      </c>
      <c r="C71" s="95">
        <f>($C$50)*(C70)</f>
        <v>6.8482000000000013E-3</v>
      </c>
      <c r="D71" s="88">
        <f t="shared" si="1"/>
        <v>18.292651608400003</v>
      </c>
    </row>
    <row r="72" spans="1:5" ht="28.5" x14ac:dyDescent="0.25">
      <c r="A72" s="42" t="s">
        <v>259</v>
      </c>
      <c r="B72" s="93" t="s">
        <v>292</v>
      </c>
      <c r="C72" s="95">
        <v>8.0000000000000004E-4</v>
      </c>
      <c r="D72" s="88">
        <f t="shared" si="1"/>
        <v>2.1369295999999998</v>
      </c>
    </row>
    <row r="73" spans="1:5" ht="15.75" thickBot="1" x14ac:dyDescent="0.3">
      <c r="A73" s="241" t="s">
        <v>293</v>
      </c>
      <c r="B73" s="242"/>
      <c r="C73" s="96">
        <f>SUM(C67:C72)</f>
        <v>7.0784199999999992E-2</v>
      </c>
      <c r="D73" s="73">
        <f>SUM(D67:D72)</f>
        <v>189.0760652404</v>
      </c>
    </row>
    <row r="74" spans="1:5" ht="15.75" thickBot="1" x14ac:dyDescent="0.3">
      <c r="A74" s="92"/>
      <c r="B74" s="97"/>
      <c r="C74" s="97"/>
      <c r="D74" s="97"/>
    </row>
    <row r="75" spans="1:5" x14ac:dyDescent="0.25">
      <c r="A75" s="228" t="s">
        <v>294</v>
      </c>
      <c r="B75" s="229"/>
      <c r="C75" s="229"/>
      <c r="D75" s="230"/>
    </row>
    <row r="76" spans="1:5" x14ac:dyDescent="0.25">
      <c r="A76" s="231" t="s">
        <v>295</v>
      </c>
      <c r="B76" s="232"/>
      <c r="C76" s="75" t="s">
        <v>244</v>
      </c>
      <c r="D76" s="68" t="s">
        <v>245</v>
      </c>
    </row>
    <row r="77" spans="1:5" x14ac:dyDescent="0.25">
      <c r="A77" s="42" t="s">
        <v>237</v>
      </c>
      <c r="B77" s="77" t="s">
        <v>296</v>
      </c>
      <c r="C77" s="95">
        <v>0</v>
      </c>
      <c r="D77" s="88">
        <f>($D$34+$D$40+$D$50+$D$54+$D$73)*(C77)</f>
        <v>0</v>
      </c>
      <c r="E77" s="74"/>
    </row>
    <row r="78" spans="1:5" x14ac:dyDescent="0.25">
      <c r="A78" s="42" t="s">
        <v>247</v>
      </c>
      <c r="B78" s="77" t="s">
        <v>297</v>
      </c>
      <c r="C78" s="95">
        <v>2.3999999999999998E-3</v>
      </c>
      <c r="D78" s="88">
        <f>($D$34+$D$40+$D$50+$D$54+$D$73)*(C78)</f>
        <v>12.372554020416475</v>
      </c>
    </row>
    <row r="79" spans="1:5" x14ac:dyDescent="0.25">
      <c r="A79" s="42" t="s">
        <v>253</v>
      </c>
      <c r="B79" s="77" t="s">
        <v>298</v>
      </c>
      <c r="C79" s="95">
        <v>1E-3</v>
      </c>
      <c r="D79" s="88">
        <f>($D$34+$D$40+$D$50+$D$54+$D$73)*(C79)</f>
        <v>5.155230841840198</v>
      </c>
    </row>
    <row r="80" spans="1:5" x14ac:dyDescent="0.25">
      <c r="A80" s="42" t="s">
        <v>255</v>
      </c>
      <c r="B80" s="77" t="s">
        <v>299</v>
      </c>
      <c r="C80" s="95">
        <v>1.6999999999999999E-3</v>
      </c>
      <c r="D80" s="88">
        <f>($D$34+$D$40+$D$50+$D$54+$D$73)*(C80)</f>
        <v>8.7638924311283368</v>
      </c>
    </row>
    <row r="81" spans="1:5" x14ac:dyDescent="0.25">
      <c r="A81" s="42" t="s">
        <v>257</v>
      </c>
      <c r="B81" s="93" t="s">
        <v>300</v>
      </c>
      <c r="C81" s="95">
        <v>5.0000000000000001E-4</v>
      </c>
      <c r="D81" s="88">
        <f>($D$34+$D$40+$D$50+$D$54+$D$73)*(C81)</f>
        <v>2.577615420920099</v>
      </c>
    </row>
    <row r="82" spans="1:5" x14ac:dyDescent="0.25">
      <c r="A82" s="224" t="s">
        <v>301</v>
      </c>
      <c r="B82" s="225"/>
      <c r="C82" s="98">
        <f>SUM(C77:C81)</f>
        <v>5.5999999999999991E-3</v>
      </c>
      <c r="D82" s="99">
        <f>SUM(D77:D81)</f>
        <v>28.869292714305111</v>
      </c>
    </row>
    <row r="83" spans="1:5" x14ac:dyDescent="0.25">
      <c r="A83" s="231" t="s">
        <v>302</v>
      </c>
      <c r="B83" s="232"/>
      <c r="C83" s="75"/>
      <c r="D83" s="68" t="s">
        <v>245</v>
      </c>
    </row>
    <row r="84" spans="1:5" x14ac:dyDescent="0.25">
      <c r="A84" s="42" t="s">
        <v>237</v>
      </c>
      <c r="B84" s="77" t="s">
        <v>303</v>
      </c>
      <c r="C84" s="87"/>
      <c r="D84" s="88">
        <f>(D62/220)*150%*0.5*C84</f>
        <v>0</v>
      </c>
    </row>
    <row r="85" spans="1:5" ht="15.75" thickBot="1" x14ac:dyDescent="0.3">
      <c r="A85" s="241" t="s">
        <v>304</v>
      </c>
      <c r="B85" s="242"/>
      <c r="C85" s="89"/>
      <c r="D85" s="90">
        <f>SUM(D84)</f>
        <v>0</v>
      </c>
    </row>
    <row r="86" spans="1:5" x14ac:dyDescent="0.25">
      <c r="A86" s="249" t="s">
        <v>305</v>
      </c>
      <c r="B86" s="250"/>
      <c r="C86" s="250"/>
      <c r="D86" s="251"/>
    </row>
    <row r="87" spans="1:5" ht="43.5" x14ac:dyDescent="0.25">
      <c r="A87" s="91" t="s">
        <v>306</v>
      </c>
      <c r="B87" s="252" t="s">
        <v>307</v>
      </c>
      <c r="C87" s="253"/>
      <c r="D87" s="69">
        <f>(D82)</f>
        <v>28.869292714305111</v>
      </c>
    </row>
    <row r="88" spans="1:5" x14ac:dyDescent="0.25">
      <c r="A88" s="100" t="s">
        <v>308</v>
      </c>
      <c r="B88" s="245" t="s">
        <v>303</v>
      </c>
      <c r="C88" s="246"/>
      <c r="D88" s="88">
        <f>D85</f>
        <v>0</v>
      </c>
    </row>
    <row r="89" spans="1:5" ht="15.75" thickBot="1" x14ac:dyDescent="0.3">
      <c r="A89" s="241" t="s">
        <v>309</v>
      </c>
      <c r="B89" s="242"/>
      <c r="C89" s="248"/>
      <c r="D89" s="73">
        <f>SUM(D87:D88)</f>
        <v>28.869292714305111</v>
      </c>
    </row>
    <row r="90" spans="1:5" ht="15.75" thickBot="1" x14ac:dyDescent="0.3">
      <c r="A90" s="92"/>
      <c r="B90" s="92"/>
      <c r="C90" s="92"/>
      <c r="D90" s="92"/>
    </row>
    <row r="91" spans="1:5" x14ac:dyDescent="0.25">
      <c r="A91" s="228" t="s">
        <v>310</v>
      </c>
      <c r="B91" s="229"/>
      <c r="C91" s="229"/>
      <c r="D91" s="230"/>
    </row>
    <row r="92" spans="1:5" x14ac:dyDescent="0.25">
      <c r="A92" s="237" t="s">
        <v>311</v>
      </c>
      <c r="B92" s="238"/>
      <c r="C92" s="238"/>
      <c r="D92" s="68" t="s">
        <v>245</v>
      </c>
    </row>
    <row r="93" spans="1:5" x14ac:dyDescent="0.25">
      <c r="A93" s="42" t="s">
        <v>237</v>
      </c>
      <c r="B93" s="101" t="s">
        <v>312</v>
      </c>
      <c r="C93" s="102"/>
      <c r="D93" s="164">
        <f>MATERIAL_FERRAMENTAL!$H$17</f>
        <v>69.944999999999993</v>
      </c>
      <c r="E93" s="247"/>
    </row>
    <row r="94" spans="1:5" x14ac:dyDescent="0.25">
      <c r="A94" s="42" t="s">
        <v>247</v>
      </c>
      <c r="B94" s="101" t="s">
        <v>313</v>
      </c>
      <c r="C94" s="102"/>
      <c r="D94" s="79">
        <f>MATERIAL_FERRAMENTAL!$H$60</f>
        <v>59.17</v>
      </c>
      <c r="E94" s="247"/>
    </row>
    <row r="95" spans="1:5" x14ac:dyDescent="0.25">
      <c r="A95" s="42" t="s">
        <v>253</v>
      </c>
      <c r="B95" s="101" t="s">
        <v>314</v>
      </c>
      <c r="C95" s="102"/>
      <c r="D95" s="79">
        <f>MATERIAL_FERRAMENTAL!$H$68</f>
        <v>106.88</v>
      </c>
      <c r="E95" s="247"/>
    </row>
    <row r="96" spans="1:5" x14ac:dyDescent="0.25">
      <c r="A96" s="42" t="s">
        <v>315</v>
      </c>
      <c r="B96" s="101" t="s">
        <v>98</v>
      </c>
      <c r="C96" s="102"/>
      <c r="D96" s="79">
        <f>MATERIAL_FERRAMENTAL!$H$79</f>
        <v>43.250000000000007</v>
      </c>
      <c r="E96" s="247"/>
    </row>
    <row r="97" spans="1:5" ht="15.75" thickBot="1" x14ac:dyDescent="0.3">
      <c r="A97" s="241" t="s">
        <v>316</v>
      </c>
      <c r="B97" s="248"/>
      <c r="C97" s="103">
        <f>C93</f>
        <v>0</v>
      </c>
      <c r="D97" s="73">
        <f>SUM(D93:D95)</f>
        <v>235.995</v>
      </c>
    </row>
    <row r="98" spans="1:5" ht="15.75" thickBot="1" x14ac:dyDescent="0.3">
      <c r="A98" s="104"/>
      <c r="B98" s="105"/>
      <c r="C98" s="105"/>
      <c r="D98" s="106"/>
    </row>
    <row r="99" spans="1:5" x14ac:dyDescent="0.25">
      <c r="A99" s="254" t="s">
        <v>317</v>
      </c>
      <c r="B99" s="255"/>
      <c r="C99" s="255"/>
      <c r="D99" s="256"/>
    </row>
    <row r="100" spans="1:5" x14ac:dyDescent="0.25">
      <c r="A100" s="257" t="s">
        <v>318</v>
      </c>
      <c r="B100" s="258"/>
      <c r="C100" s="75" t="s">
        <v>244</v>
      </c>
      <c r="D100" s="107" t="s">
        <v>245</v>
      </c>
    </row>
    <row r="101" spans="1:5" x14ac:dyDescent="0.25">
      <c r="A101" s="42" t="s">
        <v>237</v>
      </c>
      <c r="B101" s="108" t="s">
        <v>319</v>
      </c>
      <c r="C101" s="78">
        <v>0.05</v>
      </c>
      <c r="D101" s="88">
        <f>(D34+D63+D73+D89+D97)*C101</f>
        <v>271.00475672772524</v>
      </c>
      <c r="E101" s="109"/>
    </row>
    <row r="102" spans="1:5" x14ac:dyDescent="0.25">
      <c r="A102" s="42" t="s">
        <v>247</v>
      </c>
      <c r="B102" s="108" t="s">
        <v>320</v>
      </c>
      <c r="C102" s="78">
        <v>0.1</v>
      </c>
      <c r="D102" s="88">
        <f>(D34+D63+D73+D89+D97+D101)*C102</f>
        <v>569.10998912822299</v>
      </c>
      <c r="E102" s="109"/>
    </row>
    <row r="103" spans="1:5" x14ac:dyDescent="0.25">
      <c r="A103" s="259" t="s">
        <v>253</v>
      </c>
      <c r="B103" s="82" t="s">
        <v>321</v>
      </c>
      <c r="C103" s="110">
        <f>C104+C105+C108</f>
        <v>8.6499999999999994E-2</v>
      </c>
      <c r="D103" s="111"/>
      <c r="E103" s="112"/>
    </row>
    <row r="104" spans="1:5" x14ac:dyDescent="0.25">
      <c r="A104" s="259"/>
      <c r="B104" s="113" t="s">
        <v>322</v>
      </c>
      <c r="C104" s="78">
        <v>0.03</v>
      </c>
      <c r="D104" s="88">
        <f>((D34+D63+D73+D89+D97+D101+D102)/(1-C103))*C104</f>
        <v>205.58981544861913</v>
      </c>
      <c r="E104" s="112"/>
    </row>
    <row r="105" spans="1:5" x14ac:dyDescent="0.25">
      <c r="A105" s="259"/>
      <c r="B105" s="113" t="s">
        <v>323</v>
      </c>
      <c r="C105" s="78">
        <v>6.4999999999999997E-3</v>
      </c>
      <c r="D105" s="88">
        <f>((D34+D63+D73+D89+D97+D101+D102)/(1-C103))*C105</f>
        <v>44.544460013867479</v>
      </c>
      <c r="E105" s="112"/>
    </row>
    <row r="106" spans="1:5" x14ac:dyDescent="0.25">
      <c r="A106" s="259"/>
      <c r="B106" s="82" t="s">
        <v>324</v>
      </c>
      <c r="C106" s="114"/>
      <c r="D106" s="88"/>
    </row>
    <row r="107" spans="1:5" x14ac:dyDescent="0.25">
      <c r="A107" s="259"/>
      <c r="B107" s="82" t="s">
        <v>325</v>
      </c>
      <c r="C107" s="114"/>
      <c r="D107" s="88"/>
      <c r="E107" s="39" t="s">
        <v>412</v>
      </c>
    </row>
    <row r="108" spans="1:5" ht="15.75" thickBot="1" x14ac:dyDescent="0.3">
      <c r="A108" s="259"/>
      <c r="B108" s="113" t="s">
        <v>326</v>
      </c>
      <c r="C108" s="78">
        <v>0.05</v>
      </c>
      <c r="D108" s="88">
        <f>((D34+D63+D73+D89+D97+D101+D102)/(1-C103))*C108</f>
        <v>342.64969241436529</v>
      </c>
      <c r="E108" s="74">
        <f>D102/(44*4)</f>
        <v>3.2335794836830853</v>
      </c>
    </row>
    <row r="109" spans="1:5" ht="15.75" thickBot="1" x14ac:dyDescent="0.3">
      <c r="A109" s="241" t="s">
        <v>327</v>
      </c>
      <c r="B109" s="242"/>
      <c r="C109" s="115">
        <f>C101+C102+C104+C105+C108</f>
        <v>0.23650000000000004</v>
      </c>
      <c r="D109" s="121">
        <f>ROUND(D101+D102+D104+D105+D108,2)</f>
        <v>1432.9</v>
      </c>
      <c r="E109" s="39" t="s">
        <v>413</v>
      </c>
    </row>
    <row r="110" spans="1:5" ht="15.75" thickBot="1" x14ac:dyDescent="0.3">
      <c r="A110" s="92"/>
      <c r="B110" s="92"/>
      <c r="C110" s="92"/>
      <c r="D110" s="92"/>
      <c r="E110" s="74">
        <f>E108*48</f>
        <v>155.2118152167881</v>
      </c>
    </row>
    <row r="111" spans="1:5" x14ac:dyDescent="0.25">
      <c r="A111" s="228" t="s">
        <v>328</v>
      </c>
      <c r="B111" s="229"/>
      <c r="C111" s="229"/>
      <c r="D111" s="230"/>
    </row>
    <row r="112" spans="1:5" x14ac:dyDescent="0.25">
      <c r="A112" s="237" t="s">
        <v>329</v>
      </c>
      <c r="B112" s="238"/>
      <c r="C112" s="238"/>
      <c r="D112" s="116" t="s">
        <v>245</v>
      </c>
    </row>
    <row r="113" spans="1:5" x14ac:dyDescent="0.25">
      <c r="A113" s="42" t="s">
        <v>237</v>
      </c>
      <c r="B113" s="263" t="s">
        <v>330</v>
      </c>
      <c r="C113" s="264"/>
      <c r="D113" s="117">
        <f>(D34)</f>
        <v>2671.1619999999998</v>
      </c>
    </row>
    <row r="114" spans="1:5" x14ac:dyDescent="0.25">
      <c r="A114" s="42" t="s">
        <v>247</v>
      </c>
      <c r="B114" s="263" t="s">
        <v>331</v>
      </c>
      <c r="C114" s="264"/>
      <c r="D114" s="88">
        <f>(D63)</f>
        <v>2294.9927765998</v>
      </c>
    </row>
    <row r="115" spans="1:5" x14ac:dyDescent="0.25">
      <c r="A115" s="42" t="s">
        <v>253</v>
      </c>
      <c r="B115" s="263" t="s">
        <v>332</v>
      </c>
      <c r="C115" s="264"/>
      <c r="D115" s="88">
        <f>(D73)</f>
        <v>189.0760652404</v>
      </c>
    </row>
    <row r="116" spans="1:5" x14ac:dyDescent="0.25">
      <c r="A116" s="42" t="s">
        <v>255</v>
      </c>
      <c r="B116" s="263" t="s">
        <v>333</v>
      </c>
      <c r="C116" s="264"/>
      <c r="D116" s="88">
        <f>(D89)</f>
        <v>28.869292714305111</v>
      </c>
    </row>
    <row r="117" spans="1:5" x14ac:dyDescent="0.25">
      <c r="A117" s="42" t="s">
        <v>257</v>
      </c>
      <c r="B117" s="263" t="s">
        <v>334</v>
      </c>
      <c r="C117" s="264"/>
      <c r="D117" s="88">
        <f>D97</f>
        <v>235.995</v>
      </c>
    </row>
    <row r="118" spans="1:5" x14ac:dyDescent="0.25">
      <c r="A118" s="265" t="s">
        <v>335</v>
      </c>
      <c r="B118" s="266"/>
      <c r="C118" s="267"/>
      <c r="D118" s="118">
        <f>SUM(D113:D117)</f>
        <v>5420.0951345545045</v>
      </c>
      <c r="E118" s="74"/>
    </row>
    <row r="119" spans="1:5" ht="15.75" thickBot="1" x14ac:dyDescent="0.3">
      <c r="A119" s="119" t="s">
        <v>259</v>
      </c>
      <c r="B119" s="260" t="s">
        <v>336</v>
      </c>
      <c r="C119" s="260"/>
      <c r="D119" s="120">
        <f>(D109)</f>
        <v>1432.9</v>
      </c>
    </row>
    <row r="120" spans="1:5" ht="15.75" thickBot="1" x14ac:dyDescent="0.3">
      <c r="A120" s="261" t="s">
        <v>337</v>
      </c>
      <c r="B120" s="262"/>
      <c r="C120" s="262"/>
      <c r="D120" s="121">
        <f>ROUND(D118+D119,2)</f>
        <v>6853</v>
      </c>
    </row>
    <row r="121" spans="1:5" ht="15.75" thickBot="1" x14ac:dyDescent="0.3">
      <c r="A121" s="261" t="s">
        <v>338</v>
      </c>
      <c r="B121" s="262"/>
      <c r="C121" s="262"/>
      <c r="D121" s="121">
        <f>D120/(44*4)</f>
        <v>38.9375</v>
      </c>
    </row>
    <row r="122" spans="1:5" x14ac:dyDescent="0.25">
      <c r="D122" s="58"/>
    </row>
    <row r="123" spans="1:5" x14ac:dyDescent="0.25">
      <c r="D123" s="58"/>
    </row>
    <row r="124" spans="1:5" x14ac:dyDescent="0.25">
      <c r="D124" s="58"/>
    </row>
    <row r="125" spans="1:5" x14ac:dyDescent="0.25">
      <c r="C125" s="122"/>
    </row>
  </sheetData>
  <mergeCells count="74">
    <mergeCell ref="B119:C119"/>
    <mergeCell ref="A120:C120"/>
    <mergeCell ref="A121:C121"/>
    <mergeCell ref="B113:C113"/>
    <mergeCell ref="B114:C114"/>
    <mergeCell ref="B115:C115"/>
    <mergeCell ref="B116:C116"/>
    <mergeCell ref="B117:C117"/>
    <mergeCell ref="A118:C118"/>
    <mergeCell ref="A112:C112"/>
    <mergeCell ref="B88:C88"/>
    <mergeCell ref="A89:C89"/>
    <mergeCell ref="A91:D91"/>
    <mergeCell ref="A92:C92"/>
    <mergeCell ref="A99:D99"/>
    <mergeCell ref="A100:B100"/>
    <mergeCell ref="A103:A108"/>
    <mergeCell ref="A109:B109"/>
    <mergeCell ref="A111:D111"/>
    <mergeCell ref="E93:E96"/>
    <mergeCell ref="A97:B97"/>
    <mergeCell ref="A76:B76"/>
    <mergeCell ref="A82:B82"/>
    <mergeCell ref="A83:B83"/>
    <mergeCell ref="A85:B85"/>
    <mergeCell ref="A86:D86"/>
    <mergeCell ref="B87:C87"/>
    <mergeCell ref="A75:D75"/>
    <mergeCell ref="A55:B55"/>
    <mergeCell ref="A57:B57"/>
    <mergeCell ref="A58:D58"/>
    <mergeCell ref="B59:C59"/>
    <mergeCell ref="B60:C60"/>
    <mergeCell ref="B61:C61"/>
    <mergeCell ref="B62:C62"/>
    <mergeCell ref="A63:C63"/>
    <mergeCell ref="A65:D65"/>
    <mergeCell ref="A66:B66"/>
    <mergeCell ref="A73:B73"/>
    <mergeCell ref="A54:B54"/>
    <mergeCell ref="B28:C28"/>
    <mergeCell ref="A30:D30"/>
    <mergeCell ref="A31:C31"/>
    <mergeCell ref="B32:C32"/>
    <mergeCell ref="A34:C34"/>
    <mergeCell ref="A36:D36"/>
    <mergeCell ref="A37:B37"/>
    <mergeCell ref="A40:B40"/>
    <mergeCell ref="A41:B41"/>
    <mergeCell ref="A50:B50"/>
    <mergeCell ref="A51:B51"/>
    <mergeCell ref="B27:C27"/>
    <mergeCell ref="C13:D13"/>
    <mergeCell ref="B14:C14"/>
    <mergeCell ref="B16:C16"/>
    <mergeCell ref="B17:C17"/>
    <mergeCell ref="A20:D20"/>
    <mergeCell ref="B21:C21"/>
    <mergeCell ref="B22:C22"/>
    <mergeCell ref="B23:C23"/>
    <mergeCell ref="B24:C24"/>
    <mergeCell ref="B25:C25"/>
    <mergeCell ref="B26:C26"/>
    <mergeCell ref="A12:D12"/>
    <mergeCell ref="A1:D1"/>
    <mergeCell ref="A2:D2"/>
    <mergeCell ref="A3:D3"/>
    <mergeCell ref="A4:D4"/>
    <mergeCell ref="A5:D5"/>
    <mergeCell ref="A6:D6"/>
    <mergeCell ref="C7:D7"/>
    <mergeCell ref="C8:D8"/>
    <mergeCell ref="C9:D9"/>
    <mergeCell ref="C10:D10"/>
  </mergeCells>
  <pageMargins left="0.511811024" right="0.511811024" top="0.78740157499999996" bottom="0.78740157499999996" header="0.31496062000000002" footer="0.31496062000000002"/>
  <pageSetup paperSize="9" scale="81" orientation="portrait" r:id="rId1"/>
  <rowBreaks count="2" manualBreakCount="2">
    <brk id="58" max="4" man="1"/>
    <brk id="98" max="16383" man="1"/>
  </rowBreaks>
  <colBreaks count="1" manualBreakCount="1">
    <brk id="4" max="120" man="1"/>
  </colBreak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4BA958-9178-42E4-8B18-9186E51922B2}">
  <dimension ref="A1:E123"/>
  <sheetViews>
    <sheetView showGridLines="0" tabSelected="1" topLeftCell="A88" zoomScaleNormal="100" workbookViewId="0">
      <selection activeCell="F46" sqref="F46"/>
    </sheetView>
  </sheetViews>
  <sheetFormatPr defaultRowHeight="15" x14ac:dyDescent="0.25"/>
  <cols>
    <col min="1" max="1" width="3.85546875" style="48" customWidth="1"/>
    <col min="2" max="2" width="70.7109375" style="57" customWidth="1"/>
    <col min="3" max="3" width="14.7109375" style="48" customWidth="1"/>
    <col min="4" max="4" width="23.7109375" style="123" customWidth="1"/>
    <col min="5" max="5" width="100" style="39" customWidth="1"/>
  </cols>
  <sheetData>
    <row r="1" spans="1:5" ht="16.5" thickBot="1" x14ac:dyDescent="0.3">
      <c r="A1" s="200" t="s">
        <v>181</v>
      </c>
      <c r="B1" s="201"/>
      <c r="C1" s="201"/>
      <c r="D1" s="202"/>
    </row>
    <row r="2" spans="1:5" ht="15.75" x14ac:dyDescent="0.25">
      <c r="A2" s="203" t="s">
        <v>182</v>
      </c>
      <c r="B2" s="203"/>
      <c r="C2" s="203"/>
      <c r="D2" s="203"/>
    </row>
    <row r="3" spans="1:5" ht="15.75" x14ac:dyDescent="0.25">
      <c r="A3" s="203" t="s">
        <v>183</v>
      </c>
      <c r="B3" s="203"/>
      <c r="C3" s="203"/>
      <c r="D3" s="203"/>
    </row>
    <row r="4" spans="1:5" ht="15.75" thickBot="1" x14ac:dyDescent="0.3">
      <c r="A4" s="204"/>
      <c r="B4" s="204"/>
      <c r="C4" s="204"/>
      <c r="D4" s="204"/>
    </row>
    <row r="5" spans="1:5" ht="16.5" thickBot="1" x14ac:dyDescent="0.3">
      <c r="A5" s="200" t="s">
        <v>184</v>
      </c>
      <c r="B5" s="201"/>
      <c r="C5" s="201"/>
      <c r="D5" s="202"/>
    </row>
    <row r="6" spans="1:5" ht="15.75" thickBot="1" x14ac:dyDescent="0.3">
      <c r="A6" s="197" t="s">
        <v>185</v>
      </c>
      <c r="B6" s="198"/>
      <c r="C6" s="205"/>
      <c r="D6" s="206"/>
    </row>
    <row r="7" spans="1:5" x14ac:dyDescent="0.25">
      <c r="A7" s="40" t="s">
        <v>186</v>
      </c>
      <c r="B7" s="41" t="s">
        <v>187</v>
      </c>
      <c r="C7" s="207" t="s">
        <v>188</v>
      </c>
      <c r="D7" s="208"/>
    </row>
    <row r="8" spans="1:5" x14ac:dyDescent="0.25">
      <c r="A8" s="42" t="s">
        <v>189</v>
      </c>
      <c r="B8" s="43" t="s">
        <v>190</v>
      </c>
      <c r="C8" s="209" t="s">
        <v>415</v>
      </c>
      <c r="D8" s="210"/>
    </row>
    <row r="9" spans="1:5" x14ac:dyDescent="0.25">
      <c r="A9" s="42" t="s">
        <v>191</v>
      </c>
      <c r="B9" s="43" t="s">
        <v>192</v>
      </c>
      <c r="C9" s="211">
        <v>45075</v>
      </c>
      <c r="D9" s="212"/>
    </row>
    <row r="10" spans="1:5" ht="15.75" thickBot="1" x14ac:dyDescent="0.3">
      <c r="A10" s="44" t="s">
        <v>193</v>
      </c>
      <c r="B10" s="45" t="s">
        <v>194</v>
      </c>
      <c r="C10" s="213">
        <v>0.45833333333333331</v>
      </c>
      <c r="D10" s="214"/>
    </row>
    <row r="11" spans="1:5" ht="15.75" thickBot="1" x14ac:dyDescent="0.3">
      <c r="A11" s="46"/>
      <c r="B11" s="47"/>
      <c r="D11" s="49"/>
    </row>
    <row r="12" spans="1:5" ht="15.75" thickBot="1" x14ac:dyDescent="0.3">
      <c r="A12" s="197" t="s">
        <v>195</v>
      </c>
      <c r="B12" s="198"/>
      <c r="C12" s="198"/>
      <c r="D12" s="199"/>
    </row>
    <row r="13" spans="1:5" x14ac:dyDescent="0.25">
      <c r="A13" s="40" t="s">
        <v>196</v>
      </c>
      <c r="B13" s="41" t="s">
        <v>197</v>
      </c>
      <c r="C13" s="217"/>
      <c r="D13" s="218"/>
    </row>
    <row r="14" spans="1:5" x14ac:dyDescent="0.25">
      <c r="A14" s="42" t="s">
        <v>198</v>
      </c>
      <c r="B14" s="219" t="s">
        <v>199</v>
      </c>
      <c r="C14" s="219"/>
      <c r="D14" s="50" t="s">
        <v>200</v>
      </c>
    </row>
    <row r="15" spans="1:5" x14ac:dyDescent="0.25">
      <c r="A15" s="42" t="s">
        <v>201</v>
      </c>
      <c r="B15" s="43" t="s">
        <v>202</v>
      </c>
      <c r="C15" s="51" t="s">
        <v>203</v>
      </c>
      <c r="D15" s="50" t="s">
        <v>204</v>
      </c>
      <c r="E15" s="52"/>
    </row>
    <row r="16" spans="1:5" ht="28.5" x14ac:dyDescent="0.25">
      <c r="A16" s="42" t="s">
        <v>205</v>
      </c>
      <c r="B16" s="219" t="s">
        <v>206</v>
      </c>
      <c r="C16" s="219"/>
      <c r="D16" s="53" t="s">
        <v>207</v>
      </c>
    </row>
    <row r="17" spans="1:5" x14ac:dyDescent="0.25">
      <c r="A17" s="42" t="s">
        <v>208</v>
      </c>
      <c r="B17" s="219" t="s">
        <v>209</v>
      </c>
      <c r="C17" s="219"/>
      <c r="D17" s="50" t="s">
        <v>210</v>
      </c>
    </row>
    <row r="18" spans="1:5" ht="15.75" thickBot="1" x14ac:dyDescent="0.3">
      <c r="A18" s="44" t="s">
        <v>211</v>
      </c>
      <c r="B18" s="54" t="s">
        <v>212</v>
      </c>
      <c r="C18" s="55" t="s">
        <v>213</v>
      </c>
      <c r="D18" s="56">
        <v>1320</v>
      </c>
    </row>
    <row r="19" spans="1:5" ht="15.75" thickBot="1" x14ac:dyDescent="0.3">
      <c r="D19" s="58"/>
    </row>
    <row r="20" spans="1:5" ht="15.75" thickBot="1" x14ac:dyDescent="0.3">
      <c r="A20" s="220" t="s">
        <v>214</v>
      </c>
      <c r="B20" s="221"/>
      <c r="C20" s="221"/>
      <c r="D20" s="222"/>
      <c r="E20" s="59" t="s">
        <v>215</v>
      </c>
    </row>
    <row r="21" spans="1:5" ht="30" x14ac:dyDescent="0.25">
      <c r="A21" s="40" t="s">
        <v>216</v>
      </c>
      <c r="B21" s="223" t="s">
        <v>217</v>
      </c>
      <c r="C21" s="223"/>
      <c r="D21" s="60" t="s">
        <v>339</v>
      </c>
    </row>
    <row r="22" spans="1:5" x14ac:dyDescent="0.25">
      <c r="A22" s="42" t="s">
        <v>219</v>
      </c>
      <c r="B22" s="215" t="s">
        <v>220</v>
      </c>
      <c r="C22" s="215"/>
      <c r="D22" s="61" t="s">
        <v>340</v>
      </c>
    </row>
    <row r="23" spans="1:5" x14ac:dyDescent="0.25">
      <c r="A23" s="42" t="s">
        <v>221</v>
      </c>
      <c r="B23" s="215" t="s">
        <v>222</v>
      </c>
      <c r="C23" s="215"/>
      <c r="D23" s="174">
        <v>10302</v>
      </c>
      <c r="E23" s="70" t="s">
        <v>421</v>
      </c>
    </row>
    <row r="24" spans="1:5" x14ac:dyDescent="0.25">
      <c r="A24" s="42" t="s">
        <v>223</v>
      </c>
      <c r="B24" s="215" t="s">
        <v>224</v>
      </c>
      <c r="C24" s="215"/>
      <c r="D24" s="170" t="s">
        <v>422</v>
      </c>
      <c r="E24" s="70" t="s">
        <v>423</v>
      </c>
    </row>
    <row r="25" spans="1:5" x14ac:dyDescent="0.25">
      <c r="A25" s="42" t="s">
        <v>225</v>
      </c>
      <c r="B25" s="215" t="s">
        <v>226</v>
      </c>
      <c r="C25" s="215"/>
      <c r="D25" s="171">
        <v>44865</v>
      </c>
    </row>
    <row r="26" spans="1:5" x14ac:dyDescent="0.25">
      <c r="A26" s="42" t="s">
        <v>227</v>
      </c>
      <c r="B26" s="215" t="s">
        <v>228</v>
      </c>
      <c r="C26" s="215"/>
      <c r="D26" s="62">
        <v>44682</v>
      </c>
    </row>
    <row r="27" spans="1:5" x14ac:dyDescent="0.25">
      <c r="A27" s="42" t="s">
        <v>229</v>
      </c>
      <c r="B27" s="215" t="s">
        <v>230</v>
      </c>
      <c r="C27" s="216"/>
      <c r="D27" s="62" t="s">
        <v>231</v>
      </c>
      <c r="E27" s="70" t="s">
        <v>424</v>
      </c>
    </row>
    <row r="28" spans="1:5" ht="15.75" thickBot="1" x14ac:dyDescent="0.3">
      <c r="A28" s="44" t="s">
        <v>232</v>
      </c>
      <c r="B28" s="226" t="s">
        <v>233</v>
      </c>
      <c r="C28" s="227"/>
      <c r="D28" s="64">
        <v>1</v>
      </c>
      <c r="E28" s="52"/>
    </row>
    <row r="29" spans="1:5" ht="15.75" thickBot="1" x14ac:dyDescent="0.3">
      <c r="A29" s="65"/>
      <c r="B29" s="66"/>
      <c r="C29" s="66"/>
      <c r="D29" s="67"/>
    </row>
    <row r="30" spans="1:5" x14ac:dyDescent="0.25">
      <c r="A30" s="228" t="s">
        <v>234</v>
      </c>
      <c r="B30" s="229"/>
      <c r="C30" s="229"/>
      <c r="D30" s="230"/>
    </row>
    <row r="31" spans="1:5" x14ac:dyDescent="0.25">
      <c r="A31" s="231" t="s">
        <v>235</v>
      </c>
      <c r="B31" s="232"/>
      <c r="C31" s="233"/>
      <c r="D31" s="68" t="s">
        <v>236</v>
      </c>
    </row>
    <row r="32" spans="1:5" x14ac:dyDescent="0.25">
      <c r="A32" s="42" t="s">
        <v>237</v>
      </c>
      <c r="B32" s="234" t="s">
        <v>238</v>
      </c>
      <c r="C32" s="234"/>
      <c r="D32" s="69">
        <f>D23</f>
        <v>10302</v>
      </c>
      <c r="E32" s="70"/>
    </row>
    <row r="33" spans="1:5" ht="15.75" thickBot="1" x14ac:dyDescent="0.3">
      <c r="A33" s="235" t="s">
        <v>241</v>
      </c>
      <c r="B33" s="236"/>
      <c r="C33" s="236"/>
      <c r="D33" s="73">
        <f>SUM(D32:D32)</f>
        <v>10302</v>
      </c>
      <c r="E33" s="74"/>
    </row>
    <row r="34" spans="1:5" ht="15.75" thickBot="1" x14ac:dyDescent="0.3">
      <c r="A34" s="57"/>
      <c r="C34" s="57"/>
      <c r="D34" s="57"/>
    </row>
    <row r="35" spans="1:5" x14ac:dyDescent="0.25">
      <c r="A35" s="228" t="s">
        <v>242</v>
      </c>
      <c r="B35" s="229"/>
      <c r="C35" s="229"/>
      <c r="D35" s="230"/>
    </row>
    <row r="36" spans="1:5" x14ac:dyDescent="0.25">
      <c r="A36" s="237" t="s">
        <v>243</v>
      </c>
      <c r="B36" s="238"/>
      <c r="C36" s="75" t="s">
        <v>244</v>
      </c>
      <c r="D36" s="76" t="s">
        <v>245</v>
      </c>
    </row>
    <row r="37" spans="1:5" x14ac:dyDescent="0.25">
      <c r="A37" s="42" t="s">
        <v>237</v>
      </c>
      <c r="B37" s="77" t="s">
        <v>246</v>
      </c>
      <c r="C37" s="78">
        <v>8.3299999999999999E-2</v>
      </c>
      <c r="D37" s="79">
        <f>(D33)*($C$37)</f>
        <v>858.15660000000003</v>
      </c>
    </row>
    <row r="38" spans="1:5" x14ac:dyDescent="0.25">
      <c r="A38" s="42" t="s">
        <v>247</v>
      </c>
      <c r="B38" s="77" t="s">
        <v>248</v>
      </c>
      <c r="C38" s="78">
        <v>0.121</v>
      </c>
      <c r="D38" s="79">
        <f>(D33)*($C$38)</f>
        <v>1246.5419999999999</v>
      </c>
      <c r="E38" s="74"/>
    </row>
    <row r="39" spans="1:5" x14ac:dyDescent="0.25">
      <c r="A39" s="239" t="s">
        <v>249</v>
      </c>
      <c r="B39" s="240"/>
      <c r="C39" s="80">
        <f>SUM(C37:C38)</f>
        <v>0.20429999999999998</v>
      </c>
      <c r="D39" s="81">
        <f>SUM(D37:D38)</f>
        <v>2104.6985999999997</v>
      </c>
    </row>
    <row r="40" spans="1:5" x14ac:dyDescent="0.25">
      <c r="A40" s="237" t="s">
        <v>250</v>
      </c>
      <c r="B40" s="238"/>
      <c r="C40" s="75" t="s">
        <v>244</v>
      </c>
      <c r="D40" s="68" t="s">
        <v>245</v>
      </c>
    </row>
    <row r="41" spans="1:5" x14ac:dyDescent="0.25">
      <c r="A41" s="42" t="s">
        <v>237</v>
      </c>
      <c r="B41" s="71" t="s">
        <v>251</v>
      </c>
      <c r="C41" s="78">
        <v>0.2</v>
      </c>
      <c r="D41" s="79">
        <f t="shared" ref="D41:D48" si="0">($D$33+$D$39)*(C41)</f>
        <v>2481.3397199999999</v>
      </c>
    </row>
    <row r="42" spans="1:5" x14ac:dyDescent="0.25">
      <c r="A42" s="42" t="s">
        <v>247</v>
      </c>
      <c r="B42" s="71" t="s">
        <v>252</v>
      </c>
      <c r="C42" s="78">
        <v>2.5000000000000001E-2</v>
      </c>
      <c r="D42" s="79">
        <f t="shared" si="0"/>
        <v>310.16746499999999</v>
      </c>
    </row>
    <row r="43" spans="1:5" x14ac:dyDescent="0.25">
      <c r="A43" s="42" t="s">
        <v>253</v>
      </c>
      <c r="B43" s="71" t="s">
        <v>254</v>
      </c>
      <c r="C43" s="78">
        <v>1.4999999999999999E-2</v>
      </c>
      <c r="D43" s="79">
        <f t="shared" si="0"/>
        <v>186.10047899999998</v>
      </c>
    </row>
    <row r="44" spans="1:5" x14ac:dyDescent="0.25">
      <c r="A44" s="42" t="s">
        <v>255</v>
      </c>
      <c r="B44" s="71" t="s">
        <v>256</v>
      </c>
      <c r="C44" s="78">
        <v>1.4999999999999999E-2</v>
      </c>
      <c r="D44" s="79">
        <f t="shared" si="0"/>
        <v>186.10047899999998</v>
      </c>
    </row>
    <row r="45" spans="1:5" x14ac:dyDescent="0.25">
      <c r="A45" s="42" t="s">
        <v>257</v>
      </c>
      <c r="B45" s="71" t="s">
        <v>258</v>
      </c>
      <c r="C45" s="78">
        <v>0.01</v>
      </c>
      <c r="D45" s="79">
        <f t="shared" si="0"/>
        <v>124.066986</v>
      </c>
    </row>
    <row r="46" spans="1:5" x14ac:dyDescent="0.25">
      <c r="A46" s="42" t="s">
        <v>259</v>
      </c>
      <c r="B46" s="82" t="s">
        <v>260</v>
      </c>
      <c r="C46" s="78">
        <v>6.0000000000000001E-3</v>
      </c>
      <c r="D46" s="79">
        <f t="shared" si="0"/>
        <v>74.440191600000006</v>
      </c>
    </row>
    <row r="47" spans="1:5" x14ac:dyDescent="0.25">
      <c r="A47" s="42" t="s">
        <v>261</v>
      </c>
      <c r="B47" s="71" t="s">
        <v>262</v>
      </c>
      <c r="C47" s="78">
        <v>2E-3</v>
      </c>
      <c r="D47" s="79">
        <f t="shared" si="0"/>
        <v>24.813397200000001</v>
      </c>
    </row>
    <row r="48" spans="1:5" x14ac:dyDescent="0.25">
      <c r="A48" s="42" t="s">
        <v>263</v>
      </c>
      <c r="B48" s="71" t="s">
        <v>264</v>
      </c>
      <c r="C48" s="78">
        <v>0.08</v>
      </c>
      <c r="D48" s="79">
        <f t="shared" si="0"/>
        <v>992.535888</v>
      </c>
      <c r="E48" s="74"/>
    </row>
    <row r="49" spans="1:5" x14ac:dyDescent="0.25">
      <c r="A49" s="239" t="s">
        <v>265</v>
      </c>
      <c r="B49" s="240"/>
      <c r="C49" s="80">
        <f>SUM(C41:C48)</f>
        <v>0.35300000000000004</v>
      </c>
      <c r="D49" s="81">
        <f>SUM(D41:D48)</f>
        <v>4379.5646058000002</v>
      </c>
    </row>
    <row r="50" spans="1:5" x14ac:dyDescent="0.25">
      <c r="A50" s="237" t="s">
        <v>266</v>
      </c>
      <c r="B50" s="238"/>
      <c r="C50" s="83" t="s">
        <v>267</v>
      </c>
      <c r="D50" s="68" t="s">
        <v>245</v>
      </c>
    </row>
    <row r="51" spans="1:5" x14ac:dyDescent="0.25">
      <c r="A51" s="42" t="s">
        <v>237</v>
      </c>
      <c r="B51" s="84" t="s">
        <v>268</v>
      </c>
      <c r="C51" s="172">
        <v>11</v>
      </c>
      <c r="D51" s="85">
        <f>IF((C51*22)-(D32*6%)&gt;0,(C51*22)-(D32*6%),0)</f>
        <v>0</v>
      </c>
      <c r="E51" s="70" t="s">
        <v>425</v>
      </c>
    </row>
    <row r="52" spans="1:5" x14ac:dyDescent="0.25">
      <c r="A52" s="42" t="s">
        <v>247</v>
      </c>
      <c r="B52" s="84" t="s">
        <v>269</v>
      </c>
      <c r="C52" s="173">
        <v>27</v>
      </c>
      <c r="D52" s="79">
        <f>(C52)*22</f>
        <v>594</v>
      </c>
      <c r="E52" s="70" t="s">
        <v>426</v>
      </c>
    </row>
    <row r="53" spans="1:5" x14ac:dyDescent="0.25">
      <c r="A53" s="224" t="s">
        <v>270</v>
      </c>
      <c r="B53" s="225"/>
      <c r="C53" s="86">
        <v>27</v>
      </c>
      <c r="D53" s="81">
        <f>SUM(D51:D52)</f>
        <v>594</v>
      </c>
    </row>
    <row r="54" spans="1:5" x14ac:dyDescent="0.25">
      <c r="A54" s="231" t="s">
        <v>271</v>
      </c>
      <c r="B54" s="232"/>
      <c r="C54" s="75" t="s">
        <v>272</v>
      </c>
      <c r="D54" s="68" t="s">
        <v>245</v>
      </c>
    </row>
    <row r="55" spans="1:5" x14ac:dyDescent="0.25">
      <c r="A55" s="42" t="s">
        <v>237</v>
      </c>
      <c r="B55" s="77" t="s">
        <v>273</v>
      </c>
      <c r="C55" s="87"/>
      <c r="D55" s="88">
        <f>(D33/220)*150%*0.5*C55</f>
        <v>0</v>
      </c>
    </row>
    <row r="56" spans="1:5" ht="15.75" thickBot="1" x14ac:dyDescent="0.3">
      <c r="A56" s="241" t="s">
        <v>274</v>
      </c>
      <c r="B56" s="242"/>
      <c r="C56" s="89"/>
      <c r="D56" s="90">
        <f>SUM(D55)</f>
        <v>0</v>
      </c>
    </row>
    <row r="57" spans="1:5" x14ac:dyDescent="0.25">
      <c r="A57" s="237" t="s">
        <v>275</v>
      </c>
      <c r="B57" s="238"/>
      <c r="C57" s="238"/>
      <c r="D57" s="243"/>
    </row>
    <row r="58" spans="1:5" ht="43.5" x14ac:dyDescent="0.25">
      <c r="A58" s="91" t="s">
        <v>276</v>
      </c>
      <c r="B58" s="244" t="s">
        <v>277</v>
      </c>
      <c r="C58" s="244"/>
      <c r="D58" s="69">
        <f>(D39)</f>
        <v>2104.6985999999997</v>
      </c>
    </row>
    <row r="59" spans="1:5" ht="43.5" x14ac:dyDescent="0.25">
      <c r="A59" s="91" t="s">
        <v>278</v>
      </c>
      <c r="B59" s="244" t="s">
        <v>279</v>
      </c>
      <c r="C59" s="244"/>
      <c r="D59" s="69">
        <f>(D49)</f>
        <v>4379.5646058000002</v>
      </c>
    </row>
    <row r="60" spans="1:5" ht="43.5" x14ac:dyDescent="0.25">
      <c r="A60" s="91" t="s">
        <v>280</v>
      </c>
      <c r="B60" s="244" t="s">
        <v>281</v>
      </c>
      <c r="C60" s="244"/>
      <c r="D60" s="69">
        <f>(D53)</f>
        <v>594</v>
      </c>
    </row>
    <row r="61" spans="1:5" ht="29.25" x14ac:dyDescent="0.25">
      <c r="A61" s="91" t="s">
        <v>282</v>
      </c>
      <c r="B61" s="245" t="s">
        <v>283</v>
      </c>
      <c r="C61" s="246"/>
      <c r="D61" s="69">
        <f>D56</f>
        <v>0</v>
      </c>
    </row>
    <row r="62" spans="1:5" ht="15.75" thickBot="1" x14ac:dyDescent="0.3">
      <c r="A62" s="241" t="s">
        <v>284</v>
      </c>
      <c r="B62" s="242"/>
      <c r="C62" s="242"/>
      <c r="D62" s="73">
        <f>SUM(D58:D61)</f>
        <v>7078.2632057999999</v>
      </c>
    </row>
    <row r="63" spans="1:5" ht="15.75" thickBot="1" x14ac:dyDescent="0.3">
      <c r="A63" s="92"/>
      <c r="B63" s="92"/>
      <c r="C63" s="92"/>
      <c r="D63" s="92"/>
    </row>
    <row r="64" spans="1:5" x14ac:dyDescent="0.25">
      <c r="A64" s="228" t="s">
        <v>285</v>
      </c>
      <c r="B64" s="229"/>
      <c r="C64" s="229"/>
      <c r="D64" s="230"/>
    </row>
    <row r="65" spans="1:5" x14ac:dyDescent="0.25">
      <c r="A65" s="237" t="s">
        <v>286</v>
      </c>
      <c r="B65" s="238"/>
      <c r="C65" s="75" t="s">
        <v>244</v>
      </c>
      <c r="D65" s="68" t="s">
        <v>245</v>
      </c>
    </row>
    <row r="66" spans="1:5" x14ac:dyDescent="0.25">
      <c r="A66" s="42" t="s">
        <v>237</v>
      </c>
      <c r="B66" s="93" t="s">
        <v>287</v>
      </c>
      <c r="C66" s="94">
        <v>4.1999999999999997E-3</v>
      </c>
      <c r="D66" s="88">
        <f t="shared" ref="D66:D71" si="1">($D$33)*(C66)</f>
        <v>43.2684</v>
      </c>
    </row>
    <row r="67" spans="1:5" ht="28.5" x14ac:dyDescent="0.25">
      <c r="A67" s="42" t="s">
        <v>247</v>
      </c>
      <c r="B67" s="93" t="s">
        <v>288</v>
      </c>
      <c r="C67" s="95">
        <f>($C$48)*(C66)</f>
        <v>3.3599999999999998E-4</v>
      </c>
      <c r="D67" s="88">
        <f t="shared" si="1"/>
        <v>3.4614719999999997</v>
      </c>
    </row>
    <row r="68" spans="1:5" ht="28.5" x14ac:dyDescent="0.25">
      <c r="A68" s="42" t="s">
        <v>253</v>
      </c>
      <c r="B68" s="93" t="s">
        <v>289</v>
      </c>
      <c r="C68" s="95">
        <v>3.9199999999999999E-2</v>
      </c>
      <c r="D68" s="88">
        <f t="shared" si="1"/>
        <v>403.83839999999998</v>
      </c>
    </row>
    <row r="69" spans="1:5" ht="28.5" x14ac:dyDescent="0.25">
      <c r="A69" s="42" t="s">
        <v>255</v>
      </c>
      <c r="B69" s="93" t="s">
        <v>290</v>
      </c>
      <c r="C69" s="95">
        <v>1.9400000000000001E-2</v>
      </c>
      <c r="D69" s="88">
        <f t="shared" si="1"/>
        <v>199.8588</v>
      </c>
    </row>
    <row r="70" spans="1:5" x14ac:dyDescent="0.25">
      <c r="A70" s="42" t="s">
        <v>257</v>
      </c>
      <c r="B70" s="93" t="s">
        <v>291</v>
      </c>
      <c r="C70" s="95">
        <f>($C$49)*(C69)</f>
        <v>6.8482000000000013E-3</v>
      </c>
      <c r="D70" s="88">
        <f t="shared" si="1"/>
        <v>70.55015640000002</v>
      </c>
    </row>
    <row r="71" spans="1:5" ht="28.5" x14ac:dyDescent="0.25">
      <c r="A71" s="42" t="s">
        <v>259</v>
      </c>
      <c r="B71" s="93" t="s">
        <v>292</v>
      </c>
      <c r="C71" s="95">
        <v>8.0000000000000004E-4</v>
      </c>
      <c r="D71" s="88">
        <f t="shared" si="1"/>
        <v>8.2416</v>
      </c>
    </row>
    <row r="72" spans="1:5" ht="15.75" thickBot="1" x14ac:dyDescent="0.3">
      <c r="A72" s="241" t="s">
        <v>293</v>
      </c>
      <c r="B72" s="242"/>
      <c r="C72" s="96">
        <f>SUM(C66:C71)</f>
        <v>7.0784199999999992E-2</v>
      </c>
      <c r="D72" s="73">
        <f>SUM(D66:D71)</f>
        <v>729.21882839999989</v>
      </c>
    </row>
    <row r="73" spans="1:5" ht="15.75" thickBot="1" x14ac:dyDescent="0.3">
      <c r="A73" s="92"/>
      <c r="B73" s="97"/>
      <c r="C73" s="97"/>
      <c r="D73" s="97"/>
    </row>
    <row r="74" spans="1:5" x14ac:dyDescent="0.25">
      <c r="A74" s="228" t="s">
        <v>294</v>
      </c>
      <c r="B74" s="229"/>
      <c r="C74" s="229"/>
      <c r="D74" s="230"/>
    </row>
    <row r="75" spans="1:5" x14ac:dyDescent="0.25">
      <c r="A75" s="231" t="s">
        <v>295</v>
      </c>
      <c r="B75" s="232"/>
      <c r="C75" s="75" t="s">
        <v>244</v>
      </c>
      <c r="D75" s="68" t="s">
        <v>245</v>
      </c>
    </row>
    <row r="76" spans="1:5" x14ac:dyDescent="0.25">
      <c r="A76" s="42" t="s">
        <v>237</v>
      </c>
      <c r="B76" s="77" t="s">
        <v>296</v>
      </c>
      <c r="C76" s="95">
        <v>0</v>
      </c>
      <c r="D76" s="88">
        <f>($D$33+$D$39+$D$49+$D$53+$D$72)*(C76)</f>
        <v>0</v>
      </c>
      <c r="E76" s="74"/>
    </row>
    <row r="77" spans="1:5" x14ac:dyDescent="0.25">
      <c r="A77" s="42" t="s">
        <v>247</v>
      </c>
      <c r="B77" s="77" t="s">
        <v>297</v>
      </c>
      <c r="C77" s="95">
        <v>2.3999999999999998E-3</v>
      </c>
      <c r="D77" s="88">
        <f>($D$33+$D$39+$D$49+$D$53+$D$72)*(C77)</f>
        <v>43.462756882080001</v>
      </c>
    </row>
    <row r="78" spans="1:5" x14ac:dyDescent="0.25">
      <c r="A78" s="42" t="s">
        <v>253</v>
      </c>
      <c r="B78" s="77" t="s">
        <v>298</v>
      </c>
      <c r="C78" s="95">
        <v>1E-3</v>
      </c>
      <c r="D78" s="88">
        <f>($D$33+$D$39+$D$49+$D$53+$D$72)*(C78)</f>
        <v>18.109482034200003</v>
      </c>
    </row>
    <row r="79" spans="1:5" x14ac:dyDescent="0.25">
      <c r="A79" s="42" t="s">
        <v>255</v>
      </c>
      <c r="B79" s="77" t="s">
        <v>299</v>
      </c>
      <c r="C79" s="95">
        <v>1.6999999999999999E-3</v>
      </c>
      <c r="D79" s="88">
        <f>($D$33+$D$39+$D$49+$D$53+$D$72)*(C79)</f>
        <v>30.786119458140004</v>
      </c>
    </row>
    <row r="80" spans="1:5" x14ac:dyDescent="0.25">
      <c r="A80" s="42" t="s">
        <v>257</v>
      </c>
      <c r="B80" s="93" t="s">
        <v>300</v>
      </c>
      <c r="C80" s="95">
        <v>5.0000000000000001E-4</v>
      </c>
      <c r="D80" s="88">
        <f>($D$33+$D$39+$D$49+$D$53+$D$72)*(C80)</f>
        <v>9.0547410171000013</v>
      </c>
    </row>
    <row r="81" spans="1:5" x14ac:dyDescent="0.25">
      <c r="A81" s="224" t="s">
        <v>301</v>
      </c>
      <c r="B81" s="225"/>
      <c r="C81" s="98">
        <f>SUM(C76:C80)</f>
        <v>5.5999999999999991E-3</v>
      </c>
      <c r="D81" s="99">
        <f>SUM(D76:D80)</f>
        <v>101.41309939152001</v>
      </c>
    </row>
    <row r="82" spans="1:5" x14ac:dyDescent="0.25">
      <c r="A82" s="231" t="s">
        <v>302</v>
      </c>
      <c r="B82" s="232"/>
      <c r="C82" s="75"/>
      <c r="D82" s="68" t="s">
        <v>245</v>
      </c>
    </row>
    <row r="83" spans="1:5" x14ac:dyDescent="0.25">
      <c r="A83" s="42" t="s">
        <v>237</v>
      </c>
      <c r="B83" s="77" t="s">
        <v>303</v>
      </c>
      <c r="C83" s="87"/>
      <c r="D83" s="88">
        <f>(D61/220)*150%*0.5*C83</f>
        <v>0</v>
      </c>
    </row>
    <row r="84" spans="1:5" ht="15.75" thickBot="1" x14ac:dyDescent="0.3">
      <c r="A84" s="241" t="s">
        <v>304</v>
      </c>
      <c r="B84" s="242"/>
      <c r="C84" s="89"/>
      <c r="D84" s="90">
        <f>SUM(D83)</f>
        <v>0</v>
      </c>
    </row>
    <row r="85" spans="1:5" x14ac:dyDescent="0.25">
      <c r="A85" s="249" t="s">
        <v>305</v>
      </c>
      <c r="B85" s="250"/>
      <c r="C85" s="250"/>
      <c r="D85" s="251"/>
    </row>
    <row r="86" spans="1:5" ht="43.5" x14ac:dyDescent="0.25">
      <c r="A86" s="91" t="s">
        <v>306</v>
      </c>
      <c r="B86" s="252" t="s">
        <v>307</v>
      </c>
      <c r="C86" s="253"/>
      <c r="D86" s="69">
        <f>(D81)</f>
        <v>101.41309939152001</v>
      </c>
    </row>
    <row r="87" spans="1:5" x14ac:dyDescent="0.25">
      <c r="A87" s="100" t="s">
        <v>308</v>
      </c>
      <c r="B87" s="245" t="s">
        <v>303</v>
      </c>
      <c r="C87" s="246"/>
      <c r="D87" s="88">
        <f>D84</f>
        <v>0</v>
      </c>
    </row>
    <row r="88" spans="1:5" ht="15.75" thickBot="1" x14ac:dyDescent="0.3">
      <c r="A88" s="241" t="s">
        <v>309</v>
      </c>
      <c r="B88" s="242"/>
      <c r="C88" s="248"/>
      <c r="D88" s="73">
        <f>SUM(D86:D87)</f>
        <v>101.41309939152001</v>
      </c>
    </row>
    <row r="89" spans="1:5" ht="15.75" thickBot="1" x14ac:dyDescent="0.3">
      <c r="A89" s="92"/>
      <c r="B89" s="92"/>
      <c r="C89" s="92"/>
      <c r="D89" s="92"/>
    </row>
    <row r="90" spans="1:5" x14ac:dyDescent="0.25">
      <c r="A90" s="228" t="s">
        <v>310</v>
      </c>
      <c r="B90" s="229"/>
      <c r="C90" s="229"/>
      <c r="D90" s="230"/>
    </row>
    <row r="91" spans="1:5" x14ac:dyDescent="0.25">
      <c r="A91" s="237" t="s">
        <v>311</v>
      </c>
      <c r="B91" s="238"/>
      <c r="C91" s="238"/>
      <c r="D91" s="68" t="s">
        <v>245</v>
      </c>
    </row>
    <row r="92" spans="1:5" x14ac:dyDescent="0.25">
      <c r="A92" s="42" t="s">
        <v>237</v>
      </c>
      <c r="B92" s="101" t="s">
        <v>341</v>
      </c>
      <c r="C92" s="102"/>
      <c r="D92" s="164">
        <v>0</v>
      </c>
      <c r="E92" s="247"/>
    </row>
    <row r="93" spans="1:5" x14ac:dyDescent="0.25">
      <c r="A93" s="42" t="s">
        <v>247</v>
      </c>
      <c r="B93" s="101" t="s">
        <v>342</v>
      </c>
      <c r="C93" s="102"/>
      <c r="D93" s="79">
        <v>0</v>
      </c>
      <c r="E93" s="247"/>
    </row>
    <row r="94" spans="1:5" x14ac:dyDescent="0.25">
      <c r="A94" s="42" t="s">
        <v>253</v>
      </c>
      <c r="B94" s="101" t="s">
        <v>314</v>
      </c>
      <c r="C94" s="102"/>
      <c r="D94" s="79">
        <v>0</v>
      </c>
      <c r="E94" s="247"/>
    </row>
    <row r="95" spans="1:5" ht="15.75" thickBot="1" x14ac:dyDescent="0.3">
      <c r="A95" s="241" t="s">
        <v>316</v>
      </c>
      <c r="B95" s="248"/>
      <c r="C95" s="103">
        <f>C92</f>
        <v>0</v>
      </c>
      <c r="D95" s="73">
        <f>SUM(D92:D94)</f>
        <v>0</v>
      </c>
    </row>
    <row r="96" spans="1:5" ht="15.75" thickBot="1" x14ac:dyDescent="0.3">
      <c r="A96" s="104"/>
      <c r="B96" s="105"/>
      <c r="C96" s="105"/>
      <c r="D96" s="106"/>
    </row>
    <row r="97" spans="1:5" x14ac:dyDescent="0.25">
      <c r="A97" s="254" t="s">
        <v>317</v>
      </c>
      <c r="B97" s="255"/>
      <c r="C97" s="255"/>
      <c r="D97" s="256"/>
    </row>
    <row r="98" spans="1:5" x14ac:dyDescent="0.25">
      <c r="A98" s="257" t="s">
        <v>318</v>
      </c>
      <c r="B98" s="258"/>
      <c r="C98" s="75" t="s">
        <v>244</v>
      </c>
      <c r="D98" s="107" t="s">
        <v>245</v>
      </c>
    </row>
    <row r="99" spans="1:5" x14ac:dyDescent="0.25">
      <c r="A99" s="42" t="s">
        <v>237</v>
      </c>
      <c r="B99" s="108" t="s">
        <v>319</v>
      </c>
      <c r="C99" s="78">
        <v>0.05</v>
      </c>
      <c r="D99" s="88">
        <f>(D33+D62+D72+D88+D95)*C99</f>
        <v>910.54475667957615</v>
      </c>
      <c r="E99" s="109"/>
    </row>
    <row r="100" spans="1:5" x14ac:dyDescent="0.25">
      <c r="A100" s="42" t="s">
        <v>247</v>
      </c>
      <c r="B100" s="108" t="s">
        <v>320</v>
      </c>
      <c r="C100" s="78">
        <v>0.1</v>
      </c>
      <c r="D100" s="88">
        <f>(D33+D62+D72+D88+D95+D99)*C100</f>
        <v>1912.1439890271101</v>
      </c>
      <c r="E100" s="109"/>
    </row>
    <row r="101" spans="1:5" x14ac:dyDescent="0.25">
      <c r="A101" s="259" t="s">
        <v>253</v>
      </c>
      <c r="B101" s="82" t="s">
        <v>321</v>
      </c>
      <c r="C101" s="110">
        <f>C102+C103+C106</f>
        <v>8.6499999999999994E-2</v>
      </c>
      <c r="D101" s="111"/>
      <c r="E101" s="112"/>
    </row>
    <row r="102" spans="1:5" x14ac:dyDescent="0.25">
      <c r="A102" s="259"/>
      <c r="B102" s="113" t="s">
        <v>322</v>
      </c>
      <c r="C102" s="78">
        <v>0.03</v>
      </c>
      <c r="D102" s="88">
        <f>((D116+D99+D100)/(1-C101))*C102</f>
        <v>690.75809127416119</v>
      </c>
      <c r="E102" s="112"/>
    </row>
    <row r="103" spans="1:5" x14ac:dyDescent="0.25">
      <c r="A103" s="259"/>
      <c r="B103" s="113" t="s">
        <v>323</v>
      </c>
      <c r="C103" s="78">
        <v>6.4999999999999997E-3</v>
      </c>
      <c r="D103" s="88">
        <f>((D33+D62+D72+D88+D95+D99+D100)/(1-C101))*C103</f>
        <v>149.66425310940161</v>
      </c>
      <c r="E103" s="112"/>
    </row>
    <row r="104" spans="1:5" x14ac:dyDescent="0.25">
      <c r="A104" s="259"/>
      <c r="B104" s="82" t="s">
        <v>324</v>
      </c>
      <c r="C104" s="114"/>
      <c r="D104" s="88"/>
    </row>
    <row r="105" spans="1:5" x14ac:dyDescent="0.25">
      <c r="A105" s="259"/>
      <c r="B105" s="82" t="s">
        <v>325</v>
      </c>
      <c r="C105" s="114"/>
      <c r="D105" s="88"/>
      <c r="E105" s="74" t="s">
        <v>410</v>
      </c>
    </row>
    <row r="106" spans="1:5" x14ac:dyDescent="0.25">
      <c r="A106" s="259"/>
      <c r="B106" s="113" t="s">
        <v>326</v>
      </c>
      <c r="C106" s="78">
        <v>0.05</v>
      </c>
      <c r="D106" s="88">
        <f>((D33+D62+D72+D88+D95+D99+D100)/(1-C101))*C106</f>
        <v>1151.2634854569355</v>
      </c>
      <c r="E106" s="74">
        <f>D100/(44*4)</f>
        <v>10.864454483108581</v>
      </c>
    </row>
    <row r="107" spans="1:5" ht="15.75" thickBot="1" x14ac:dyDescent="0.3">
      <c r="A107" s="241" t="s">
        <v>327</v>
      </c>
      <c r="B107" s="242"/>
      <c r="C107" s="115">
        <f>C99+C100+C102+C103+C106</f>
        <v>0.23650000000000004</v>
      </c>
      <c r="D107" s="90">
        <f>SUM(D99:D100,D102:D103,D106)</f>
        <v>4814.3745755471846</v>
      </c>
      <c r="E107" s="112" t="s">
        <v>411</v>
      </c>
    </row>
    <row r="108" spans="1:5" ht="15.75" thickBot="1" x14ac:dyDescent="0.3">
      <c r="A108" s="92"/>
      <c r="B108" s="92"/>
      <c r="C108" s="92"/>
      <c r="D108" s="92"/>
      <c r="E108" s="124">
        <f>E106*8</f>
        <v>86.915635864868648</v>
      </c>
    </row>
    <row r="109" spans="1:5" x14ac:dyDescent="0.25">
      <c r="A109" s="228" t="s">
        <v>328</v>
      </c>
      <c r="B109" s="229"/>
      <c r="C109" s="229"/>
      <c r="D109" s="230"/>
      <c r="E109" s="124"/>
    </row>
    <row r="110" spans="1:5" x14ac:dyDescent="0.25">
      <c r="A110" s="237" t="s">
        <v>329</v>
      </c>
      <c r="B110" s="238"/>
      <c r="C110" s="238"/>
      <c r="D110" s="116" t="s">
        <v>245</v>
      </c>
    </row>
    <row r="111" spans="1:5" x14ac:dyDescent="0.25">
      <c r="A111" s="42" t="s">
        <v>237</v>
      </c>
      <c r="B111" s="263" t="s">
        <v>330</v>
      </c>
      <c r="C111" s="264"/>
      <c r="D111" s="117">
        <f>(D33)</f>
        <v>10302</v>
      </c>
    </row>
    <row r="112" spans="1:5" x14ac:dyDescent="0.25">
      <c r="A112" s="42" t="s">
        <v>247</v>
      </c>
      <c r="B112" s="263" t="s">
        <v>331</v>
      </c>
      <c r="C112" s="264"/>
      <c r="D112" s="88">
        <f>(D62)</f>
        <v>7078.2632057999999</v>
      </c>
    </row>
    <row r="113" spans="1:5" x14ac:dyDescent="0.25">
      <c r="A113" s="42" t="s">
        <v>253</v>
      </c>
      <c r="B113" s="263" t="s">
        <v>332</v>
      </c>
      <c r="C113" s="264"/>
      <c r="D113" s="88">
        <f>(D72)</f>
        <v>729.21882839999989</v>
      </c>
    </row>
    <row r="114" spans="1:5" x14ac:dyDescent="0.25">
      <c r="A114" s="42" t="s">
        <v>255</v>
      </c>
      <c r="B114" s="263" t="s">
        <v>333</v>
      </c>
      <c r="C114" s="264"/>
      <c r="D114" s="88">
        <f>(D88)</f>
        <v>101.41309939152001</v>
      </c>
    </row>
    <row r="115" spans="1:5" x14ac:dyDescent="0.25">
      <c r="A115" s="42" t="s">
        <v>257</v>
      </c>
      <c r="B115" s="263" t="s">
        <v>334</v>
      </c>
      <c r="C115" s="264"/>
      <c r="D115" s="88">
        <f>D92</f>
        <v>0</v>
      </c>
    </row>
    <row r="116" spans="1:5" x14ac:dyDescent="0.25">
      <c r="A116" s="265" t="s">
        <v>335</v>
      </c>
      <c r="B116" s="266"/>
      <c r="C116" s="267"/>
      <c r="D116" s="118">
        <f>SUM(D111:D115)</f>
        <v>18210.895133591523</v>
      </c>
      <c r="E116" s="74"/>
    </row>
    <row r="117" spans="1:5" ht="15.75" thickBot="1" x14ac:dyDescent="0.3">
      <c r="A117" s="119" t="s">
        <v>259</v>
      </c>
      <c r="B117" s="260" t="s">
        <v>336</v>
      </c>
      <c r="C117" s="260"/>
      <c r="D117" s="120">
        <f>(D107)</f>
        <v>4814.3745755471846</v>
      </c>
    </row>
    <row r="118" spans="1:5" ht="15.75" thickBot="1" x14ac:dyDescent="0.3">
      <c r="A118" s="261" t="s">
        <v>337</v>
      </c>
      <c r="B118" s="262"/>
      <c r="C118" s="262"/>
      <c r="D118" s="121">
        <f>SUM(D116:D117)</f>
        <v>23025.269709138709</v>
      </c>
      <c r="E118" s="74"/>
    </row>
    <row r="119" spans="1:5" ht="15.75" thickBot="1" x14ac:dyDescent="0.3">
      <c r="A119" s="261" t="s">
        <v>338</v>
      </c>
      <c r="B119" s="262"/>
      <c r="C119" s="262"/>
      <c r="D119" s="121">
        <f>D118/(44*4)</f>
        <v>130.82539607465176</v>
      </c>
    </row>
    <row r="120" spans="1:5" x14ac:dyDescent="0.25">
      <c r="D120" s="58"/>
    </row>
    <row r="121" spans="1:5" x14ac:dyDescent="0.25">
      <c r="D121" s="58"/>
    </row>
    <row r="122" spans="1:5" x14ac:dyDescent="0.25">
      <c r="D122" s="58"/>
    </row>
    <row r="123" spans="1:5" x14ac:dyDescent="0.25">
      <c r="C123" s="122"/>
    </row>
  </sheetData>
  <mergeCells count="74">
    <mergeCell ref="B117:C117"/>
    <mergeCell ref="A118:C118"/>
    <mergeCell ref="A119:C119"/>
    <mergeCell ref="B111:C111"/>
    <mergeCell ref="B112:C112"/>
    <mergeCell ref="B113:C113"/>
    <mergeCell ref="B114:C114"/>
    <mergeCell ref="B115:C115"/>
    <mergeCell ref="A116:C116"/>
    <mergeCell ref="A110:C110"/>
    <mergeCell ref="B87:C87"/>
    <mergeCell ref="A88:C88"/>
    <mergeCell ref="A90:D90"/>
    <mergeCell ref="A91:C91"/>
    <mergeCell ref="A97:D97"/>
    <mergeCell ref="A98:B98"/>
    <mergeCell ref="A101:A106"/>
    <mergeCell ref="A107:B107"/>
    <mergeCell ref="A109:D109"/>
    <mergeCell ref="E92:E94"/>
    <mergeCell ref="A95:B95"/>
    <mergeCell ref="A75:B75"/>
    <mergeCell ref="A81:B81"/>
    <mergeCell ref="A82:B82"/>
    <mergeCell ref="A84:B84"/>
    <mergeCell ref="A85:D85"/>
    <mergeCell ref="B86:C86"/>
    <mergeCell ref="A74:D74"/>
    <mergeCell ref="A54:B54"/>
    <mergeCell ref="A56:B56"/>
    <mergeCell ref="A57:D57"/>
    <mergeCell ref="B58:C58"/>
    <mergeCell ref="B59:C59"/>
    <mergeCell ref="B60:C60"/>
    <mergeCell ref="B61:C61"/>
    <mergeCell ref="A62:C62"/>
    <mergeCell ref="A64:D64"/>
    <mergeCell ref="A65:B65"/>
    <mergeCell ref="A72:B72"/>
    <mergeCell ref="A53:B53"/>
    <mergeCell ref="B28:C28"/>
    <mergeCell ref="A30:D30"/>
    <mergeCell ref="A31:C31"/>
    <mergeCell ref="B32:C32"/>
    <mergeCell ref="A33:C33"/>
    <mergeCell ref="A35:D35"/>
    <mergeCell ref="A36:B36"/>
    <mergeCell ref="A39:B39"/>
    <mergeCell ref="A40:B40"/>
    <mergeCell ref="A49:B49"/>
    <mergeCell ref="A50:B50"/>
    <mergeCell ref="B27:C27"/>
    <mergeCell ref="C13:D13"/>
    <mergeCell ref="B14:C14"/>
    <mergeCell ref="B16:C16"/>
    <mergeCell ref="B17:C17"/>
    <mergeCell ref="A20:D20"/>
    <mergeCell ref="B21:C21"/>
    <mergeCell ref="B22:C22"/>
    <mergeCell ref="B23:C23"/>
    <mergeCell ref="B24:C24"/>
    <mergeCell ref="B25:C25"/>
    <mergeCell ref="B26:C26"/>
    <mergeCell ref="A12:D12"/>
    <mergeCell ref="A1:D1"/>
    <mergeCell ref="A2:D2"/>
    <mergeCell ref="A3:D3"/>
    <mergeCell ref="A4:D4"/>
    <mergeCell ref="A5:D5"/>
    <mergeCell ref="A6:D6"/>
    <mergeCell ref="C7:D7"/>
    <mergeCell ref="C8:D8"/>
    <mergeCell ref="C9:D9"/>
    <mergeCell ref="C10:D10"/>
  </mergeCells>
  <pageMargins left="0.511811024" right="0.511811024" top="0.78740157499999996" bottom="0.78740157499999996" header="0.31496062000000002" footer="0.31496062000000002"/>
  <pageSetup paperSize="9" scale="77" orientation="portrait" r:id="rId1"/>
  <rowBreaks count="2" manualBreakCount="2">
    <brk id="56" max="16383" man="1"/>
    <brk id="107" max="16383" man="1"/>
  </rowBreaks>
  <colBreaks count="1" manualBreakCount="1">
    <brk id="4" max="118" man="1"/>
  </colBreak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5B61C5-7EE3-46DF-BB94-B6DA0178BCA3}">
  <sheetPr>
    <tabColor theme="7" tint="0.79998168889431442"/>
  </sheetPr>
  <dimension ref="A1:E125"/>
  <sheetViews>
    <sheetView showGridLines="0" tabSelected="1" topLeftCell="A106" zoomScaleNormal="100" workbookViewId="0">
      <selection activeCell="F46" sqref="F46"/>
    </sheetView>
  </sheetViews>
  <sheetFormatPr defaultRowHeight="15" x14ac:dyDescent="0.25"/>
  <cols>
    <col min="1" max="1" width="3.85546875" style="48" customWidth="1"/>
    <col min="2" max="2" width="70.7109375" style="57" customWidth="1"/>
    <col min="3" max="3" width="14.7109375" style="48" customWidth="1"/>
    <col min="4" max="4" width="23.7109375" style="123" customWidth="1"/>
    <col min="5" max="5" width="100" style="39" customWidth="1"/>
  </cols>
  <sheetData>
    <row r="1" spans="1:5" ht="16.5" thickBot="1" x14ac:dyDescent="0.3">
      <c r="A1" s="200" t="s">
        <v>181</v>
      </c>
      <c r="B1" s="201"/>
      <c r="C1" s="201"/>
      <c r="D1" s="202"/>
    </row>
    <row r="2" spans="1:5" ht="15.75" x14ac:dyDescent="0.25">
      <c r="A2" s="203" t="s">
        <v>182</v>
      </c>
      <c r="B2" s="203"/>
      <c r="C2" s="203"/>
      <c r="D2" s="203"/>
    </row>
    <row r="3" spans="1:5" ht="15.75" x14ac:dyDescent="0.25">
      <c r="A3" s="203" t="s">
        <v>183</v>
      </c>
      <c r="B3" s="203"/>
      <c r="C3" s="203"/>
      <c r="D3" s="203"/>
    </row>
    <row r="4" spans="1:5" ht="15.75" thickBot="1" x14ac:dyDescent="0.3">
      <c r="A4" s="204"/>
      <c r="B4" s="204"/>
      <c r="C4" s="204"/>
      <c r="D4" s="204"/>
    </row>
    <row r="5" spans="1:5" ht="16.5" thickBot="1" x14ac:dyDescent="0.3">
      <c r="A5" s="200" t="s">
        <v>184</v>
      </c>
      <c r="B5" s="201"/>
      <c r="C5" s="201"/>
      <c r="D5" s="202"/>
    </row>
    <row r="6" spans="1:5" ht="15.75" thickBot="1" x14ac:dyDescent="0.3">
      <c r="A6" s="197" t="s">
        <v>185</v>
      </c>
      <c r="B6" s="198"/>
      <c r="C6" s="205"/>
      <c r="D6" s="206"/>
    </row>
    <row r="7" spans="1:5" x14ac:dyDescent="0.25">
      <c r="A7" s="40" t="s">
        <v>186</v>
      </c>
      <c r="B7" s="41" t="s">
        <v>187</v>
      </c>
      <c r="C7" s="207" t="s">
        <v>188</v>
      </c>
      <c r="D7" s="208"/>
    </row>
    <row r="8" spans="1:5" x14ac:dyDescent="0.25">
      <c r="A8" s="42" t="s">
        <v>189</v>
      </c>
      <c r="B8" s="43" t="s">
        <v>190</v>
      </c>
      <c r="C8" s="209" t="s">
        <v>415</v>
      </c>
      <c r="D8" s="210"/>
    </row>
    <row r="9" spans="1:5" x14ac:dyDescent="0.25">
      <c r="A9" s="42" t="s">
        <v>191</v>
      </c>
      <c r="B9" s="43" t="s">
        <v>192</v>
      </c>
      <c r="C9" s="211">
        <v>45075</v>
      </c>
      <c r="D9" s="212"/>
    </row>
    <row r="10" spans="1:5" ht="15.75" thickBot="1" x14ac:dyDescent="0.3">
      <c r="A10" s="44" t="s">
        <v>193</v>
      </c>
      <c r="B10" s="45" t="s">
        <v>194</v>
      </c>
      <c r="C10" s="213">
        <v>0.45833333333333331</v>
      </c>
      <c r="D10" s="214"/>
    </row>
    <row r="11" spans="1:5" ht="15.75" thickBot="1" x14ac:dyDescent="0.3">
      <c r="A11" s="46"/>
      <c r="B11" s="47"/>
      <c r="D11" s="49"/>
    </row>
    <row r="12" spans="1:5" ht="15.75" thickBot="1" x14ac:dyDescent="0.3">
      <c r="A12" s="197" t="s">
        <v>195</v>
      </c>
      <c r="B12" s="198"/>
      <c r="C12" s="198"/>
      <c r="D12" s="199"/>
    </row>
    <row r="13" spans="1:5" x14ac:dyDescent="0.25">
      <c r="A13" s="40" t="s">
        <v>196</v>
      </c>
      <c r="B13" s="41" t="s">
        <v>197</v>
      </c>
      <c r="C13" s="217"/>
      <c r="D13" s="218"/>
    </row>
    <row r="14" spans="1:5" x14ac:dyDescent="0.25">
      <c r="A14" s="42" t="s">
        <v>198</v>
      </c>
      <c r="B14" s="219" t="s">
        <v>199</v>
      </c>
      <c r="C14" s="219"/>
      <c r="D14" s="50" t="s">
        <v>200</v>
      </c>
    </row>
    <row r="15" spans="1:5" x14ac:dyDescent="0.25">
      <c r="A15" s="42" t="s">
        <v>201</v>
      </c>
      <c r="B15" s="43" t="s">
        <v>202</v>
      </c>
      <c r="C15" s="51" t="s">
        <v>203</v>
      </c>
      <c r="D15" s="50" t="s">
        <v>204</v>
      </c>
      <c r="E15" s="52"/>
    </row>
    <row r="16" spans="1:5" ht="28.5" x14ac:dyDescent="0.25">
      <c r="A16" s="42" t="s">
        <v>205</v>
      </c>
      <c r="B16" s="219" t="s">
        <v>206</v>
      </c>
      <c r="C16" s="219"/>
      <c r="D16" s="53" t="s">
        <v>207</v>
      </c>
    </row>
    <row r="17" spans="1:5" x14ac:dyDescent="0.25">
      <c r="A17" s="42" t="s">
        <v>208</v>
      </c>
      <c r="B17" s="219" t="s">
        <v>209</v>
      </c>
      <c r="C17" s="219"/>
      <c r="D17" s="50" t="s">
        <v>210</v>
      </c>
    </row>
    <row r="18" spans="1:5" ht="15.75" thickBot="1" x14ac:dyDescent="0.3">
      <c r="A18" s="44" t="s">
        <v>211</v>
      </c>
      <c r="B18" s="54" t="s">
        <v>212</v>
      </c>
      <c r="C18" s="55" t="s">
        <v>213</v>
      </c>
      <c r="D18" s="56">
        <v>1320</v>
      </c>
    </row>
    <row r="19" spans="1:5" ht="15.75" thickBot="1" x14ac:dyDescent="0.3">
      <c r="D19" s="58"/>
    </row>
    <row r="20" spans="1:5" ht="15.75" thickBot="1" x14ac:dyDescent="0.3">
      <c r="A20" s="220" t="s">
        <v>214</v>
      </c>
      <c r="B20" s="221"/>
      <c r="C20" s="221"/>
      <c r="D20" s="222"/>
      <c r="E20" s="59" t="s">
        <v>215</v>
      </c>
    </row>
    <row r="21" spans="1:5" ht="30" x14ac:dyDescent="0.25">
      <c r="A21" s="40" t="s">
        <v>216</v>
      </c>
      <c r="B21" s="223" t="s">
        <v>217</v>
      </c>
      <c r="C21" s="223"/>
      <c r="D21" s="60" t="s">
        <v>343</v>
      </c>
    </row>
    <row r="22" spans="1:5" x14ac:dyDescent="0.25">
      <c r="A22" s="42" t="s">
        <v>219</v>
      </c>
      <c r="B22" s="215" t="s">
        <v>220</v>
      </c>
      <c r="C22" s="215"/>
      <c r="D22" s="61" t="s">
        <v>344</v>
      </c>
    </row>
    <row r="23" spans="1:5" x14ac:dyDescent="0.25">
      <c r="A23" s="42" t="s">
        <v>221</v>
      </c>
      <c r="B23" s="215" t="s">
        <v>222</v>
      </c>
      <c r="C23" s="215"/>
      <c r="D23" s="169">
        <v>2000</v>
      </c>
    </row>
    <row r="24" spans="1:5" x14ac:dyDescent="0.25">
      <c r="A24" s="42" t="s">
        <v>223</v>
      </c>
      <c r="B24" s="215" t="s">
        <v>224</v>
      </c>
      <c r="C24" s="215"/>
      <c r="D24" s="170" t="s">
        <v>416</v>
      </c>
      <c r="E24" s="70" t="s">
        <v>417</v>
      </c>
    </row>
    <row r="25" spans="1:5" x14ac:dyDescent="0.25">
      <c r="A25" s="42" t="s">
        <v>225</v>
      </c>
      <c r="B25" s="215" t="s">
        <v>226</v>
      </c>
      <c r="C25" s="215"/>
      <c r="D25" s="171">
        <v>44680</v>
      </c>
    </row>
    <row r="26" spans="1:5" x14ac:dyDescent="0.25">
      <c r="A26" s="42" t="s">
        <v>227</v>
      </c>
      <c r="B26" s="215" t="s">
        <v>228</v>
      </c>
      <c r="C26" s="215"/>
      <c r="D26" s="62">
        <v>45047</v>
      </c>
    </row>
    <row r="27" spans="1:5" x14ac:dyDescent="0.25">
      <c r="A27" s="42" t="s">
        <v>229</v>
      </c>
      <c r="B27" s="215" t="s">
        <v>230</v>
      </c>
      <c r="C27" s="216"/>
      <c r="D27" s="62" t="s">
        <v>231</v>
      </c>
      <c r="E27" s="70" t="s">
        <v>418</v>
      </c>
    </row>
    <row r="28" spans="1:5" ht="15.75" thickBot="1" x14ac:dyDescent="0.3">
      <c r="A28" s="44" t="s">
        <v>232</v>
      </c>
      <c r="B28" s="226" t="s">
        <v>233</v>
      </c>
      <c r="C28" s="227"/>
      <c r="D28" s="64">
        <v>1</v>
      </c>
      <c r="E28" s="52"/>
    </row>
    <row r="29" spans="1:5" ht="15.75" thickBot="1" x14ac:dyDescent="0.3">
      <c r="A29" s="65"/>
      <c r="B29" s="66"/>
      <c r="C29" s="66"/>
      <c r="D29" s="67"/>
    </row>
    <row r="30" spans="1:5" x14ac:dyDescent="0.25">
      <c r="A30" s="228" t="s">
        <v>234</v>
      </c>
      <c r="B30" s="229"/>
      <c r="C30" s="229"/>
      <c r="D30" s="230"/>
    </row>
    <row r="31" spans="1:5" x14ac:dyDescent="0.25">
      <c r="A31" s="231" t="s">
        <v>235</v>
      </c>
      <c r="B31" s="232"/>
      <c r="C31" s="233"/>
      <c r="D31" s="68" t="s">
        <v>236</v>
      </c>
    </row>
    <row r="32" spans="1:5" x14ac:dyDescent="0.25">
      <c r="A32" s="42" t="s">
        <v>237</v>
      </c>
      <c r="B32" s="234" t="s">
        <v>238</v>
      </c>
      <c r="C32" s="234"/>
      <c r="D32" s="69">
        <v>2143.04</v>
      </c>
      <c r="E32" s="70"/>
    </row>
    <row r="33" spans="1:5" x14ac:dyDescent="0.25">
      <c r="A33" s="42" t="s">
        <v>239</v>
      </c>
      <c r="B33" s="71" t="s">
        <v>240</v>
      </c>
      <c r="C33" s="72">
        <v>0.3</v>
      </c>
      <c r="D33" s="69">
        <f>D32*C33</f>
        <v>642.91199999999992</v>
      </c>
      <c r="E33" s="70"/>
    </row>
    <row r="34" spans="1:5" ht="15.75" thickBot="1" x14ac:dyDescent="0.3">
      <c r="A34" s="235" t="s">
        <v>241</v>
      </c>
      <c r="B34" s="236"/>
      <c r="C34" s="236"/>
      <c r="D34" s="73">
        <f>SUM(D32:D33)</f>
        <v>2785.9519999999998</v>
      </c>
      <c r="E34" s="74"/>
    </row>
    <row r="35" spans="1:5" ht="15.75" thickBot="1" x14ac:dyDescent="0.3">
      <c r="A35" s="57"/>
      <c r="C35" s="57"/>
      <c r="D35" s="57"/>
    </row>
    <row r="36" spans="1:5" x14ac:dyDescent="0.25">
      <c r="A36" s="228" t="s">
        <v>242</v>
      </c>
      <c r="B36" s="229"/>
      <c r="C36" s="229"/>
      <c r="D36" s="230"/>
    </row>
    <row r="37" spans="1:5" x14ac:dyDescent="0.25">
      <c r="A37" s="237" t="s">
        <v>243</v>
      </c>
      <c r="B37" s="238"/>
      <c r="C37" s="75" t="s">
        <v>244</v>
      </c>
      <c r="D37" s="76" t="s">
        <v>245</v>
      </c>
    </row>
    <row r="38" spans="1:5" x14ac:dyDescent="0.25">
      <c r="A38" s="42" t="s">
        <v>237</v>
      </c>
      <c r="B38" s="77" t="s">
        <v>246</v>
      </c>
      <c r="C38" s="78">
        <v>8.3299999999999999E-2</v>
      </c>
      <c r="D38" s="79">
        <f>(D34)*($C$38)</f>
        <v>232.06980159999998</v>
      </c>
    </row>
    <row r="39" spans="1:5" x14ac:dyDescent="0.25">
      <c r="A39" s="42" t="s">
        <v>247</v>
      </c>
      <c r="B39" s="77" t="s">
        <v>248</v>
      </c>
      <c r="C39" s="78">
        <v>0.121</v>
      </c>
      <c r="D39" s="79">
        <f>(D34)*($C$39)</f>
        <v>337.10019199999994</v>
      </c>
      <c r="E39" s="74"/>
    </row>
    <row r="40" spans="1:5" x14ac:dyDescent="0.25">
      <c r="A40" s="239" t="s">
        <v>249</v>
      </c>
      <c r="B40" s="240"/>
      <c r="C40" s="80">
        <f>SUM(C38:C39)</f>
        <v>0.20429999999999998</v>
      </c>
      <c r="D40" s="81">
        <f>SUM(D38:D39)</f>
        <v>569.16999359999988</v>
      </c>
    </row>
    <row r="41" spans="1:5" x14ac:dyDescent="0.25">
      <c r="A41" s="237" t="s">
        <v>250</v>
      </c>
      <c r="B41" s="238"/>
      <c r="C41" s="75" t="s">
        <v>244</v>
      </c>
      <c r="D41" s="68" t="s">
        <v>245</v>
      </c>
    </row>
    <row r="42" spans="1:5" x14ac:dyDescent="0.25">
      <c r="A42" s="42" t="s">
        <v>237</v>
      </c>
      <c r="B42" s="71" t="s">
        <v>251</v>
      </c>
      <c r="C42" s="78">
        <v>0.2</v>
      </c>
      <c r="D42" s="79">
        <f t="shared" ref="D42:D49" si="0">($D$34+$D$40)*(C42)</f>
        <v>671.02439872000002</v>
      </c>
    </row>
    <row r="43" spans="1:5" x14ac:dyDescent="0.25">
      <c r="A43" s="42" t="s">
        <v>247</v>
      </c>
      <c r="B43" s="71" t="s">
        <v>252</v>
      </c>
      <c r="C43" s="78">
        <v>2.5000000000000001E-2</v>
      </c>
      <c r="D43" s="79">
        <f t="shared" si="0"/>
        <v>83.878049840000003</v>
      </c>
    </row>
    <row r="44" spans="1:5" x14ac:dyDescent="0.25">
      <c r="A44" s="42" t="s">
        <v>253</v>
      </c>
      <c r="B44" s="71" t="s">
        <v>254</v>
      </c>
      <c r="C44" s="78">
        <v>1.4999999999999999E-2</v>
      </c>
      <c r="D44" s="79">
        <f t="shared" si="0"/>
        <v>50.326829903999993</v>
      </c>
    </row>
    <row r="45" spans="1:5" x14ac:dyDescent="0.25">
      <c r="A45" s="42" t="s">
        <v>255</v>
      </c>
      <c r="B45" s="71" t="s">
        <v>256</v>
      </c>
      <c r="C45" s="78">
        <v>1.4999999999999999E-2</v>
      </c>
      <c r="D45" s="79">
        <f t="shared" si="0"/>
        <v>50.326829903999993</v>
      </c>
    </row>
    <row r="46" spans="1:5" x14ac:dyDescent="0.25">
      <c r="A46" s="42" t="s">
        <v>257</v>
      </c>
      <c r="B46" s="71" t="s">
        <v>258</v>
      </c>
      <c r="C46" s="78">
        <v>0.01</v>
      </c>
      <c r="D46" s="79">
        <f t="shared" si="0"/>
        <v>33.551219935999995</v>
      </c>
    </row>
    <row r="47" spans="1:5" x14ac:dyDescent="0.25">
      <c r="A47" s="42" t="s">
        <v>259</v>
      </c>
      <c r="B47" s="82" t="s">
        <v>260</v>
      </c>
      <c r="C47" s="78">
        <v>6.0000000000000001E-3</v>
      </c>
      <c r="D47" s="79">
        <f t="shared" si="0"/>
        <v>20.130731961599999</v>
      </c>
    </row>
    <row r="48" spans="1:5" x14ac:dyDescent="0.25">
      <c r="A48" s="42" t="s">
        <v>261</v>
      </c>
      <c r="B48" s="71" t="s">
        <v>262</v>
      </c>
      <c r="C48" s="78">
        <v>2E-3</v>
      </c>
      <c r="D48" s="79">
        <f t="shared" si="0"/>
        <v>6.7102439871999993</v>
      </c>
    </row>
    <row r="49" spans="1:5" x14ac:dyDescent="0.25">
      <c r="A49" s="42" t="s">
        <v>263</v>
      </c>
      <c r="B49" s="71" t="s">
        <v>264</v>
      </c>
      <c r="C49" s="78">
        <v>0.08</v>
      </c>
      <c r="D49" s="79">
        <f t="shared" si="0"/>
        <v>268.40975948799996</v>
      </c>
      <c r="E49" s="74"/>
    </row>
    <row r="50" spans="1:5" x14ac:dyDescent="0.25">
      <c r="A50" s="239" t="s">
        <v>265</v>
      </c>
      <c r="B50" s="240"/>
      <c r="C50" s="80">
        <f>SUM(C42:C49)</f>
        <v>0.35300000000000004</v>
      </c>
      <c r="D50" s="81">
        <f>SUM(D42:D49)</f>
        <v>1184.3580637407999</v>
      </c>
    </row>
    <row r="51" spans="1:5" x14ac:dyDescent="0.25">
      <c r="A51" s="237" t="s">
        <v>266</v>
      </c>
      <c r="B51" s="238"/>
      <c r="C51" s="83" t="s">
        <v>267</v>
      </c>
      <c r="D51" s="68" t="s">
        <v>245</v>
      </c>
    </row>
    <row r="52" spans="1:5" x14ac:dyDescent="0.25">
      <c r="A52" s="42" t="s">
        <v>237</v>
      </c>
      <c r="B52" s="84" t="s">
        <v>268</v>
      </c>
      <c r="C52" s="172">
        <v>11</v>
      </c>
      <c r="D52" s="85">
        <f>IF((C52*22)-(D32*6%)&gt;0,(C52*22)-(D32*6%),0)</f>
        <v>113.41759999999999</v>
      </c>
      <c r="E52" s="70" t="s">
        <v>419</v>
      </c>
    </row>
    <row r="53" spans="1:5" x14ac:dyDescent="0.25">
      <c r="A53" s="42" t="s">
        <v>247</v>
      </c>
      <c r="B53" s="84" t="s">
        <v>269</v>
      </c>
      <c r="C53" s="173">
        <v>22.5</v>
      </c>
      <c r="D53" s="79">
        <f>(C53)*22</f>
        <v>495</v>
      </c>
      <c r="E53" s="70" t="s">
        <v>420</v>
      </c>
    </row>
    <row r="54" spans="1:5" x14ac:dyDescent="0.25">
      <c r="A54" s="224" t="s">
        <v>270</v>
      </c>
      <c r="B54" s="225"/>
      <c r="C54" s="86"/>
      <c r="D54" s="81">
        <f>SUM(D52:D53)</f>
        <v>608.41759999999999</v>
      </c>
    </row>
    <row r="55" spans="1:5" x14ac:dyDescent="0.25">
      <c r="A55" s="231" t="s">
        <v>271</v>
      </c>
      <c r="B55" s="232"/>
      <c r="C55" s="75" t="s">
        <v>272</v>
      </c>
      <c r="D55" s="68" t="s">
        <v>245</v>
      </c>
    </row>
    <row r="56" spans="1:5" x14ac:dyDescent="0.25">
      <c r="A56" s="42" t="s">
        <v>237</v>
      </c>
      <c r="B56" s="77" t="s">
        <v>273</v>
      </c>
      <c r="C56" s="87"/>
      <c r="D56" s="88">
        <f>(D34/220)*150%*0.5*C56</f>
        <v>0</v>
      </c>
    </row>
    <row r="57" spans="1:5" ht="15.75" thickBot="1" x14ac:dyDescent="0.3">
      <c r="A57" s="241" t="s">
        <v>274</v>
      </c>
      <c r="B57" s="242"/>
      <c r="C57" s="89"/>
      <c r="D57" s="90">
        <f>SUM(D56)</f>
        <v>0</v>
      </c>
    </row>
    <row r="58" spans="1:5" x14ac:dyDescent="0.25">
      <c r="A58" s="237" t="s">
        <v>275</v>
      </c>
      <c r="B58" s="238"/>
      <c r="C58" s="238"/>
      <c r="D58" s="243"/>
    </row>
    <row r="59" spans="1:5" ht="43.5" x14ac:dyDescent="0.25">
      <c r="A59" s="91" t="s">
        <v>276</v>
      </c>
      <c r="B59" s="244" t="s">
        <v>277</v>
      </c>
      <c r="C59" s="244"/>
      <c r="D59" s="69">
        <f>(D40)</f>
        <v>569.16999359999988</v>
      </c>
    </row>
    <row r="60" spans="1:5" ht="43.5" x14ac:dyDescent="0.25">
      <c r="A60" s="91" t="s">
        <v>278</v>
      </c>
      <c r="B60" s="244" t="s">
        <v>279</v>
      </c>
      <c r="C60" s="244"/>
      <c r="D60" s="69">
        <f>(D50)</f>
        <v>1184.3580637407999</v>
      </c>
    </row>
    <row r="61" spans="1:5" ht="43.5" x14ac:dyDescent="0.25">
      <c r="A61" s="91" t="s">
        <v>280</v>
      </c>
      <c r="B61" s="244" t="s">
        <v>281</v>
      </c>
      <c r="C61" s="244"/>
      <c r="D61" s="69">
        <f>(D54)</f>
        <v>608.41759999999999</v>
      </c>
    </row>
    <row r="62" spans="1:5" ht="29.25" x14ac:dyDescent="0.25">
      <c r="A62" s="91" t="s">
        <v>282</v>
      </c>
      <c r="B62" s="245" t="s">
        <v>283</v>
      </c>
      <c r="C62" s="246"/>
      <c r="D62" s="69">
        <f>D57</f>
        <v>0</v>
      </c>
    </row>
    <row r="63" spans="1:5" ht="15.75" thickBot="1" x14ac:dyDescent="0.3">
      <c r="A63" s="241" t="s">
        <v>284</v>
      </c>
      <c r="B63" s="242"/>
      <c r="C63" s="242"/>
      <c r="D63" s="73">
        <f>SUM(D59:D62)</f>
        <v>2361.9456573407997</v>
      </c>
    </row>
    <row r="64" spans="1:5" ht="15.75" thickBot="1" x14ac:dyDescent="0.3">
      <c r="A64" s="92"/>
      <c r="B64" s="92"/>
      <c r="C64" s="92"/>
      <c r="D64" s="92"/>
    </row>
    <row r="65" spans="1:5" x14ac:dyDescent="0.25">
      <c r="A65" s="228" t="s">
        <v>285</v>
      </c>
      <c r="B65" s="229"/>
      <c r="C65" s="229"/>
      <c r="D65" s="230"/>
    </row>
    <row r="66" spans="1:5" x14ac:dyDescent="0.25">
      <c r="A66" s="237" t="s">
        <v>286</v>
      </c>
      <c r="B66" s="238"/>
      <c r="C66" s="75" t="s">
        <v>244</v>
      </c>
      <c r="D66" s="68" t="s">
        <v>245</v>
      </c>
    </row>
    <row r="67" spans="1:5" x14ac:dyDescent="0.25">
      <c r="A67" s="42" t="s">
        <v>237</v>
      </c>
      <c r="B67" s="93" t="s">
        <v>287</v>
      </c>
      <c r="C67" s="94">
        <v>4.1999999999999997E-3</v>
      </c>
      <c r="D67" s="88">
        <f t="shared" ref="D67:D72" si="1">($D$34)*(C67)</f>
        <v>11.700998399999998</v>
      </c>
    </row>
    <row r="68" spans="1:5" ht="28.5" x14ac:dyDescent="0.25">
      <c r="A68" s="42" t="s">
        <v>247</v>
      </c>
      <c r="B68" s="93" t="s">
        <v>288</v>
      </c>
      <c r="C68" s="95">
        <f>($C$49)*(C67)</f>
        <v>3.3599999999999998E-4</v>
      </c>
      <c r="D68" s="88">
        <f t="shared" si="1"/>
        <v>0.93607987199999987</v>
      </c>
    </row>
    <row r="69" spans="1:5" ht="28.5" x14ac:dyDescent="0.25">
      <c r="A69" s="42" t="s">
        <v>253</v>
      </c>
      <c r="B69" s="93" t="s">
        <v>289</v>
      </c>
      <c r="C69" s="95">
        <v>3.9199999999999999E-2</v>
      </c>
      <c r="D69" s="88">
        <f t="shared" si="1"/>
        <v>109.20931839999999</v>
      </c>
    </row>
    <row r="70" spans="1:5" ht="28.5" x14ac:dyDescent="0.25">
      <c r="A70" s="42" t="s">
        <v>255</v>
      </c>
      <c r="B70" s="93" t="s">
        <v>290</v>
      </c>
      <c r="C70" s="95">
        <v>1.9400000000000001E-2</v>
      </c>
      <c r="D70" s="88">
        <f t="shared" si="1"/>
        <v>54.047468799999997</v>
      </c>
    </row>
    <row r="71" spans="1:5" x14ac:dyDescent="0.25">
      <c r="A71" s="42" t="s">
        <v>257</v>
      </c>
      <c r="B71" s="93" t="s">
        <v>291</v>
      </c>
      <c r="C71" s="95">
        <f>($C$50)*(C70)</f>
        <v>6.8482000000000013E-3</v>
      </c>
      <c r="D71" s="88">
        <f t="shared" si="1"/>
        <v>19.078756486400003</v>
      </c>
    </row>
    <row r="72" spans="1:5" ht="28.5" x14ac:dyDescent="0.25">
      <c r="A72" s="42" t="s">
        <v>259</v>
      </c>
      <c r="B72" s="93" t="s">
        <v>292</v>
      </c>
      <c r="C72" s="95">
        <v>8.0000000000000004E-4</v>
      </c>
      <c r="D72" s="88">
        <f t="shared" si="1"/>
        <v>2.2287615999999999</v>
      </c>
    </row>
    <row r="73" spans="1:5" ht="15.75" thickBot="1" x14ac:dyDescent="0.3">
      <c r="A73" s="241" t="s">
        <v>293</v>
      </c>
      <c r="B73" s="242"/>
      <c r="C73" s="96">
        <f>SUM(C67:C72)</f>
        <v>7.0784199999999992E-2</v>
      </c>
      <c r="D73" s="73">
        <f>SUM(D67:D72)</f>
        <v>197.20138355840001</v>
      </c>
    </row>
    <row r="74" spans="1:5" ht="15.75" thickBot="1" x14ac:dyDescent="0.3">
      <c r="A74" s="92"/>
      <c r="B74" s="97"/>
      <c r="C74" s="97"/>
      <c r="D74" s="97"/>
    </row>
    <row r="75" spans="1:5" x14ac:dyDescent="0.25">
      <c r="A75" s="228" t="s">
        <v>294</v>
      </c>
      <c r="B75" s="229"/>
      <c r="C75" s="229"/>
      <c r="D75" s="230"/>
    </row>
    <row r="76" spans="1:5" x14ac:dyDescent="0.25">
      <c r="A76" s="231" t="s">
        <v>295</v>
      </c>
      <c r="B76" s="232"/>
      <c r="C76" s="75" t="s">
        <v>244</v>
      </c>
      <c r="D76" s="68" t="s">
        <v>245</v>
      </c>
    </row>
    <row r="77" spans="1:5" x14ac:dyDescent="0.25">
      <c r="A77" s="42" t="s">
        <v>237</v>
      </c>
      <c r="B77" s="77" t="s">
        <v>296</v>
      </c>
      <c r="C77" s="95">
        <v>0</v>
      </c>
      <c r="D77" s="88">
        <f>($D$34+$D$40+$D$50+$D$54+$D$73)*(C77)</f>
        <v>0</v>
      </c>
      <c r="E77" s="74"/>
    </row>
    <row r="78" spans="1:5" x14ac:dyDescent="0.25">
      <c r="A78" s="42" t="s">
        <v>247</v>
      </c>
      <c r="B78" s="77" t="s">
        <v>297</v>
      </c>
      <c r="C78" s="95">
        <v>2.3999999999999998E-3</v>
      </c>
      <c r="D78" s="88">
        <f>($D$34+$D$40+$D$50+$D$54+$D$73)*(C78)</f>
        <v>12.828237698158077</v>
      </c>
    </row>
    <row r="79" spans="1:5" x14ac:dyDescent="0.25">
      <c r="A79" s="42" t="s">
        <v>253</v>
      </c>
      <c r="B79" s="77" t="s">
        <v>298</v>
      </c>
      <c r="C79" s="95">
        <v>1E-3</v>
      </c>
      <c r="D79" s="88">
        <f>($D$34+$D$40+$D$50+$D$54+$D$73)*(C79)</f>
        <v>5.345099040899199</v>
      </c>
    </row>
    <row r="80" spans="1:5" x14ac:dyDescent="0.25">
      <c r="A80" s="42" t="s">
        <v>255</v>
      </c>
      <c r="B80" s="77" t="s">
        <v>299</v>
      </c>
      <c r="C80" s="95">
        <v>1.6999999999999999E-3</v>
      </c>
      <c r="D80" s="88">
        <f>($D$34+$D$40+$D$50+$D$54+$D$73)*(C80)</f>
        <v>9.0866683695286383</v>
      </c>
    </row>
    <row r="81" spans="1:5" x14ac:dyDescent="0.25">
      <c r="A81" s="42" t="s">
        <v>257</v>
      </c>
      <c r="B81" s="93" t="s">
        <v>300</v>
      </c>
      <c r="C81" s="95">
        <v>5.0000000000000001E-4</v>
      </c>
      <c r="D81" s="88">
        <f>($D$34+$D$40+$D$50+$D$54+$D$73)*(C81)</f>
        <v>2.6725495204495995</v>
      </c>
    </row>
    <row r="82" spans="1:5" x14ac:dyDescent="0.25">
      <c r="A82" s="224" t="s">
        <v>301</v>
      </c>
      <c r="B82" s="225"/>
      <c r="C82" s="98">
        <f>SUM(C77:C81)</f>
        <v>5.5999999999999991E-3</v>
      </c>
      <c r="D82" s="99">
        <f>SUM(D77:D81)</f>
        <v>29.932554629035515</v>
      </c>
    </row>
    <row r="83" spans="1:5" x14ac:dyDescent="0.25">
      <c r="A83" s="231" t="s">
        <v>302</v>
      </c>
      <c r="B83" s="232"/>
      <c r="C83" s="75"/>
      <c r="D83" s="68" t="s">
        <v>245</v>
      </c>
    </row>
    <row r="84" spans="1:5" x14ac:dyDescent="0.25">
      <c r="A84" s="42" t="s">
        <v>237</v>
      </c>
      <c r="B84" s="77" t="s">
        <v>303</v>
      </c>
      <c r="C84" s="87"/>
      <c r="D84" s="88">
        <f>(D62/220)*150%*0.5*C84</f>
        <v>0</v>
      </c>
    </row>
    <row r="85" spans="1:5" ht="15.75" thickBot="1" x14ac:dyDescent="0.3">
      <c r="A85" s="241" t="s">
        <v>304</v>
      </c>
      <c r="B85" s="242"/>
      <c r="C85" s="89"/>
      <c r="D85" s="90">
        <f>SUM(D84)</f>
        <v>0</v>
      </c>
    </row>
    <row r="86" spans="1:5" x14ac:dyDescent="0.25">
      <c r="A86" s="249" t="s">
        <v>305</v>
      </c>
      <c r="B86" s="250"/>
      <c r="C86" s="250"/>
      <c r="D86" s="251"/>
    </row>
    <row r="87" spans="1:5" ht="43.5" x14ac:dyDescent="0.25">
      <c r="A87" s="91" t="s">
        <v>306</v>
      </c>
      <c r="B87" s="252" t="s">
        <v>307</v>
      </c>
      <c r="C87" s="253"/>
      <c r="D87" s="69">
        <f>(D82)</f>
        <v>29.932554629035515</v>
      </c>
    </row>
    <row r="88" spans="1:5" x14ac:dyDescent="0.25">
      <c r="A88" s="100" t="s">
        <v>308</v>
      </c>
      <c r="B88" s="245" t="s">
        <v>303</v>
      </c>
      <c r="C88" s="246"/>
      <c r="D88" s="88">
        <f>D85</f>
        <v>0</v>
      </c>
    </row>
    <row r="89" spans="1:5" ht="15.75" thickBot="1" x14ac:dyDescent="0.3">
      <c r="A89" s="241" t="s">
        <v>309</v>
      </c>
      <c r="B89" s="242"/>
      <c r="C89" s="248"/>
      <c r="D89" s="73">
        <f>SUM(D87:D88)</f>
        <v>29.932554629035515</v>
      </c>
    </row>
    <row r="90" spans="1:5" ht="15.75" thickBot="1" x14ac:dyDescent="0.3">
      <c r="A90" s="92"/>
      <c r="B90" s="92"/>
      <c r="C90" s="92"/>
      <c r="D90" s="92"/>
    </row>
    <row r="91" spans="1:5" x14ac:dyDescent="0.25">
      <c r="A91" s="228" t="s">
        <v>310</v>
      </c>
      <c r="B91" s="229"/>
      <c r="C91" s="229"/>
      <c r="D91" s="230"/>
    </row>
    <row r="92" spans="1:5" x14ac:dyDescent="0.25">
      <c r="A92" s="237" t="s">
        <v>311</v>
      </c>
      <c r="B92" s="238"/>
      <c r="C92" s="238"/>
      <c r="D92" s="68" t="s">
        <v>245</v>
      </c>
    </row>
    <row r="93" spans="1:5" x14ac:dyDescent="0.25">
      <c r="A93" s="42" t="s">
        <v>237</v>
      </c>
      <c r="B93" s="101" t="s">
        <v>312</v>
      </c>
      <c r="C93" s="102"/>
      <c r="D93" s="164">
        <v>0</v>
      </c>
      <c r="E93" s="247"/>
    </row>
    <row r="94" spans="1:5" x14ac:dyDescent="0.25">
      <c r="A94" s="42" t="s">
        <v>247</v>
      </c>
      <c r="B94" s="101" t="s">
        <v>313</v>
      </c>
      <c r="C94" s="102"/>
      <c r="D94" s="79">
        <v>0</v>
      </c>
      <c r="E94" s="247"/>
    </row>
    <row r="95" spans="1:5" x14ac:dyDescent="0.25">
      <c r="A95" s="42" t="s">
        <v>253</v>
      </c>
      <c r="B95" s="101" t="s">
        <v>314</v>
      </c>
      <c r="C95" s="102"/>
      <c r="D95" s="79">
        <f>MATERIAL_FERRAMENTAL!$H$68</f>
        <v>106.88</v>
      </c>
      <c r="E95" s="247"/>
    </row>
    <row r="96" spans="1:5" x14ac:dyDescent="0.25">
      <c r="A96" s="42" t="s">
        <v>315</v>
      </c>
      <c r="B96" s="101" t="s">
        <v>98</v>
      </c>
      <c r="C96" s="102"/>
      <c r="D96" s="79">
        <f>MATERIAL_FERRAMENTAL!$H$79</f>
        <v>43.250000000000007</v>
      </c>
      <c r="E96" s="247"/>
    </row>
    <row r="97" spans="1:5" ht="15.75" thickBot="1" x14ac:dyDescent="0.3">
      <c r="A97" s="241" t="s">
        <v>316</v>
      </c>
      <c r="B97" s="248"/>
      <c r="C97" s="103">
        <f>C93</f>
        <v>0</v>
      </c>
      <c r="D97" s="73">
        <f>SUM(D93:D95)</f>
        <v>106.88</v>
      </c>
    </row>
    <row r="98" spans="1:5" ht="15.75" thickBot="1" x14ac:dyDescent="0.3">
      <c r="A98" s="104"/>
      <c r="B98" s="105"/>
      <c r="C98" s="105"/>
      <c r="D98" s="106"/>
    </row>
    <row r="99" spans="1:5" x14ac:dyDescent="0.25">
      <c r="A99" s="254" t="s">
        <v>317</v>
      </c>
      <c r="B99" s="255"/>
      <c r="C99" s="255"/>
      <c r="D99" s="256"/>
    </row>
    <row r="100" spans="1:5" x14ac:dyDescent="0.25">
      <c r="A100" s="257" t="s">
        <v>318</v>
      </c>
      <c r="B100" s="258"/>
      <c r="C100" s="75" t="s">
        <v>244</v>
      </c>
      <c r="D100" s="107" t="s">
        <v>245</v>
      </c>
    </row>
    <row r="101" spans="1:5" x14ac:dyDescent="0.25">
      <c r="A101" s="42" t="s">
        <v>237</v>
      </c>
      <c r="B101" s="108" t="s">
        <v>319</v>
      </c>
      <c r="C101" s="78">
        <v>0.05</v>
      </c>
      <c r="D101" s="88">
        <f>(D34+D63+D73+D89+D97)*C101</f>
        <v>274.0955797764118</v>
      </c>
      <c r="E101" s="109"/>
    </row>
    <row r="102" spans="1:5" x14ac:dyDescent="0.25">
      <c r="A102" s="42" t="s">
        <v>247</v>
      </c>
      <c r="B102" s="108" t="s">
        <v>320</v>
      </c>
      <c r="C102" s="78">
        <v>0.1</v>
      </c>
      <c r="D102" s="88">
        <f>(D34+D63+D73+D89+D97+D101)*C102</f>
        <v>575.60071753046475</v>
      </c>
      <c r="E102" s="109"/>
    </row>
    <row r="103" spans="1:5" x14ac:dyDescent="0.25">
      <c r="A103" s="259" t="s">
        <v>253</v>
      </c>
      <c r="B103" s="82" t="s">
        <v>321</v>
      </c>
      <c r="C103" s="110">
        <f>C104+C105+C108</f>
        <v>8.6499999999999994E-2</v>
      </c>
      <c r="D103" s="111"/>
      <c r="E103" s="112"/>
    </row>
    <row r="104" spans="1:5" x14ac:dyDescent="0.25">
      <c r="A104" s="259"/>
      <c r="B104" s="113" t="s">
        <v>322</v>
      </c>
      <c r="C104" s="78">
        <v>0.03</v>
      </c>
      <c r="D104" s="88">
        <f>((D34+D63+D73+D89+D97+D101+D102)/(1-C103))*C104</f>
        <v>207.93457776141585</v>
      </c>
      <c r="E104" s="112"/>
    </row>
    <row r="105" spans="1:5" x14ac:dyDescent="0.25">
      <c r="A105" s="259"/>
      <c r="B105" s="113" t="s">
        <v>323</v>
      </c>
      <c r="C105" s="78">
        <v>6.4999999999999997E-3</v>
      </c>
      <c r="D105" s="88">
        <f>((D34+D63+D73+D89+D97+D101+D102)/(1-C103))*C105</f>
        <v>45.052491848306765</v>
      </c>
      <c r="E105" s="112"/>
    </row>
    <row r="106" spans="1:5" x14ac:dyDescent="0.25">
      <c r="A106" s="259"/>
      <c r="B106" s="82" t="s">
        <v>324</v>
      </c>
      <c r="C106" s="114"/>
      <c r="D106" s="88"/>
    </row>
    <row r="107" spans="1:5" x14ac:dyDescent="0.25">
      <c r="A107" s="259"/>
      <c r="B107" s="82" t="s">
        <v>325</v>
      </c>
      <c r="C107" s="114"/>
      <c r="D107" s="88"/>
      <c r="E107" s="39" t="s">
        <v>412</v>
      </c>
    </row>
    <row r="108" spans="1:5" x14ac:dyDescent="0.25">
      <c r="A108" s="259"/>
      <c r="B108" s="113" t="s">
        <v>326</v>
      </c>
      <c r="C108" s="78">
        <v>0.05</v>
      </c>
      <c r="D108" s="88">
        <f>((D34+D63+D73+D89+D97+D101+D102)/(1-C103))*C108</f>
        <v>346.55762960235978</v>
      </c>
      <c r="E108" s="74">
        <f>D102/(44*4)</f>
        <v>3.2704586223321859</v>
      </c>
    </row>
    <row r="109" spans="1:5" ht="15.75" thickBot="1" x14ac:dyDescent="0.3">
      <c r="A109" s="241" t="s">
        <v>327</v>
      </c>
      <c r="B109" s="242"/>
      <c r="C109" s="115">
        <f>C101+C102+C104+C105+C108</f>
        <v>0.23650000000000004</v>
      </c>
      <c r="D109" s="90">
        <f>SUM(D101:D102,D104:D105,D108)</f>
        <v>1449.240996518959</v>
      </c>
      <c r="E109" s="39" t="s">
        <v>413</v>
      </c>
    </row>
    <row r="110" spans="1:5" ht="15.75" thickBot="1" x14ac:dyDescent="0.3">
      <c r="A110" s="92"/>
      <c r="B110" s="92"/>
      <c r="C110" s="92"/>
      <c r="D110" s="92"/>
      <c r="E110" s="74">
        <f>E108*48</f>
        <v>156.98201387194493</v>
      </c>
    </row>
    <row r="111" spans="1:5" x14ac:dyDescent="0.25">
      <c r="A111" s="228" t="s">
        <v>328</v>
      </c>
      <c r="B111" s="229"/>
      <c r="C111" s="229"/>
      <c r="D111" s="230"/>
      <c r="E111" s="74"/>
    </row>
    <row r="112" spans="1:5" x14ac:dyDescent="0.25">
      <c r="A112" s="237" t="s">
        <v>329</v>
      </c>
      <c r="B112" s="238"/>
      <c r="C112" s="238"/>
      <c r="D112" s="116" t="s">
        <v>245</v>
      </c>
    </row>
    <row r="113" spans="1:5" x14ac:dyDescent="0.25">
      <c r="A113" s="42" t="s">
        <v>237</v>
      </c>
      <c r="B113" s="263" t="s">
        <v>330</v>
      </c>
      <c r="C113" s="264"/>
      <c r="D113" s="117">
        <f>(D34)</f>
        <v>2785.9519999999998</v>
      </c>
    </row>
    <row r="114" spans="1:5" x14ac:dyDescent="0.25">
      <c r="A114" s="42" t="s">
        <v>247</v>
      </c>
      <c r="B114" s="263" t="s">
        <v>331</v>
      </c>
      <c r="C114" s="264"/>
      <c r="D114" s="88">
        <f>(D63)</f>
        <v>2361.9456573407997</v>
      </c>
    </row>
    <row r="115" spans="1:5" x14ac:dyDescent="0.25">
      <c r="A115" s="42" t="s">
        <v>253</v>
      </c>
      <c r="B115" s="263" t="s">
        <v>332</v>
      </c>
      <c r="C115" s="264"/>
      <c r="D115" s="88">
        <f>(D73)</f>
        <v>197.20138355840001</v>
      </c>
    </row>
    <row r="116" spans="1:5" x14ac:dyDescent="0.25">
      <c r="A116" s="42" t="s">
        <v>255</v>
      </c>
      <c r="B116" s="263" t="s">
        <v>333</v>
      </c>
      <c r="C116" s="264"/>
      <c r="D116" s="88">
        <f>(D89)</f>
        <v>29.932554629035515</v>
      </c>
    </row>
    <row r="117" spans="1:5" x14ac:dyDescent="0.25">
      <c r="A117" s="42" t="s">
        <v>257</v>
      </c>
      <c r="B117" s="263" t="s">
        <v>334</v>
      </c>
      <c r="C117" s="264"/>
      <c r="D117" s="88">
        <f>D97</f>
        <v>106.88</v>
      </c>
    </row>
    <row r="118" spans="1:5" x14ac:dyDescent="0.25">
      <c r="A118" s="265" t="s">
        <v>335</v>
      </c>
      <c r="B118" s="266"/>
      <c r="C118" s="267"/>
      <c r="D118" s="118">
        <f>SUM(D113:D117)</f>
        <v>5481.9115955282359</v>
      </c>
      <c r="E118" s="74"/>
    </row>
    <row r="119" spans="1:5" ht="15.75" thickBot="1" x14ac:dyDescent="0.3">
      <c r="A119" s="119" t="s">
        <v>259</v>
      </c>
      <c r="B119" s="260" t="s">
        <v>336</v>
      </c>
      <c r="C119" s="260"/>
      <c r="D119" s="120">
        <f>(D109)</f>
        <v>1449.240996518959</v>
      </c>
    </row>
    <row r="120" spans="1:5" ht="15.75" thickBot="1" x14ac:dyDescent="0.3">
      <c r="A120" s="261" t="s">
        <v>337</v>
      </c>
      <c r="B120" s="262"/>
      <c r="C120" s="262"/>
      <c r="D120" s="121">
        <f>SUM(D118:D119)</f>
        <v>6931.152592047195</v>
      </c>
    </row>
    <row r="121" spans="1:5" ht="15.75" thickBot="1" x14ac:dyDescent="0.3">
      <c r="A121" s="261" t="s">
        <v>338</v>
      </c>
      <c r="B121" s="262"/>
      <c r="C121" s="262"/>
      <c r="D121" s="121">
        <f>D120/(44*4)</f>
        <v>39.381548818449971</v>
      </c>
    </row>
    <row r="122" spans="1:5" x14ac:dyDescent="0.25">
      <c r="D122" s="58"/>
    </row>
    <row r="123" spans="1:5" x14ac:dyDescent="0.25">
      <c r="D123" s="58"/>
    </row>
    <row r="124" spans="1:5" x14ac:dyDescent="0.25">
      <c r="D124" s="58"/>
    </row>
    <row r="125" spans="1:5" x14ac:dyDescent="0.25">
      <c r="C125" s="122"/>
    </row>
  </sheetData>
  <mergeCells count="74">
    <mergeCell ref="B119:C119"/>
    <mergeCell ref="A120:C120"/>
    <mergeCell ref="A121:C121"/>
    <mergeCell ref="B113:C113"/>
    <mergeCell ref="B114:C114"/>
    <mergeCell ref="B115:C115"/>
    <mergeCell ref="B116:C116"/>
    <mergeCell ref="B117:C117"/>
    <mergeCell ref="A118:C118"/>
    <mergeCell ref="A112:C112"/>
    <mergeCell ref="B88:C88"/>
    <mergeCell ref="A89:C89"/>
    <mergeCell ref="A91:D91"/>
    <mergeCell ref="A92:C92"/>
    <mergeCell ref="A99:D99"/>
    <mergeCell ref="A100:B100"/>
    <mergeCell ref="A103:A108"/>
    <mergeCell ref="A109:B109"/>
    <mergeCell ref="A111:D111"/>
    <mergeCell ref="E93:E96"/>
    <mergeCell ref="A97:B97"/>
    <mergeCell ref="A76:B76"/>
    <mergeCell ref="A82:B82"/>
    <mergeCell ref="A83:B83"/>
    <mergeCell ref="A85:B85"/>
    <mergeCell ref="A86:D86"/>
    <mergeCell ref="B87:C87"/>
    <mergeCell ref="A75:D75"/>
    <mergeCell ref="A55:B55"/>
    <mergeCell ref="A57:B57"/>
    <mergeCell ref="A58:D58"/>
    <mergeCell ref="B59:C59"/>
    <mergeCell ref="B60:C60"/>
    <mergeCell ref="B61:C61"/>
    <mergeCell ref="B62:C62"/>
    <mergeCell ref="A63:C63"/>
    <mergeCell ref="A65:D65"/>
    <mergeCell ref="A66:B66"/>
    <mergeCell ref="A73:B73"/>
    <mergeCell ref="A54:B54"/>
    <mergeCell ref="B28:C28"/>
    <mergeCell ref="A30:D30"/>
    <mergeCell ref="A31:C31"/>
    <mergeCell ref="B32:C32"/>
    <mergeCell ref="A34:C34"/>
    <mergeCell ref="A36:D36"/>
    <mergeCell ref="A37:B37"/>
    <mergeCell ref="A40:B40"/>
    <mergeCell ref="A41:B41"/>
    <mergeCell ref="A50:B50"/>
    <mergeCell ref="A51:B51"/>
    <mergeCell ref="B27:C27"/>
    <mergeCell ref="C13:D13"/>
    <mergeCell ref="B14:C14"/>
    <mergeCell ref="B16:C16"/>
    <mergeCell ref="B17:C17"/>
    <mergeCell ref="A20:D20"/>
    <mergeCell ref="B21:C21"/>
    <mergeCell ref="B22:C22"/>
    <mergeCell ref="B23:C23"/>
    <mergeCell ref="B24:C24"/>
    <mergeCell ref="B25:C25"/>
    <mergeCell ref="B26:C26"/>
    <mergeCell ref="A12:D12"/>
    <mergeCell ref="A1:D1"/>
    <mergeCell ref="A2:D2"/>
    <mergeCell ref="A3:D3"/>
    <mergeCell ref="A4:D4"/>
    <mergeCell ref="A5:D5"/>
    <mergeCell ref="A6:D6"/>
    <mergeCell ref="C7:D7"/>
    <mergeCell ref="C8:D8"/>
    <mergeCell ref="C9:D9"/>
    <mergeCell ref="C10:D10"/>
  </mergeCells>
  <pageMargins left="0.511811024" right="0.511811024" top="0.78740157499999996" bottom="0.78740157499999996" header="0.31496062000000002" footer="0.31496062000000002"/>
  <pageSetup paperSize="9" scale="77" orientation="portrait" r:id="rId1"/>
  <rowBreaks count="2" manualBreakCount="2">
    <brk id="58" max="4" man="1"/>
    <brk id="110" max="16383" man="1"/>
  </rowBreaks>
  <colBreaks count="1" manualBreakCount="1">
    <brk id="4" max="120" man="1"/>
  </colBreak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2FB607-9EF3-45BB-A4ED-2CF2D25285E9}">
  <sheetPr>
    <tabColor theme="5" tint="0.59999389629810485"/>
  </sheetPr>
  <dimension ref="A1:E125"/>
  <sheetViews>
    <sheetView showGridLines="0" tabSelected="1" topLeftCell="A91" zoomScaleNormal="100" workbookViewId="0">
      <selection activeCell="F46" sqref="F46"/>
    </sheetView>
  </sheetViews>
  <sheetFormatPr defaultRowHeight="15" x14ac:dyDescent="0.25"/>
  <cols>
    <col min="1" max="1" width="3.85546875" style="48" customWidth="1"/>
    <col min="2" max="2" width="70.7109375" style="57" customWidth="1"/>
    <col min="3" max="3" width="14.7109375" style="48" customWidth="1"/>
    <col min="4" max="4" width="23.7109375" style="123" customWidth="1"/>
    <col min="5" max="5" width="100" style="39" customWidth="1"/>
  </cols>
  <sheetData>
    <row r="1" spans="1:5" ht="16.5" thickBot="1" x14ac:dyDescent="0.3">
      <c r="A1" s="200" t="s">
        <v>181</v>
      </c>
      <c r="B1" s="201"/>
      <c r="C1" s="201"/>
      <c r="D1" s="202"/>
    </row>
    <row r="2" spans="1:5" ht="15.75" x14ac:dyDescent="0.25">
      <c r="A2" s="203" t="s">
        <v>182</v>
      </c>
      <c r="B2" s="203"/>
      <c r="C2" s="203"/>
      <c r="D2" s="203"/>
    </row>
    <row r="3" spans="1:5" ht="15.75" x14ac:dyDescent="0.25">
      <c r="A3" s="203" t="s">
        <v>183</v>
      </c>
      <c r="B3" s="203"/>
      <c r="C3" s="203"/>
      <c r="D3" s="203"/>
    </row>
    <row r="4" spans="1:5" ht="15.75" thickBot="1" x14ac:dyDescent="0.3">
      <c r="A4" s="204"/>
      <c r="B4" s="204"/>
      <c r="C4" s="204"/>
      <c r="D4" s="204"/>
    </row>
    <row r="5" spans="1:5" ht="16.5" thickBot="1" x14ac:dyDescent="0.3">
      <c r="A5" s="200" t="s">
        <v>184</v>
      </c>
      <c r="B5" s="201"/>
      <c r="C5" s="201"/>
      <c r="D5" s="202"/>
    </row>
    <row r="6" spans="1:5" ht="15.75" thickBot="1" x14ac:dyDescent="0.3">
      <c r="A6" s="197" t="s">
        <v>185</v>
      </c>
      <c r="B6" s="198"/>
      <c r="C6" s="205"/>
      <c r="D6" s="206"/>
    </row>
    <row r="7" spans="1:5" x14ac:dyDescent="0.25">
      <c r="A7" s="40" t="s">
        <v>186</v>
      </c>
      <c r="B7" s="41" t="s">
        <v>187</v>
      </c>
      <c r="C7" s="207" t="s">
        <v>188</v>
      </c>
      <c r="D7" s="208"/>
    </row>
    <row r="8" spans="1:5" x14ac:dyDescent="0.25">
      <c r="A8" s="42" t="s">
        <v>189</v>
      </c>
      <c r="B8" s="43" t="s">
        <v>190</v>
      </c>
      <c r="C8" s="209" t="s">
        <v>415</v>
      </c>
      <c r="D8" s="210"/>
    </row>
    <row r="9" spans="1:5" x14ac:dyDescent="0.25">
      <c r="A9" s="42" t="s">
        <v>191</v>
      </c>
      <c r="B9" s="43" t="s">
        <v>192</v>
      </c>
      <c r="C9" s="211">
        <v>45075</v>
      </c>
      <c r="D9" s="212"/>
    </row>
    <row r="10" spans="1:5" ht="15.75" thickBot="1" x14ac:dyDescent="0.3">
      <c r="A10" s="44" t="s">
        <v>193</v>
      </c>
      <c r="B10" s="45" t="s">
        <v>194</v>
      </c>
      <c r="C10" s="213">
        <v>0.45833333333333331</v>
      </c>
      <c r="D10" s="214"/>
    </row>
    <row r="11" spans="1:5" ht="15.75" thickBot="1" x14ac:dyDescent="0.3">
      <c r="A11" s="46"/>
      <c r="B11" s="47"/>
      <c r="D11" s="49"/>
    </row>
    <row r="12" spans="1:5" ht="15.75" thickBot="1" x14ac:dyDescent="0.3">
      <c r="A12" s="197" t="s">
        <v>195</v>
      </c>
      <c r="B12" s="198"/>
      <c r="C12" s="198"/>
      <c r="D12" s="199"/>
    </row>
    <row r="13" spans="1:5" x14ac:dyDescent="0.25">
      <c r="A13" s="40" t="s">
        <v>196</v>
      </c>
      <c r="B13" s="41" t="s">
        <v>197</v>
      </c>
      <c r="C13" s="217"/>
      <c r="D13" s="218"/>
    </row>
    <row r="14" spans="1:5" x14ac:dyDescent="0.25">
      <c r="A14" s="42" t="s">
        <v>198</v>
      </c>
      <c r="B14" s="219" t="s">
        <v>199</v>
      </c>
      <c r="C14" s="219"/>
      <c r="D14" s="50" t="s">
        <v>200</v>
      </c>
    </row>
    <row r="15" spans="1:5" x14ac:dyDescent="0.25">
      <c r="A15" s="42" t="s">
        <v>201</v>
      </c>
      <c r="B15" s="43" t="s">
        <v>202</v>
      </c>
      <c r="C15" s="51" t="s">
        <v>203</v>
      </c>
      <c r="D15" s="50" t="s">
        <v>204</v>
      </c>
      <c r="E15" s="52"/>
    </row>
    <row r="16" spans="1:5" ht="28.5" x14ac:dyDescent="0.25">
      <c r="A16" s="42" t="s">
        <v>205</v>
      </c>
      <c r="B16" s="219" t="s">
        <v>206</v>
      </c>
      <c r="C16" s="219"/>
      <c r="D16" s="53" t="s">
        <v>207</v>
      </c>
    </row>
    <row r="17" spans="1:5" x14ac:dyDescent="0.25">
      <c r="A17" s="42" t="s">
        <v>208</v>
      </c>
      <c r="B17" s="219" t="s">
        <v>209</v>
      </c>
      <c r="C17" s="219"/>
      <c r="D17" s="50" t="s">
        <v>210</v>
      </c>
    </row>
    <row r="18" spans="1:5" ht="15.75" thickBot="1" x14ac:dyDescent="0.3">
      <c r="A18" s="44" t="s">
        <v>211</v>
      </c>
      <c r="B18" s="54" t="s">
        <v>212</v>
      </c>
      <c r="C18" s="55" t="s">
        <v>213</v>
      </c>
      <c r="D18" s="56">
        <v>1320</v>
      </c>
    </row>
    <row r="19" spans="1:5" ht="15.75" thickBot="1" x14ac:dyDescent="0.3">
      <c r="D19" s="58"/>
    </row>
    <row r="20" spans="1:5" ht="15.75" thickBot="1" x14ac:dyDescent="0.3">
      <c r="A20" s="220" t="s">
        <v>214</v>
      </c>
      <c r="B20" s="221"/>
      <c r="C20" s="221"/>
      <c r="D20" s="222"/>
      <c r="E20" s="59" t="s">
        <v>215</v>
      </c>
    </row>
    <row r="21" spans="1:5" ht="30" x14ac:dyDescent="0.25">
      <c r="A21" s="40" t="s">
        <v>216</v>
      </c>
      <c r="B21" s="223" t="s">
        <v>217</v>
      </c>
      <c r="C21" s="223"/>
      <c r="D21" s="60" t="s">
        <v>407</v>
      </c>
    </row>
    <row r="22" spans="1:5" x14ac:dyDescent="0.25">
      <c r="A22" s="42" t="s">
        <v>219</v>
      </c>
      <c r="B22" s="215" t="s">
        <v>220</v>
      </c>
      <c r="C22" s="215"/>
      <c r="D22" s="61" t="s">
        <v>408</v>
      </c>
    </row>
    <row r="23" spans="1:5" x14ac:dyDescent="0.25">
      <c r="A23" s="42" t="s">
        <v>221</v>
      </c>
      <c r="B23" s="215" t="s">
        <v>222</v>
      </c>
      <c r="C23" s="215"/>
      <c r="D23" s="175">
        <v>1320</v>
      </c>
      <c r="E23" s="63"/>
    </row>
    <row r="24" spans="1:5" x14ac:dyDescent="0.25">
      <c r="A24" s="42" t="s">
        <v>223</v>
      </c>
      <c r="B24" s="215" t="s">
        <v>224</v>
      </c>
      <c r="C24" s="215"/>
      <c r="D24" s="170" t="s">
        <v>416</v>
      </c>
      <c r="E24" s="70" t="s">
        <v>417</v>
      </c>
    </row>
    <row r="25" spans="1:5" x14ac:dyDescent="0.25">
      <c r="A25" s="42" t="s">
        <v>225</v>
      </c>
      <c r="B25" s="215" t="s">
        <v>226</v>
      </c>
      <c r="C25" s="215"/>
      <c r="D25" s="171">
        <v>44680</v>
      </c>
    </row>
    <row r="26" spans="1:5" x14ac:dyDescent="0.25">
      <c r="A26" s="42" t="s">
        <v>227</v>
      </c>
      <c r="B26" s="215" t="s">
        <v>228</v>
      </c>
      <c r="C26" s="215"/>
      <c r="D26" s="62">
        <v>45047</v>
      </c>
    </row>
    <row r="27" spans="1:5" x14ac:dyDescent="0.25">
      <c r="A27" s="42" t="s">
        <v>229</v>
      </c>
      <c r="B27" s="215" t="s">
        <v>230</v>
      </c>
      <c r="C27" s="216"/>
      <c r="D27" s="62" t="s">
        <v>231</v>
      </c>
      <c r="E27" s="70" t="s">
        <v>418</v>
      </c>
    </row>
    <row r="28" spans="1:5" ht="15.75" thickBot="1" x14ac:dyDescent="0.3">
      <c r="A28" s="44" t="s">
        <v>232</v>
      </c>
      <c r="B28" s="226" t="s">
        <v>233</v>
      </c>
      <c r="C28" s="227"/>
      <c r="D28" s="64">
        <v>1</v>
      </c>
      <c r="E28" s="52"/>
    </row>
    <row r="29" spans="1:5" ht="15.75" thickBot="1" x14ac:dyDescent="0.3">
      <c r="A29" s="65"/>
      <c r="B29" s="66"/>
      <c r="C29" s="66"/>
      <c r="D29" s="67"/>
    </row>
    <row r="30" spans="1:5" x14ac:dyDescent="0.25">
      <c r="A30" s="228" t="s">
        <v>234</v>
      </c>
      <c r="B30" s="229"/>
      <c r="C30" s="229"/>
      <c r="D30" s="230"/>
    </row>
    <row r="31" spans="1:5" x14ac:dyDescent="0.25">
      <c r="A31" s="231" t="s">
        <v>235</v>
      </c>
      <c r="B31" s="232"/>
      <c r="C31" s="233"/>
      <c r="D31" s="68" t="s">
        <v>236</v>
      </c>
    </row>
    <row r="32" spans="1:5" x14ac:dyDescent="0.25">
      <c r="A32" s="42" t="s">
        <v>237</v>
      </c>
      <c r="B32" s="234" t="s">
        <v>238</v>
      </c>
      <c r="C32" s="234"/>
      <c r="D32" s="69">
        <f>D23</f>
        <v>1320</v>
      </c>
      <c r="E32" s="70"/>
    </row>
    <row r="33" spans="1:5" x14ac:dyDescent="0.25">
      <c r="A33" s="42" t="s">
        <v>239</v>
      </c>
      <c r="B33" s="71" t="s">
        <v>240</v>
      </c>
      <c r="C33" s="72">
        <v>0.3</v>
      </c>
      <c r="D33" s="69">
        <f>D32*C33</f>
        <v>396</v>
      </c>
      <c r="E33" s="70"/>
    </row>
    <row r="34" spans="1:5" ht="15.75" thickBot="1" x14ac:dyDescent="0.3">
      <c r="A34" s="235" t="s">
        <v>241</v>
      </c>
      <c r="B34" s="236"/>
      <c r="C34" s="236"/>
      <c r="D34" s="73">
        <f>SUM(D32:D33)</f>
        <v>1716</v>
      </c>
      <c r="E34" s="74"/>
    </row>
    <row r="35" spans="1:5" ht="15.75" thickBot="1" x14ac:dyDescent="0.3">
      <c r="A35" s="57"/>
      <c r="C35" s="57"/>
      <c r="D35" s="57"/>
    </row>
    <row r="36" spans="1:5" x14ac:dyDescent="0.25">
      <c r="A36" s="228" t="s">
        <v>242</v>
      </c>
      <c r="B36" s="229"/>
      <c r="C36" s="229"/>
      <c r="D36" s="230"/>
    </row>
    <row r="37" spans="1:5" x14ac:dyDescent="0.25">
      <c r="A37" s="237" t="s">
        <v>243</v>
      </c>
      <c r="B37" s="238"/>
      <c r="C37" s="75" t="s">
        <v>244</v>
      </c>
      <c r="D37" s="76" t="s">
        <v>245</v>
      </c>
    </row>
    <row r="38" spans="1:5" x14ac:dyDescent="0.25">
      <c r="A38" s="42" t="s">
        <v>237</v>
      </c>
      <c r="B38" s="77" t="s">
        <v>246</v>
      </c>
      <c r="C38" s="78">
        <v>8.3299999999999999E-2</v>
      </c>
      <c r="D38" s="79">
        <f>(D34)*($C$38)</f>
        <v>142.94280000000001</v>
      </c>
    </row>
    <row r="39" spans="1:5" x14ac:dyDescent="0.25">
      <c r="A39" s="42" t="s">
        <v>247</v>
      </c>
      <c r="B39" s="77" t="s">
        <v>248</v>
      </c>
      <c r="C39" s="78">
        <v>0.121</v>
      </c>
      <c r="D39" s="79">
        <f>(D34)*($C$39)</f>
        <v>207.636</v>
      </c>
      <c r="E39" s="74"/>
    </row>
    <row r="40" spans="1:5" x14ac:dyDescent="0.25">
      <c r="A40" s="239" t="s">
        <v>249</v>
      </c>
      <c r="B40" s="240"/>
      <c r="C40" s="80">
        <f>SUM(C38:C39)</f>
        <v>0.20429999999999998</v>
      </c>
      <c r="D40" s="81">
        <f>SUM(D38:D39)</f>
        <v>350.5788</v>
      </c>
    </row>
    <row r="41" spans="1:5" x14ac:dyDescent="0.25">
      <c r="A41" s="237" t="s">
        <v>250</v>
      </c>
      <c r="B41" s="238"/>
      <c r="C41" s="75" t="s">
        <v>244</v>
      </c>
      <c r="D41" s="68" t="s">
        <v>245</v>
      </c>
    </row>
    <row r="42" spans="1:5" x14ac:dyDescent="0.25">
      <c r="A42" s="42" t="s">
        <v>237</v>
      </c>
      <c r="B42" s="71" t="s">
        <v>251</v>
      </c>
      <c r="C42" s="78">
        <v>0.2</v>
      </c>
      <c r="D42" s="79">
        <f t="shared" ref="D42:D49" si="0">($D$34+$D$40)*(C42)</f>
        <v>413.31576000000007</v>
      </c>
    </row>
    <row r="43" spans="1:5" x14ac:dyDescent="0.25">
      <c r="A43" s="42" t="s">
        <v>247</v>
      </c>
      <c r="B43" s="71" t="s">
        <v>252</v>
      </c>
      <c r="C43" s="78">
        <v>2.5000000000000001E-2</v>
      </c>
      <c r="D43" s="79">
        <f t="shared" si="0"/>
        <v>51.664470000000009</v>
      </c>
    </row>
    <row r="44" spans="1:5" x14ac:dyDescent="0.25">
      <c r="A44" s="42" t="s">
        <v>253</v>
      </c>
      <c r="B44" s="71" t="s">
        <v>254</v>
      </c>
      <c r="C44" s="78">
        <v>1.4999999999999999E-2</v>
      </c>
      <c r="D44" s="79">
        <f t="shared" si="0"/>
        <v>30.998682000000002</v>
      </c>
    </row>
    <row r="45" spans="1:5" x14ac:dyDescent="0.25">
      <c r="A45" s="42" t="s">
        <v>255</v>
      </c>
      <c r="B45" s="71" t="s">
        <v>256</v>
      </c>
      <c r="C45" s="78">
        <v>1.4999999999999999E-2</v>
      </c>
      <c r="D45" s="79">
        <f t="shared" si="0"/>
        <v>30.998682000000002</v>
      </c>
    </row>
    <row r="46" spans="1:5" x14ac:dyDescent="0.25">
      <c r="A46" s="42" t="s">
        <v>257</v>
      </c>
      <c r="B46" s="71" t="s">
        <v>258</v>
      </c>
      <c r="C46" s="78">
        <v>0.01</v>
      </c>
      <c r="D46" s="79">
        <f t="shared" si="0"/>
        <v>20.665788000000003</v>
      </c>
    </row>
    <row r="47" spans="1:5" x14ac:dyDescent="0.25">
      <c r="A47" s="42" t="s">
        <v>259</v>
      </c>
      <c r="B47" s="82" t="s">
        <v>260</v>
      </c>
      <c r="C47" s="78">
        <v>6.0000000000000001E-3</v>
      </c>
      <c r="D47" s="79">
        <f t="shared" si="0"/>
        <v>12.399472800000002</v>
      </c>
    </row>
    <row r="48" spans="1:5" x14ac:dyDescent="0.25">
      <c r="A48" s="42" t="s">
        <v>261</v>
      </c>
      <c r="B48" s="71" t="s">
        <v>262</v>
      </c>
      <c r="C48" s="78">
        <v>2E-3</v>
      </c>
      <c r="D48" s="79">
        <f t="shared" si="0"/>
        <v>4.1331576000000005</v>
      </c>
    </row>
    <row r="49" spans="1:5" x14ac:dyDescent="0.25">
      <c r="A49" s="42" t="s">
        <v>263</v>
      </c>
      <c r="B49" s="71" t="s">
        <v>264</v>
      </c>
      <c r="C49" s="78">
        <v>0.08</v>
      </c>
      <c r="D49" s="79">
        <f t="shared" si="0"/>
        <v>165.32630400000002</v>
      </c>
      <c r="E49" s="74"/>
    </row>
    <row r="50" spans="1:5" x14ac:dyDescent="0.25">
      <c r="A50" s="239" t="s">
        <v>265</v>
      </c>
      <c r="B50" s="240"/>
      <c r="C50" s="80">
        <f>SUM(C42:C49)</f>
        <v>0.35300000000000004</v>
      </c>
      <c r="D50" s="81">
        <f>SUM(D42:D49)</f>
        <v>729.50231640000015</v>
      </c>
    </row>
    <row r="51" spans="1:5" x14ac:dyDescent="0.25">
      <c r="A51" s="237" t="s">
        <v>266</v>
      </c>
      <c r="B51" s="238"/>
      <c r="C51" s="83" t="s">
        <v>267</v>
      </c>
      <c r="D51" s="68" t="s">
        <v>245</v>
      </c>
    </row>
    <row r="52" spans="1:5" x14ac:dyDescent="0.25">
      <c r="A52" s="42" t="s">
        <v>237</v>
      </c>
      <c r="B52" s="84" t="s">
        <v>268</v>
      </c>
      <c r="C52" s="172">
        <v>11</v>
      </c>
      <c r="D52" s="85">
        <f>IF((C52*22)-(D32*6%)&gt;0,(C52*22)-(D32*6%),0)</f>
        <v>162.80000000000001</v>
      </c>
      <c r="E52" s="70" t="s">
        <v>419</v>
      </c>
    </row>
    <row r="53" spans="1:5" x14ac:dyDescent="0.25">
      <c r="A53" s="42" t="s">
        <v>247</v>
      </c>
      <c r="B53" s="84" t="s">
        <v>269</v>
      </c>
      <c r="C53" s="173">
        <v>22.5</v>
      </c>
      <c r="D53" s="79">
        <f>(C53)*22</f>
        <v>495</v>
      </c>
      <c r="E53" s="70" t="s">
        <v>420</v>
      </c>
    </row>
    <row r="54" spans="1:5" x14ac:dyDescent="0.25">
      <c r="A54" s="224" t="s">
        <v>270</v>
      </c>
      <c r="B54" s="225"/>
      <c r="C54" s="86"/>
      <c r="D54" s="81">
        <f>SUM(D52:D53)</f>
        <v>657.8</v>
      </c>
    </row>
    <row r="55" spans="1:5" x14ac:dyDescent="0.25">
      <c r="A55" s="231" t="s">
        <v>271</v>
      </c>
      <c r="B55" s="232"/>
      <c r="C55" s="75" t="s">
        <v>272</v>
      </c>
      <c r="D55" s="68" t="s">
        <v>245</v>
      </c>
    </row>
    <row r="56" spans="1:5" x14ac:dyDescent="0.25">
      <c r="A56" s="42" t="s">
        <v>237</v>
      </c>
      <c r="B56" s="77" t="s">
        <v>273</v>
      </c>
      <c r="C56" s="87"/>
      <c r="D56" s="88">
        <f>(D34/220)*150%*0.5*C56</f>
        <v>0</v>
      </c>
      <c r="E56" s="39" t="s">
        <v>409</v>
      </c>
    </row>
    <row r="57" spans="1:5" ht="15.75" thickBot="1" x14ac:dyDescent="0.3">
      <c r="A57" s="241" t="s">
        <v>274</v>
      </c>
      <c r="B57" s="242"/>
      <c r="C57" s="89"/>
      <c r="D57" s="90">
        <f>SUM(D56)</f>
        <v>0</v>
      </c>
    </row>
    <row r="58" spans="1:5" x14ac:dyDescent="0.25">
      <c r="A58" s="237" t="s">
        <v>275</v>
      </c>
      <c r="B58" s="238"/>
      <c r="C58" s="238"/>
      <c r="D58" s="243"/>
    </row>
    <row r="59" spans="1:5" ht="43.5" x14ac:dyDescent="0.25">
      <c r="A59" s="91" t="s">
        <v>276</v>
      </c>
      <c r="B59" s="244" t="s">
        <v>277</v>
      </c>
      <c r="C59" s="244"/>
      <c r="D59" s="69">
        <f>(D40)</f>
        <v>350.5788</v>
      </c>
    </row>
    <row r="60" spans="1:5" ht="43.5" x14ac:dyDescent="0.25">
      <c r="A60" s="91" t="s">
        <v>278</v>
      </c>
      <c r="B60" s="244" t="s">
        <v>279</v>
      </c>
      <c r="C60" s="244"/>
      <c r="D60" s="69">
        <f>(D50)</f>
        <v>729.50231640000015</v>
      </c>
    </row>
    <row r="61" spans="1:5" ht="43.5" x14ac:dyDescent="0.25">
      <c r="A61" s="91" t="s">
        <v>280</v>
      </c>
      <c r="B61" s="244" t="s">
        <v>281</v>
      </c>
      <c r="C61" s="244"/>
      <c r="D61" s="69">
        <f>(D54)</f>
        <v>657.8</v>
      </c>
    </row>
    <row r="62" spans="1:5" ht="29.25" x14ac:dyDescent="0.25">
      <c r="A62" s="91" t="s">
        <v>282</v>
      </c>
      <c r="B62" s="245" t="s">
        <v>283</v>
      </c>
      <c r="C62" s="246"/>
      <c r="D62" s="69">
        <f>D57</f>
        <v>0</v>
      </c>
    </row>
    <row r="63" spans="1:5" ht="15.75" thickBot="1" x14ac:dyDescent="0.3">
      <c r="A63" s="241" t="s">
        <v>284</v>
      </c>
      <c r="B63" s="242"/>
      <c r="C63" s="242"/>
      <c r="D63" s="73">
        <f>SUM(D59:D62)</f>
        <v>1737.8811164000001</v>
      </c>
    </row>
    <row r="64" spans="1:5" ht="15.75" thickBot="1" x14ac:dyDescent="0.3">
      <c r="A64" s="92"/>
      <c r="B64" s="92"/>
      <c r="C64" s="92"/>
      <c r="D64" s="92"/>
    </row>
    <row r="65" spans="1:5" x14ac:dyDescent="0.25">
      <c r="A65" s="228" t="s">
        <v>285</v>
      </c>
      <c r="B65" s="229"/>
      <c r="C65" s="229"/>
      <c r="D65" s="230"/>
    </row>
    <row r="66" spans="1:5" x14ac:dyDescent="0.25">
      <c r="A66" s="237" t="s">
        <v>286</v>
      </c>
      <c r="B66" s="238"/>
      <c r="C66" s="75" t="s">
        <v>244</v>
      </c>
      <c r="D66" s="68" t="s">
        <v>245</v>
      </c>
    </row>
    <row r="67" spans="1:5" x14ac:dyDescent="0.25">
      <c r="A67" s="42" t="s">
        <v>237</v>
      </c>
      <c r="B67" s="93" t="s">
        <v>287</v>
      </c>
      <c r="C67" s="94">
        <v>4.1999999999999997E-3</v>
      </c>
      <c r="D67" s="88">
        <f t="shared" ref="D67:D72" si="1">($D$34)*(C67)</f>
        <v>7.2071999999999994</v>
      </c>
    </row>
    <row r="68" spans="1:5" ht="28.5" x14ac:dyDescent="0.25">
      <c r="A68" s="42" t="s">
        <v>247</v>
      </c>
      <c r="B68" s="93" t="s">
        <v>288</v>
      </c>
      <c r="C68" s="95">
        <f>($C$49)*(C67)</f>
        <v>3.3599999999999998E-4</v>
      </c>
      <c r="D68" s="88">
        <f t="shared" si="1"/>
        <v>0.57657599999999998</v>
      </c>
    </row>
    <row r="69" spans="1:5" ht="28.5" x14ac:dyDescent="0.25">
      <c r="A69" s="42" t="s">
        <v>253</v>
      </c>
      <c r="B69" s="93" t="s">
        <v>289</v>
      </c>
      <c r="C69" s="95">
        <v>3.9199999999999999E-2</v>
      </c>
      <c r="D69" s="88">
        <f t="shared" si="1"/>
        <v>67.267200000000003</v>
      </c>
    </row>
    <row r="70" spans="1:5" ht="28.5" x14ac:dyDescent="0.25">
      <c r="A70" s="42" t="s">
        <v>255</v>
      </c>
      <c r="B70" s="93" t="s">
        <v>290</v>
      </c>
      <c r="C70" s="95">
        <v>1.9400000000000001E-2</v>
      </c>
      <c r="D70" s="88">
        <f t="shared" si="1"/>
        <v>33.290399999999998</v>
      </c>
    </row>
    <row r="71" spans="1:5" x14ac:dyDescent="0.25">
      <c r="A71" s="42" t="s">
        <v>257</v>
      </c>
      <c r="B71" s="93" t="s">
        <v>291</v>
      </c>
      <c r="C71" s="95">
        <f>($C$50)*(C70)</f>
        <v>6.8482000000000013E-3</v>
      </c>
      <c r="D71" s="88">
        <f t="shared" si="1"/>
        <v>11.751511200000003</v>
      </c>
    </row>
    <row r="72" spans="1:5" ht="28.5" x14ac:dyDescent="0.25">
      <c r="A72" s="42" t="s">
        <v>259</v>
      </c>
      <c r="B72" s="93" t="s">
        <v>292</v>
      </c>
      <c r="C72" s="95">
        <v>8.0000000000000004E-4</v>
      </c>
      <c r="D72" s="88">
        <f t="shared" si="1"/>
        <v>1.3728</v>
      </c>
    </row>
    <row r="73" spans="1:5" ht="15.75" thickBot="1" x14ac:dyDescent="0.3">
      <c r="A73" s="241" t="s">
        <v>293</v>
      </c>
      <c r="B73" s="242"/>
      <c r="C73" s="96">
        <f>SUM(C67:C72)</f>
        <v>7.0784199999999992E-2</v>
      </c>
      <c r="D73" s="73">
        <f>SUM(D67:D72)</f>
        <v>121.4656872</v>
      </c>
    </row>
    <row r="74" spans="1:5" ht="15.75" thickBot="1" x14ac:dyDescent="0.3">
      <c r="A74" s="92"/>
      <c r="B74" s="97"/>
      <c r="C74" s="97"/>
      <c r="D74" s="97"/>
    </row>
    <row r="75" spans="1:5" x14ac:dyDescent="0.25">
      <c r="A75" s="228" t="s">
        <v>294</v>
      </c>
      <c r="B75" s="229"/>
      <c r="C75" s="229"/>
      <c r="D75" s="230"/>
    </row>
    <row r="76" spans="1:5" x14ac:dyDescent="0.25">
      <c r="A76" s="231" t="s">
        <v>295</v>
      </c>
      <c r="B76" s="232"/>
      <c r="C76" s="75" t="s">
        <v>244</v>
      </c>
      <c r="D76" s="68" t="s">
        <v>245</v>
      </c>
    </row>
    <row r="77" spans="1:5" x14ac:dyDescent="0.25">
      <c r="A77" s="42" t="s">
        <v>237</v>
      </c>
      <c r="B77" s="77" t="s">
        <v>296</v>
      </c>
      <c r="C77" s="95">
        <v>0</v>
      </c>
      <c r="D77" s="88">
        <f>($D$34+$D$40+$D$50+$D$54+$D$73)*(C77)</f>
        <v>0</v>
      </c>
      <c r="E77" s="74"/>
    </row>
    <row r="78" spans="1:5" x14ac:dyDescent="0.25">
      <c r="A78" s="42" t="s">
        <v>247</v>
      </c>
      <c r="B78" s="77" t="s">
        <v>297</v>
      </c>
      <c r="C78" s="95">
        <v>2.3999999999999998E-3</v>
      </c>
      <c r="D78" s="88">
        <f>($D$34+$D$40+$D$50+$D$54+$D$73)*(C78)</f>
        <v>8.5808323286400014</v>
      </c>
    </row>
    <row r="79" spans="1:5" x14ac:dyDescent="0.25">
      <c r="A79" s="42" t="s">
        <v>253</v>
      </c>
      <c r="B79" s="77" t="s">
        <v>298</v>
      </c>
      <c r="C79" s="95">
        <v>1E-3</v>
      </c>
      <c r="D79" s="88">
        <f>($D$34+$D$40+$D$50+$D$54+$D$73)*(C79)</f>
        <v>3.5753468036000009</v>
      </c>
    </row>
    <row r="80" spans="1:5" x14ac:dyDescent="0.25">
      <c r="A80" s="42" t="s">
        <v>255</v>
      </c>
      <c r="B80" s="77" t="s">
        <v>299</v>
      </c>
      <c r="C80" s="95">
        <v>1.6999999999999999E-3</v>
      </c>
      <c r="D80" s="88">
        <f>($D$34+$D$40+$D$50+$D$54+$D$73)*(C80)</f>
        <v>6.078089566120001</v>
      </c>
    </row>
    <row r="81" spans="1:5" x14ac:dyDescent="0.25">
      <c r="A81" s="42" t="s">
        <v>257</v>
      </c>
      <c r="B81" s="93" t="s">
        <v>300</v>
      </c>
      <c r="C81" s="95">
        <v>5.0000000000000001E-4</v>
      </c>
      <c r="D81" s="88">
        <f>($D$34+$D$40+$D$50+$D$54+$D$73)*(C81)</f>
        <v>1.7876734018000005</v>
      </c>
    </row>
    <row r="82" spans="1:5" x14ac:dyDescent="0.25">
      <c r="A82" s="224" t="s">
        <v>301</v>
      </c>
      <c r="B82" s="225"/>
      <c r="C82" s="98">
        <f>SUM(C77:C81)</f>
        <v>5.5999999999999991E-3</v>
      </c>
      <c r="D82" s="99">
        <f>SUM(D77:D81)</f>
        <v>20.021942100160004</v>
      </c>
    </row>
    <row r="83" spans="1:5" x14ac:dyDescent="0.25">
      <c r="A83" s="231" t="s">
        <v>302</v>
      </c>
      <c r="B83" s="232"/>
      <c r="C83" s="75"/>
      <c r="D83" s="68" t="s">
        <v>245</v>
      </c>
    </row>
    <row r="84" spans="1:5" x14ac:dyDescent="0.25">
      <c r="A84" s="42" t="s">
        <v>237</v>
      </c>
      <c r="B84" s="77" t="s">
        <v>303</v>
      </c>
      <c r="C84" s="87"/>
      <c r="D84" s="88">
        <f>(D62/220)*150%*0.5*C84</f>
        <v>0</v>
      </c>
    </row>
    <row r="85" spans="1:5" ht="15.75" thickBot="1" x14ac:dyDescent="0.3">
      <c r="A85" s="241" t="s">
        <v>304</v>
      </c>
      <c r="B85" s="242"/>
      <c r="C85" s="89"/>
      <c r="D85" s="90">
        <f>SUM(D84)</f>
        <v>0</v>
      </c>
    </row>
    <row r="86" spans="1:5" x14ac:dyDescent="0.25">
      <c r="A86" s="249" t="s">
        <v>305</v>
      </c>
      <c r="B86" s="250"/>
      <c r="C86" s="250"/>
      <c r="D86" s="251"/>
    </row>
    <row r="87" spans="1:5" ht="43.5" x14ac:dyDescent="0.25">
      <c r="A87" s="91" t="s">
        <v>306</v>
      </c>
      <c r="B87" s="252" t="s">
        <v>307</v>
      </c>
      <c r="C87" s="253"/>
      <c r="D87" s="69">
        <f>(D82)</f>
        <v>20.021942100160004</v>
      </c>
    </row>
    <row r="88" spans="1:5" x14ac:dyDescent="0.25">
      <c r="A88" s="100" t="s">
        <v>308</v>
      </c>
      <c r="B88" s="245" t="s">
        <v>303</v>
      </c>
      <c r="C88" s="246"/>
      <c r="D88" s="88">
        <f>D85</f>
        <v>0</v>
      </c>
    </row>
    <row r="89" spans="1:5" ht="15.75" thickBot="1" x14ac:dyDescent="0.3">
      <c r="A89" s="241" t="s">
        <v>309</v>
      </c>
      <c r="B89" s="242"/>
      <c r="C89" s="248"/>
      <c r="D89" s="73">
        <f>SUM(D87:D88)</f>
        <v>20.021942100160004</v>
      </c>
    </row>
    <row r="90" spans="1:5" ht="15.75" thickBot="1" x14ac:dyDescent="0.3">
      <c r="A90" s="92"/>
      <c r="B90" s="92"/>
      <c r="C90" s="92"/>
      <c r="D90" s="92"/>
    </row>
    <row r="91" spans="1:5" x14ac:dyDescent="0.25">
      <c r="A91" s="228" t="s">
        <v>310</v>
      </c>
      <c r="B91" s="229"/>
      <c r="C91" s="229"/>
      <c r="D91" s="230"/>
    </row>
    <row r="92" spans="1:5" x14ac:dyDescent="0.25">
      <c r="A92" s="237" t="s">
        <v>311</v>
      </c>
      <c r="B92" s="238"/>
      <c r="C92" s="238"/>
      <c r="D92" s="68" t="s">
        <v>245</v>
      </c>
    </row>
    <row r="93" spans="1:5" x14ac:dyDescent="0.25">
      <c r="A93" s="42" t="s">
        <v>237</v>
      </c>
      <c r="B93" s="101" t="s">
        <v>312</v>
      </c>
      <c r="C93" s="102"/>
      <c r="D93" s="164">
        <v>0</v>
      </c>
      <c r="E93" s="247"/>
    </row>
    <row r="94" spans="1:5" x14ac:dyDescent="0.25">
      <c r="A94" s="42" t="s">
        <v>247</v>
      </c>
      <c r="B94" s="101" t="s">
        <v>313</v>
      </c>
      <c r="C94" s="102"/>
      <c r="D94" s="79">
        <v>0</v>
      </c>
      <c r="E94" s="247"/>
    </row>
    <row r="95" spans="1:5" x14ac:dyDescent="0.25">
      <c r="A95" s="42" t="s">
        <v>253</v>
      </c>
      <c r="B95" s="101" t="s">
        <v>314</v>
      </c>
      <c r="C95" s="102"/>
      <c r="D95" s="79">
        <f>MATERIAL_FERRAMENTAL!$H$68</f>
        <v>106.88</v>
      </c>
      <c r="E95" s="247"/>
    </row>
    <row r="96" spans="1:5" x14ac:dyDescent="0.25">
      <c r="A96" s="42" t="s">
        <v>315</v>
      </c>
      <c r="B96" s="101" t="s">
        <v>98</v>
      </c>
      <c r="C96" s="102"/>
      <c r="D96" s="79">
        <f>MATERIAL_FERRAMENTAL!$H$79</f>
        <v>43.250000000000007</v>
      </c>
      <c r="E96" s="247"/>
    </row>
    <row r="97" spans="1:5" ht="15.75" thickBot="1" x14ac:dyDescent="0.3">
      <c r="A97" s="241" t="s">
        <v>316</v>
      </c>
      <c r="B97" s="248"/>
      <c r="C97" s="103">
        <f>C93</f>
        <v>0</v>
      </c>
      <c r="D97" s="73">
        <f>SUM(D93:D95)</f>
        <v>106.88</v>
      </c>
    </row>
    <row r="98" spans="1:5" ht="15.75" thickBot="1" x14ac:dyDescent="0.3">
      <c r="A98" s="104"/>
      <c r="B98" s="105"/>
      <c r="C98" s="105"/>
      <c r="D98" s="106"/>
    </row>
    <row r="99" spans="1:5" x14ac:dyDescent="0.25">
      <c r="A99" s="254" t="s">
        <v>317</v>
      </c>
      <c r="B99" s="255"/>
      <c r="C99" s="255"/>
      <c r="D99" s="256"/>
    </row>
    <row r="100" spans="1:5" x14ac:dyDescent="0.25">
      <c r="A100" s="257" t="s">
        <v>318</v>
      </c>
      <c r="B100" s="258"/>
      <c r="C100" s="75" t="s">
        <v>244</v>
      </c>
      <c r="D100" s="107" t="s">
        <v>245</v>
      </c>
    </row>
    <row r="101" spans="1:5" x14ac:dyDescent="0.25">
      <c r="A101" s="42" t="s">
        <v>237</v>
      </c>
      <c r="B101" s="108" t="s">
        <v>319</v>
      </c>
      <c r="C101" s="78">
        <v>0.05</v>
      </c>
      <c r="D101" s="88">
        <f>(D34+D63+D73+D89+D97)*C101</f>
        <v>185.11243728500801</v>
      </c>
      <c r="E101" s="109"/>
    </row>
    <row r="102" spans="1:5" x14ac:dyDescent="0.25">
      <c r="A102" s="42" t="s">
        <v>247</v>
      </c>
      <c r="B102" s="108" t="s">
        <v>320</v>
      </c>
      <c r="C102" s="78">
        <v>0.1</v>
      </c>
      <c r="D102" s="88">
        <f>(D34+D63+D73+D89+D97+D101)*C102</f>
        <v>388.73611829851683</v>
      </c>
      <c r="E102" s="109"/>
    </row>
    <row r="103" spans="1:5" x14ac:dyDescent="0.25">
      <c r="A103" s="259" t="s">
        <v>253</v>
      </c>
      <c r="B103" s="82" t="s">
        <v>321</v>
      </c>
      <c r="C103" s="110">
        <f>C104+C105+C108</f>
        <v>8.6499999999999994E-2</v>
      </c>
      <c r="D103" s="111"/>
      <c r="E103" s="112"/>
    </row>
    <row r="104" spans="1:5" x14ac:dyDescent="0.25">
      <c r="A104" s="259"/>
      <c r="B104" s="113" t="s">
        <v>322</v>
      </c>
      <c r="C104" s="78">
        <v>0.03</v>
      </c>
      <c r="D104" s="88">
        <f>((D34+D63+D73+D89+D97+D101+D102)/(1-C103))*C104</f>
        <v>140.43012483690262</v>
      </c>
      <c r="E104" s="112"/>
    </row>
    <row r="105" spans="1:5" x14ac:dyDescent="0.25">
      <c r="A105" s="259"/>
      <c r="B105" s="113" t="s">
        <v>323</v>
      </c>
      <c r="C105" s="78">
        <v>6.4999999999999997E-3</v>
      </c>
      <c r="D105" s="88">
        <f>((D34+D63+D73+D89+D97+D101+D102)/(1-C103))*C105</f>
        <v>30.426527047995567</v>
      </c>
      <c r="E105" s="112"/>
    </row>
    <row r="106" spans="1:5" x14ac:dyDescent="0.25">
      <c r="A106" s="259"/>
      <c r="B106" s="82" t="s">
        <v>324</v>
      </c>
      <c r="C106" s="114"/>
      <c r="D106" s="88"/>
    </row>
    <row r="107" spans="1:5" x14ac:dyDescent="0.25">
      <c r="A107" s="259"/>
      <c r="B107" s="82" t="s">
        <v>325</v>
      </c>
      <c r="C107" s="114"/>
      <c r="D107" s="88"/>
      <c r="E107" s="39" t="s">
        <v>412</v>
      </c>
    </row>
    <row r="108" spans="1:5" x14ac:dyDescent="0.25">
      <c r="A108" s="259"/>
      <c r="B108" s="113" t="s">
        <v>326</v>
      </c>
      <c r="C108" s="78">
        <v>0.05</v>
      </c>
      <c r="D108" s="88">
        <f>((D34+D63+D73+D89+D97+D101+D102)/(1-C103))*C108</f>
        <v>234.05020806150438</v>
      </c>
      <c r="E108" s="74">
        <f>D102/(44*4)</f>
        <v>2.2087279448779364</v>
      </c>
    </row>
    <row r="109" spans="1:5" ht="15.75" thickBot="1" x14ac:dyDescent="0.3">
      <c r="A109" s="241" t="s">
        <v>327</v>
      </c>
      <c r="B109" s="242"/>
      <c r="C109" s="115">
        <f>C101+C102+C104+C105+C108</f>
        <v>0.23650000000000004</v>
      </c>
      <c r="D109" s="90">
        <f>SUM(D101:D102,D104:D105,D108)</f>
        <v>978.7554155299274</v>
      </c>
      <c r="E109" s="39" t="s">
        <v>414</v>
      </c>
    </row>
    <row r="110" spans="1:5" ht="15.75" thickBot="1" x14ac:dyDescent="0.3">
      <c r="A110" s="92"/>
      <c r="B110" s="92"/>
      <c r="C110" s="92"/>
      <c r="D110" s="92"/>
      <c r="E110" s="74">
        <f>E108*16</f>
        <v>35.339647118046983</v>
      </c>
    </row>
    <row r="111" spans="1:5" x14ac:dyDescent="0.25">
      <c r="A111" s="228" t="s">
        <v>328</v>
      </c>
      <c r="B111" s="229"/>
      <c r="C111" s="229"/>
      <c r="D111" s="230"/>
    </row>
    <row r="112" spans="1:5" x14ac:dyDescent="0.25">
      <c r="A112" s="237" t="s">
        <v>329</v>
      </c>
      <c r="B112" s="238"/>
      <c r="C112" s="238"/>
      <c r="D112" s="116" t="s">
        <v>245</v>
      </c>
    </row>
    <row r="113" spans="1:5" x14ac:dyDescent="0.25">
      <c r="A113" s="42" t="s">
        <v>237</v>
      </c>
      <c r="B113" s="263" t="s">
        <v>330</v>
      </c>
      <c r="C113" s="264"/>
      <c r="D113" s="117">
        <f>(D34)</f>
        <v>1716</v>
      </c>
    </row>
    <row r="114" spans="1:5" x14ac:dyDescent="0.25">
      <c r="A114" s="42" t="s">
        <v>247</v>
      </c>
      <c r="B114" s="263" t="s">
        <v>331</v>
      </c>
      <c r="C114" s="264"/>
      <c r="D114" s="88">
        <f>(D63)</f>
        <v>1737.8811164000001</v>
      </c>
    </row>
    <row r="115" spans="1:5" x14ac:dyDescent="0.25">
      <c r="A115" s="42" t="s">
        <v>253</v>
      </c>
      <c r="B115" s="263" t="s">
        <v>332</v>
      </c>
      <c r="C115" s="264"/>
      <c r="D115" s="88">
        <f>(D73)</f>
        <v>121.4656872</v>
      </c>
    </row>
    <row r="116" spans="1:5" x14ac:dyDescent="0.25">
      <c r="A116" s="42" t="s">
        <v>255</v>
      </c>
      <c r="B116" s="263" t="s">
        <v>333</v>
      </c>
      <c r="C116" s="264"/>
      <c r="D116" s="88">
        <f>(D89)</f>
        <v>20.021942100160004</v>
      </c>
    </row>
    <row r="117" spans="1:5" x14ac:dyDescent="0.25">
      <c r="A117" s="42" t="s">
        <v>257</v>
      </c>
      <c r="B117" s="263" t="s">
        <v>334</v>
      </c>
      <c r="C117" s="264"/>
      <c r="D117" s="88">
        <f>D97</f>
        <v>106.88</v>
      </c>
    </row>
    <row r="118" spans="1:5" x14ac:dyDescent="0.25">
      <c r="A118" s="265" t="s">
        <v>335</v>
      </c>
      <c r="B118" s="266"/>
      <c r="C118" s="267"/>
      <c r="D118" s="118">
        <f>SUM(D113:D117)</f>
        <v>3702.2487457001598</v>
      </c>
      <c r="E118" s="74"/>
    </row>
    <row r="119" spans="1:5" ht="15.75" thickBot="1" x14ac:dyDescent="0.3">
      <c r="A119" s="119" t="s">
        <v>259</v>
      </c>
      <c r="B119" s="260" t="s">
        <v>336</v>
      </c>
      <c r="C119" s="260"/>
      <c r="D119" s="120">
        <f>(D109)</f>
        <v>978.7554155299274</v>
      </c>
    </row>
    <row r="120" spans="1:5" ht="15.75" thickBot="1" x14ac:dyDescent="0.3">
      <c r="A120" s="261" t="s">
        <v>337</v>
      </c>
      <c r="B120" s="262"/>
      <c r="C120" s="262"/>
      <c r="D120" s="121">
        <f>SUM(D118:D119)</f>
        <v>4681.0041612300874</v>
      </c>
    </row>
    <row r="121" spans="1:5" ht="15.75" thickBot="1" x14ac:dyDescent="0.3">
      <c r="A121" s="261" t="s">
        <v>338</v>
      </c>
      <c r="B121" s="262"/>
      <c r="C121" s="262"/>
      <c r="D121" s="121">
        <f>D120/(44*4)</f>
        <v>26.596614552443679</v>
      </c>
    </row>
    <row r="122" spans="1:5" x14ac:dyDescent="0.25">
      <c r="D122" s="58"/>
    </row>
    <row r="123" spans="1:5" x14ac:dyDescent="0.25">
      <c r="D123" s="58"/>
    </row>
    <row r="124" spans="1:5" x14ac:dyDescent="0.25">
      <c r="D124" s="58"/>
    </row>
    <row r="125" spans="1:5" x14ac:dyDescent="0.25">
      <c r="C125" s="122"/>
    </row>
  </sheetData>
  <mergeCells count="74">
    <mergeCell ref="B119:C119"/>
    <mergeCell ref="A120:C120"/>
    <mergeCell ref="A121:C121"/>
    <mergeCell ref="B113:C113"/>
    <mergeCell ref="B114:C114"/>
    <mergeCell ref="B115:C115"/>
    <mergeCell ref="B116:C116"/>
    <mergeCell ref="B117:C117"/>
    <mergeCell ref="A118:C118"/>
    <mergeCell ref="A112:C112"/>
    <mergeCell ref="B88:C88"/>
    <mergeCell ref="A89:C89"/>
    <mergeCell ref="A91:D91"/>
    <mergeCell ref="A92:C92"/>
    <mergeCell ref="A99:D99"/>
    <mergeCell ref="A100:B100"/>
    <mergeCell ref="A103:A108"/>
    <mergeCell ref="A109:B109"/>
    <mergeCell ref="A111:D111"/>
    <mergeCell ref="E93:E96"/>
    <mergeCell ref="A97:B97"/>
    <mergeCell ref="A76:B76"/>
    <mergeCell ref="A82:B82"/>
    <mergeCell ref="A83:B83"/>
    <mergeCell ref="A85:B85"/>
    <mergeCell ref="A86:D86"/>
    <mergeCell ref="B87:C87"/>
    <mergeCell ref="A75:D75"/>
    <mergeCell ref="A55:B55"/>
    <mergeCell ref="A57:B57"/>
    <mergeCell ref="A58:D58"/>
    <mergeCell ref="B59:C59"/>
    <mergeCell ref="B60:C60"/>
    <mergeCell ref="B61:C61"/>
    <mergeCell ref="B62:C62"/>
    <mergeCell ref="A63:C63"/>
    <mergeCell ref="A65:D65"/>
    <mergeCell ref="A66:B66"/>
    <mergeCell ref="A73:B73"/>
    <mergeCell ref="A54:B54"/>
    <mergeCell ref="B28:C28"/>
    <mergeCell ref="A30:D30"/>
    <mergeCell ref="A31:C31"/>
    <mergeCell ref="B32:C32"/>
    <mergeCell ref="A34:C34"/>
    <mergeCell ref="A36:D36"/>
    <mergeCell ref="A37:B37"/>
    <mergeCell ref="A40:B40"/>
    <mergeCell ref="A41:B41"/>
    <mergeCell ref="A50:B50"/>
    <mergeCell ref="A51:B51"/>
    <mergeCell ref="B27:C27"/>
    <mergeCell ref="C13:D13"/>
    <mergeCell ref="B14:C14"/>
    <mergeCell ref="B16:C16"/>
    <mergeCell ref="B17:C17"/>
    <mergeCell ref="A20:D20"/>
    <mergeCell ref="B21:C21"/>
    <mergeCell ref="B22:C22"/>
    <mergeCell ref="B23:C23"/>
    <mergeCell ref="B24:C24"/>
    <mergeCell ref="B25:C25"/>
    <mergeCell ref="B26:C26"/>
    <mergeCell ref="A12:D12"/>
    <mergeCell ref="A1:D1"/>
    <mergeCell ref="A2:D2"/>
    <mergeCell ref="A3:D3"/>
    <mergeCell ref="A4:D4"/>
    <mergeCell ref="A5:D5"/>
    <mergeCell ref="A6:D6"/>
    <mergeCell ref="C7:D7"/>
    <mergeCell ref="C8:D8"/>
    <mergeCell ref="C9:D9"/>
    <mergeCell ref="C10:D10"/>
  </mergeCells>
  <pageMargins left="0.511811024" right="0.511811024" top="0.78740157499999996" bottom="0.78740157499999996" header="0.31496062000000002" footer="0.31496062000000002"/>
  <pageSetup paperSize="9" scale="78" orientation="portrait" r:id="rId1"/>
  <rowBreaks count="2" manualBreakCount="2">
    <brk id="58" max="4" man="1"/>
    <brk id="109" max="16383" man="1"/>
  </rowBreaks>
  <colBreaks count="1" manualBreakCount="1">
    <brk id="4" max="120" man="1"/>
  </colBreaks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1CC577-16B0-42C2-BDE0-49A87EF5F109}">
  <sheetPr>
    <tabColor theme="4" tint="-0.249977111117893"/>
  </sheetPr>
  <dimension ref="A1:I15"/>
  <sheetViews>
    <sheetView showGridLines="0" tabSelected="1" zoomScaleNormal="100" workbookViewId="0">
      <selection activeCell="F46" sqref="F46"/>
    </sheetView>
  </sheetViews>
  <sheetFormatPr defaultRowHeight="15" x14ac:dyDescent="0.25"/>
  <cols>
    <col min="1" max="1" width="4" style="16" customWidth="1"/>
    <col min="2" max="2" width="76.85546875" style="16" bestFit="1" customWidth="1"/>
    <col min="3" max="3" width="45.28515625" style="16" customWidth="1"/>
    <col min="4" max="4" width="16.140625" style="16" customWidth="1"/>
    <col min="5" max="5" width="19.140625" style="16" customWidth="1"/>
    <col min="6" max="6" width="17" style="16" customWidth="1"/>
    <col min="7" max="7" width="17" style="16" bestFit="1" customWidth="1"/>
    <col min="8" max="8" width="17.42578125" style="16" customWidth="1"/>
    <col min="9" max="9" width="18.85546875" style="16" bestFit="1" customWidth="1"/>
  </cols>
  <sheetData>
    <row r="1" spans="1:9" ht="16.5" thickBot="1" x14ac:dyDescent="0.3">
      <c r="A1" s="270" t="s">
        <v>345</v>
      </c>
      <c r="B1" s="271"/>
      <c r="C1" s="271"/>
      <c r="D1" s="271"/>
      <c r="E1" s="271"/>
      <c r="F1" s="271"/>
      <c r="G1" s="271"/>
      <c r="H1" s="271"/>
      <c r="I1" s="272"/>
    </row>
    <row r="2" spans="1:9" ht="45" x14ac:dyDescent="0.25">
      <c r="A2" s="273" t="s">
        <v>346</v>
      </c>
      <c r="B2" s="275" t="s">
        <v>347</v>
      </c>
      <c r="C2" s="275" t="s">
        <v>348</v>
      </c>
      <c r="D2" s="125" t="s">
        <v>349</v>
      </c>
      <c r="E2" s="125" t="s">
        <v>350</v>
      </c>
      <c r="F2" s="125" t="s">
        <v>351</v>
      </c>
      <c r="G2" s="125" t="s">
        <v>352</v>
      </c>
      <c r="H2" s="125" t="s">
        <v>353</v>
      </c>
      <c r="I2" s="126" t="s">
        <v>354</v>
      </c>
    </row>
    <row r="3" spans="1:9" x14ac:dyDescent="0.25">
      <c r="A3" s="274"/>
      <c r="B3" s="276"/>
      <c r="C3" s="276"/>
      <c r="D3" s="127" t="s">
        <v>355</v>
      </c>
      <c r="E3" s="127" t="s">
        <v>356</v>
      </c>
      <c r="F3" s="127" t="s">
        <v>357</v>
      </c>
      <c r="G3" s="127" t="s">
        <v>358</v>
      </c>
      <c r="H3" s="127" t="s">
        <v>359</v>
      </c>
      <c r="I3" s="128" t="s">
        <v>360</v>
      </c>
    </row>
    <row r="4" spans="1:9" x14ac:dyDescent="0.25">
      <c r="A4" s="129">
        <v>1</v>
      </c>
      <c r="B4" s="130" t="s">
        <v>361</v>
      </c>
      <c r="C4" s="131" t="s">
        <v>427</v>
      </c>
      <c r="D4" s="11">
        <v>2</v>
      </c>
      <c r="E4" s="11">
        <v>1</v>
      </c>
      <c r="F4" s="11">
        <f>D4*E4</f>
        <v>2</v>
      </c>
      <c r="G4" s="132">
        <f>'TÉC. REFRIGERAÇÃO'!D120</f>
        <v>6853</v>
      </c>
      <c r="H4" s="132">
        <f>ROUND(F4*G4,2)</f>
        <v>13706</v>
      </c>
      <c r="I4" s="133">
        <f>H4*12</f>
        <v>164472</v>
      </c>
    </row>
    <row r="5" spans="1:9" ht="16.5" thickBot="1" x14ac:dyDescent="0.3">
      <c r="A5" s="134"/>
      <c r="B5" s="268" t="s">
        <v>120</v>
      </c>
      <c r="C5" s="269"/>
      <c r="D5" s="135">
        <f>SUM(D4:D4)</f>
        <v>2</v>
      </c>
      <c r="E5" s="135"/>
      <c r="F5" s="135">
        <f>SUM(F4:F4)</f>
        <v>2</v>
      </c>
      <c r="G5" s="136">
        <f>TRUNC(SUM(G4:G4),2)</f>
        <v>6853</v>
      </c>
      <c r="H5" s="136">
        <f>TRUNC(SUM(H4:H4),2)</f>
        <v>13706</v>
      </c>
      <c r="I5" s="137">
        <f>TRUNC(SUM(I4:I4),2)</f>
        <v>164472</v>
      </c>
    </row>
    <row r="6" spans="1:9" x14ac:dyDescent="0.25">
      <c r="H6" s="138"/>
    </row>
    <row r="7" spans="1:9" x14ac:dyDescent="0.25">
      <c r="B7" s="139"/>
      <c r="I7" s="138"/>
    </row>
    <row r="8" spans="1:9" ht="16.5" thickBot="1" x14ac:dyDescent="0.3">
      <c r="A8" s="277" t="s">
        <v>362</v>
      </c>
      <c r="B8" s="278"/>
      <c r="C8" s="278"/>
      <c r="D8" s="278"/>
      <c r="E8" s="278"/>
      <c r="F8" s="278"/>
      <c r="G8" s="278"/>
      <c r="H8" s="278"/>
    </row>
    <row r="9" spans="1:9" ht="45" x14ac:dyDescent="0.25">
      <c r="A9" s="273" t="s">
        <v>346</v>
      </c>
      <c r="B9" s="275" t="s">
        <v>347</v>
      </c>
      <c r="C9" s="275" t="s">
        <v>348</v>
      </c>
      <c r="D9" s="125" t="s">
        <v>349</v>
      </c>
      <c r="E9" s="125" t="s">
        <v>363</v>
      </c>
      <c r="F9" s="125" t="s">
        <v>364</v>
      </c>
      <c r="G9" s="125" t="s">
        <v>353</v>
      </c>
      <c r="H9" s="126" t="s">
        <v>354</v>
      </c>
    </row>
    <row r="10" spans="1:9" x14ac:dyDescent="0.25">
      <c r="A10" s="274"/>
      <c r="B10" s="276"/>
      <c r="C10" s="276"/>
      <c r="D10" s="127" t="s">
        <v>355</v>
      </c>
      <c r="E10" s="127" t="s">
        <v>356</v>
      </c>
      <c r="F10" s="127" t="s">
        <v>365</v>
      </c>
      <c r="G10" s="127" t="s">
        <v>366</v>
      </c>
      <c r="H10" s="128" t="s">
        <v>367</v>
      </c>
    </row>
    <row r="11" spans="1:9" x14ac:dyDescent="0.25">
      <c r="A11" s="129">
        <v>1</v>
      </c>
      <c r="B11" s="130" t="s">
        <v>368</v>
      </c>
      <c r="C11" s="21" t="s">
        <v>369</v>
      </c>
      <c r="D11" s="140">
        <v>1</v>
      </c>
      <c r="E11" s="140">
        <v>8</v>
      </c>
      <c r="F11" s="132">
        <f>'SUPERV. ENG. MECÂNICO'!D119</f>
        <v>130.82539607465176</v>
      </c>
      <c r="G11" s="132">
        <f>ROUND(D11*E11*F11,2)</f>
        <v>1046.5999999999999</v>
      </c>
      <c r="H11" s="133">
        <f>ROUND(G11*12,2)</f>
        <v>12559.2</v>
      </c>
    </row>
    <row r="12" spans="1:9" x14ac:dyDescent="0.25">
      <c r="A12" s="129">
        <v>2</v>
      </c>
      <c r="B12" s="130" t="s">
        <v>361</v>
      </c>
      <c r="C12" s="131" t="s">
        <v>427</v>
      </c>
      <c r="D12" s="140">
        <v>1</v>
      </c>
      <c r="E12" s="140">
        <v>48</v>
      </c>
      <c r="F12" s="132">
        <f>'TÉC. REFRIGERAÇÃO'!D121</f>
        <v>38.9375</v>
      </c>
      <c r="G12" s="132">
        <f t="shared" ref="G12:G14" si="0">ROUND(D12*E12*F12,2)</f>
        <v>1869</v>
      </c>
      <c r="H12" s="133">
        <f t="shared" ref="H12:H14" si="1">ROUND(G12*12,2)</f>
        <v>22428</v>
      </c>
    </row>
    <row r="13" spans="1:9" x14ac:dyDescent="0.25">
      <c r="A13" s="129">
        <v>2</v>
      </c>
      <c r="B13" s="130" t="s">
        <v>370</v>
      </c>
      <c r="C13" s="279" t="s">
        <v>427</v>
      </c>
      <c r="D13" s="140">
        <v>1</v>
      </c>
      <c r="E13" s="140">
        <v>48</v>
      </c>
      <c r="F13" s="132">
        <f>'TÉC. ELETRICISTA'!D121</f>
        <v>39.381548818449971</v>
      </c>
      <c r="G13" s="132">
        <f t="shared" si="0"/>
        <v>1890.31</v>
      </c>
      <c r="H13" s="133">
        <f t="shared" si="1"/>
        <v>22683.72</v>
      </c>
    </row>
    <row r="14" spans="1:9" x14ac:dyDescent="0.25">
      <c r="A14" s="129">
        <v>3</v>
      </c>
      <c r="B14" s="130" t="s">
        <v>371</v>
      </c>
      <c r="C14" s="280"/>
      <c r="D14" s="140">
        <v>2</v>
      </c>
      <c r="E14" s="140">
        <v>16</v>
      </c>
      <c r="F14" s="162">
        <f>AJUDANTE!D121</f>
        <v>26.596614552443679</v>
      </c>
      <c r="G14" s="132">
        <f t="shared" si="0"/>
        <v>851.09</v>
      </c>
      <c r="H14" s="133">
        <f t="shared" si="1"/>
        <v>10213.08</v>
      </c>
      <c r="I14" s="138"/>
    </row>
    <row r="15" spans="1:9" ht="16.5" thickBot="1" x14ac:dyDescent="0.3">
      <c r="A15" s="134"/>
      <c r="B15" s="268" t="s">
        <v>120</v>
      </c>
      <c r="C15" s="269"/>
      <c r="D15" s="135">
        <f>SUM(D11:D14)</f>
        <v>5</v>
      </c>
      <c r="E15" s="135">
        <f>SUM(E11:E14)</f>
        <v>120</v>
      </c>
      <c r="F15" s="136">
        <f>TRUNC(SUM(F11:F14),2)</f>
        <v>235.74</v>
      </c>
      <c r="G15" s="136">
        <f>TRUNC(SUM(G11:G14),2)</f>
        <v>5657</v>
      </c>
      <c r="H15" s="137">
        <f>TRUNC(SUM(H11:H14),2)</f>
        <v>67884</v>
      </c>
    </row>
  </sheetData>
  <mergeCells count="11">
    <mergeCell ref="B15:C15"/>
    <mergeCell ref="A1:I1"/>
    <mergeCell ref="A2:A3"/>
    <mergeCell ref="B2:B3"/>
    <mergeCell ref="C2:C3"/>
    <mergeCell ref="B5:C5"/>
    <mergeCell ref="A8:H8"/>
    <mergeCell ref="A9:A10"/>
    <mergeCell ref="B9:B10"/>
    <mergeCell ref="C9:C10"/>
    <mergeCell ref="C13:C14"/>
  </mergeCells>
  <pageMargins left="0.511811024" right="0.511811024" top="0.78740157499999996" bottom="0.78740157499999996" header="0.31496062000000002" footer="0.31496062000000002"/>
  <pageSetup paperSize="9"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10</vt:i4>
      </vt:variant>
    </vt:vector>
  </HeadingPairs>
  <TitlesOfParts>
    <vt:vector size="10" baseType="lpstr">
      <vt:lpstr>CÁLCULO_BDI</vt:lpstr>
      <vt:lpstr>MATERIAL_FERRAMENTAL</vt:lpstr>
      <vt:lpstr>SERVIÇOS_ESPECIALIZADOS</vt:lpstr>
      <vt:lpstr>PEÇAS_COMPONENTES</vt:lpstr>
      <vt:lpstr>TÉC. REFRIGERAÇÃO</vt:lpstr>
      <vt:lpstr>SUPERV. ENG. MECÂNICO</vt:lpstr>
      <vt:lpstr>TÉC. ELETRICISTA</vt:lpstr>
      <vt:lpstr>AJUDANTE</vt:lpstr>
      <vt:lpstr>MÃO_DE_OBRA</vt:lpstr>
      <vt:lpstr>CUSTO TOTAL</vt:lpstr>
    </vt:vector>
  </TitlesOfParts>
  <Company>CGU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Leonidas Barbosa da Silva Junior</dc:creator>
  <cp:lastModifiedBy>hp</cp:lastModifiedBy>
  <cp:lastPrinted>2023-05-29T14:39:31Z</cp:lastPrinted>
  <dcterms:created xsi:type="dcterms:W3CDTF">2023-05-10T13:28:45Z</dcterms:created>
  <dcterms:modified xsi:type="dcterms:W3CDTF">2023-05-29T14:39:48Z</dcterms:modified>
</cp:coreProperties>
</file>