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https://cgugovbr-my.sharepoint.com/personal/leonidas_silva_cgu_gov_br/Documents/Documentos/0_CONTRATOS/Nova Contratação Ar Condicionado/Contratação_00190.112287_2022-43/ETP - Anexos/"/>
    </mc:Choice>
  </mc:AlternateContent>
  <xr:revisionPtr revIDLastSave="425" documentId="8_{C6F222E3-BF4F-44CF-9960-3C2B65D0A064}" xr6:coauthVersionLast="47" xr6:coauthVersionMax="47" xr10:uidLastSave="{1A03456C-B370-4EE2-B64E-3A9D03E21162}"/>
  <bookViews>
    <workbookView xWindow="-120" yWindow="-120" windowWidth="29040" windowHeight="15840" xr2:uid="{00000000-000D-0000-FFFF-FFFF00000000}"/>
  </bookViews>
  <sheets>
    <sheet name="ANEXO IV - CUSTO TOTAL" sheetId="18" r:id="rId1"/>
    <sheet name="ANEXO V_MÃO_DE_OBRA " sheetId="9" r:id="rId2"/>
    <sheet name="ANEXO VI_MATERIAL_FERRAMENTAL" sheetId="5" r:id="rId3"/>
    <sheet name="ANEXO VII_SERVIÇOS_ESPECIALIZAD" sheetId="17" r:id="rId4"/>
    <sheet name="ANEXO VIII_PEÇAS_COMPONENTES" sheetId="1" r:id="rId5"/>
    <sheet name="ANEXO IX_CÁLCULO_BDI" sheetId="19" r:id="rId6"/>
    <sheet name="ANEXO X_TÉC. REGRIGERAÇÃO" sheetId="10" r:id="rId7"/>
    <sheet name="ANEXO XI_SUPERV. ENG. MECÂNICO" sheetId="14" r:id="rId8"/>
    <sheet name="ANEXO XII_TÉC. ELETRICISTA" sheetId="13" r:id="rId9"/>
    <sheet name="ANEXO XIII_AJUDANTE" sheetId="16" r:id="rId10"/>
    <sheet name="ANEXO XIV_CURVA ABC-SERVIÇOS" sheetId="20" r:id="rId11"/>
    <sheet name="ANEXO XV_CURVA ABC-PEÇAS" sheetId="21" r:id="rId12"/>
  </sheets>
  <definedNames>
    <definedName name="_xlnm._FilterDatabase" localSheetId="11" hidden="1">'ANEXO XV_CURVA ABC-PEÇAS'!$A$2:$J$2</definedName>
    <definedName name="_xlnm.Print_Area" localSheetId="7">'ANEXO XI_SUPERV. ENG. MECÂNICO'!$A$1:$D$123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7" l="1"/>
  <c r="F5" i="17"/>
  <c r="F4" i="17"/>
  <c r="F3" i="17"/>
  <c r="G14" i="9"/>
  <c r="H14" i="9" s="1"/>
  <c r="G13" i="9"/>
  <c r="H13" i="9" s="1"/>
  <c r="G12" i="9"/>
  <c r="H12" i="9" s="1"/>
  <c r="G11" i="9"/>
  <c r="H11" i="9" s="1"/>
  <c r="H4" i="9"/>
  <c r="J5" i="21" l="1"/>
  <c r="J6" i="21"/>
  <c r="J7" i="21" s="1"/>
  <c r="J8" i="21" s="1"/>
  <c r="J9" i="21" s="1"/>
  <c r="J10" i="21" s="1"/>
  <c r="J11" i="21" s="1"/>
  <c r="J12" i="21" s="1"/>
  <c r="J13" i="21" s="1"/>
  <c r="J14" i="21" s="1"/>
  <c r="J15" i="21" s="1"/>
  <c r="J16" i="21" s="1"/>
  <c r="J17" i="21" s="1"/>
  <c r="J18" i="21" s="1"/>
  <c r="J19" i="21" s="1"/>
  <c r="J20" i="21" s="1"/>
  <c r="J21" i="21" s="1"/>
  <c r="J22" i="21" s="1"/>
  <c r="J23" i="21" s="1"/>
  <c r="J24" i="21" s="1"/>
  <c r="J25" i="21" s="1"/>
  <c r="J26" i="21" s="1"/>
  <c r="J27" i="21" s="1"/>
  <c r="J28" i="21" s="1"/>
  <c r="J29" i="21" s="1"/>
  <c r="J30" i="21" s="1"/>
  <c r="J31" i="21" s="1"/>
  <c r="J32" i="21" s="1"/>
  <c r="J33" i="21" s="1"/>
  <c r="J34" i="21" s="1"/>
  <c r="J35" i="21" s="1"/>
  <c r="J36" i="21" s="1"/>
  <c r="J37" i="21" s="1"/>
  <c r="J38" i="21" s="1"/>
  <c r="J39" i="21" s="1"/>
  <c r="J40" i="21" s="1"/>
  <c r="J41" i="21" s="1"/>
  <c r="J42" i="21" s="1"/>
  <c r="J43" i="21" s="1"/>
  <c r="J44" i="21" s="1"/>
  <c r="J45" i="21" s="1"/>
  <c r="J46" i="21" s="1"/>
  <c r="J47" i="21" s="1"/>
  <c r="J48" i="21" s="1"/>
  <c r="J49" i="21" s="1"/>
  <c r="J50" i="21" s="1"/>
  <c r="J51" i="21" s="1"/>
  <c r="J4" i="21"/>
  <c r="J3" i="21"/>
  <c r="H53" i="1"/>
  <c r="H52" i="21"/>
  <c r="H59" i="5"/>
  <c r="H21" i="5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3" i="1"/>
  <c r="J20" i="1"/>
  <c r="J21" i="1"/>
  <c r="K21" i="1"/>
  <c r="L21" i="1"/>
  <c r="J22" i="1"/>
  <c r="K22" i="1"/>
  <c r="L22" i="1"/>
  <c r="J23" i="1"/>
  <c r="K23" i="1"/>
  <c r="L23" i="1"/>
  <c r="J24" i="1"/>
  <c r="K24" i="1"/>
  <c r="L24" i="1"/>
  <c r="J25" i="1"/>
  <c r="K25" i="1"/>
  <c r="L25" i="1"/>
  <c r="J26" i="1"/>
  <c r="K26" i="1"/>
  <c r="L26" i="1"/>
  <c r="J27" i="1"/>
  <c r="K27" i="1"/>
  <c r="L27" i="1"/>
  <c r="J28" i="1"/>
  <c r="K28" i="1"/>
  <c r="L28" i="1"/>
  <c r="J29" i="1"/>
  <c r="K29" i="1"/>
  <c r="L29" i="1"/>
  <c r="J30" i="1"/>
  <c r="K30" i="1"/>
  <c r="J31" i="1"/>
  <c r="K31" i="1"/>
  <c r="J32" i="1"/>
  <c r="K32" i="1"/>
  <c r="L32" i="1"/>
  <c r="J33" i="1"/>
  <c r="K33" i="1"/>
  <c r="L33" i="1"/>
  <c r="J34" i="1"/>
  <c r="K34" i="1"/>
  <c r="L34" i="1"/>
  <c r="J35" i="1"/>
  <c r="K35" i="1"/>
  <c r="L35" i="1"/>
  <c r="J36" i="1"/>
  <c r="K36" i="1"/>
  <c r="L36" i="1"/>
  <c r="J37" i="1"/>
  <c r="K37" i="1"/>
  <c r="L37" i="1"/>
  <c r="J38" i="1"/>
  <c r="K38" i="1"/>
  <c r="L38" i="1"/>
  <c r="J39" i="1"/>
  <c r="K39" i="1"/>
  <c r="L39" i="1"/>
  <c r="J40" i="1"/>
  <c r="K40" i="1"/>
  <c r="L40" i="1"/>
  <c r="J41" i="1"/>
  <c r="K41" i="1"/>
  <c r="L41" i="1"/>
  <c r="J42" i="1"/>
  <c r="K42" i="1"/>
  <c r="L42" i="1"/>
  <c r="J43" i="1"/>
  <c r="L43" i="1"/>
  <c r="J45" i="1"/>
  <c r="K45" i="1"/>
  <c r="L45" i="1"/>
  <c r="K46" i="1"/>
  <c r="L46" i="1"/>
  <c r="M46" i="1"/>
  <c r="N46" i="1"/>
  <c r="J47" i="1"/>
  <c r="K47" i="1"/>
  <c r="M47" i="1"/>
  <c r="J48" i="1"/>
  <c r="K48" i="1"/>
  <c r="M48" i="1"/>
  <c r="J49" i="1"/>
  <c r="L49" i="1"/>
  <c r="E4" i="17"/>
  <c r="E5" i="17"/>
  <c r="E3" i="17"/>
  <c r="D4" i="17"/>
  <c r="D3" i="17"/>
  <c r="I10" i="21"/>
  <c r="I3" i="21"/>
  <c r="I8" i="21"/>
  <c r="I7" i="21"/>
  <c r="I31" i="21"/>
  <c r="I14" i="21"/>
  <c r="I35" i="21"/>
  <c r="I46" i="21"/>
  <c r="I37" i="21"/>
  <c r="I28" i="21"/>
  <c r="I22" i="21"/>
  <c r="I42" i="21"/>
  <c r="I33" i="21"/>
  <c r="I17" i="21"/>
  <c r="I24" i="21"/>
  <c r="I30" i="21"/>
  <c r="I44" i="21"/>
  <c r="I18" i="21"/>
  <c r="I20" i="21"/>
  <c r="I21" i="21"/>
  <c r="I19" i="21"/>
  <c r="I32" i="21"/>
  <c r="I50" i="21"/>
  <c r="I34" i="21"/>
  <c r="I51" i="21"/>
  <c r="I16" i="21"/>
  <c r="I27" i="21"/>
  <c r="I36" i="21"/>
  <c r="I23" i="21"/>
  <c r="I43" i="21"/>
  <c r="I45" i="21"/>
  <c r="I38" i="21"/>
  <c r="I47" i="21"/>
  <c r="I48" i="21"/>
  <c r="I41" i="21"/>
  <c r="I26" i="21"/>
  <c r="I40" i="21"/>
  <c r="I39" i="21"/>
  <c r="I49" i="21"/>
  <c r="I11" i="21"/>
  <c r="I9" i="21"/>
  <c r="I6" i="21"/>
  <c r="I25" i="21"/>
  <c r="I29" i="21"/>
  <c r="I13" i="21"/>
  <c r="I15" i="21"/>
  <c r="I4" i="21"/>
  <c r="I5" i="21"/>
  <c r="I12" i="21"/>
  <c r="H4" i="17"/>
  <c r="E110" i="16"/>
  <c r="C9" i="19"/>
  <c r="B9" i="19"/>
  <c r="G5" i="17"/>
  <c r="H5" i="17" s="1"/>
  <c r="G3" i="17"/>
  <c r="E108" i="16"/>
  <c r="E109" i="13"/>
  <c r="E111" i="13"/>
  <c r="K35" i="5"/>
  <c r="M3" i="17"/>
  <c r="L4" i="17"/>
  <c r="D117" i="13"/>
  <c r="D117" i="16"/>
  <c r="D95" i="16"/>
  <c r="D96" i="16"/>
  <c r="D96" i="13"/>
  <c r="D95" i="13"/>
  <c r="J4" i="17"/>
  <c r="E21" i="5"/>
  <c r="H72" i="5"/>
  <c r="H79" i="5"/>
  <c r="E4" i="1"/>
  <c r="E3" i="1"/>
  <c r="J3" i="17"/>
  <c r="D32" i="13"/>
  <c r="E15" i="9"/>
  <c r="H17" i="5"/>
  <c r="J21" i="5"/>
  <c r="K21" i="5"/>
  <c r="L21" i="5"/>
  <c r="J22" i="5"/>
  <c r="E22" i="5"/>
  <c r="H22" i="5"/>
  <c r="K22" i="5"/>
  <c r="L22" i="5"/>
  <c r="J23" i="5"/>
  <c r="K23" i="5"/>
  <c r="L23" i="5"/>
  <c r="J24" i="5"/>
  <c r="K24" i="5"/>
  <c r="L24" i="5"/>
  <c r="J25" i="5"/>
  <c r="K25" i="5"/>
  <c r="L25" i="5"/>
  <c r="J26" i="5"/>
  <c r="K26" i="5"/>
  <c r="L26" i="5"/>
  <c r="J27" i="5"/>
  <c r="E27" i="5"/>
  <c r="H27" i="5"/>
  <c r="K27" i="5"/>
  <c r="L27" i="5"/>
  <c r="J28" i="5"/>
  <c r="K28" i="5"/>
  <c r="L28" i="5"/>
  <c r="J29" i="5"/>
  <c r="K29" i="5"/>
  <c r="L29" i="5"/>
  <c r="J30" i="5"/>
  <c r="E30" i="5"/>
  <c r="H30" i="5"/>
  <c r="K30" i="5"/>
  <c r="L30" i="5"/>
  <c r="J31" i="5"/>
  <c r="K31" i="5"/>
  <c r="L31" i="5"/>
  <c r="J32" i="5"/>
  <c r="K32" i="5"/>
  <c r="L32" i="5"/>
  <c r="J33" i="5"/>
  <c r="K33" i="5"/>
  <c r="L33" i="5"/>
  <c r="J34" i="5"/>
  <c r="K34" i="5"/>
  <c r="L34" i="5"/>
  <c r="J35" i="5"/>
  <c r="E35" i="5"/>
  <c r="H35" i="5"/>
  <c r="L35" i="5"/>
  <c r="J36" i="5"/>
  <c r="K36" i="5"/>
  <c r="L36" i="5"/>
  <c r="J37" i="5"/>
  <c r="K37" i="5"/>
  <c r="L37" i="5"/>
  <c r="J38" i="5"/>
  <c r="E38" i="5"/>
  <c r="H38" i="5"/>
  <c r="K38" i="5"/>
  <c r="L38" i="5"/>
  <c r="J39" i="5"/>
  <c r="K39" i="5"/>
  <c r="L39" i="5"/>
  <c r="J40" i="5"/>
  <c r="K40" i="5"/>
  <c r="L40" i="5"/>
  <c r="J41" i="5"/>
  <c r="K41" i="5"/>
  <c r="L41" i="5"/>
  <c r="J42" i="5"/>
  <c r="K42" i="5"/>
  <c r="L42" i="5"/>
  <c r="J43" i="5"/>
  <c r="E43" i="5"/>
  <c r="H43" i="5"/>
  <c r="K43" i="5"/>
  <c r="L43" i="5"/>
  <c r="J44" i="5"/>
  <c r="K44" i="5"/>
  <c r="L44" i="5"/>
  <c r="J45" i="5"/>
  <c r="E45" i="5"/>
  <c r="H45" i="5"/>
  <c r="K45" i="5"/>
  <c r="L45" i="5"/>
  <c r="J46" i="5"/>
  <c r="K46" i="5"/>
  <c r="L46" i="5"/>
  <c r="E46" i="5"/>
  <c r="H46" i="5"/>
  <c r="J47" i="5"/>
  <c r="K47" i="5"/>
  <c r="L47" i="5"/>
  <c r="J48" i="5"/>
  <c r="K48" i="5"/>
  <c r="L48" i="5"/>
  <c r="J49" i="5"/>
  <c r="K49" i="5"/>
  <c r="L49" i="5"/>
  <c r="J50" i="5"/>
  <c r="K50" i="5"/>
  <c r="L50" i="5"/>
  <c r="E51" i="5"/>
  <c r="H51" i="5"/>
  <c r="J51" i="5"/>
  <c r="K51" i="5"/>
  <c r="J52" i="5"/>
  <c r="K52" i="5"/>
  <c r="E53" i="5"/>
  <c r="H53" i="5"/>
  <c r="J54" i="5"/>
  <c r="K54" i="5"/>
  <c r="L54" i="5"/>
  <c r="J55" i="5"/>
  <c r="E55" i="5"/>
  <c r="H55" i="5"/>
  <c r="K55" i="5"/>
  <c r="J56" i="5"/>
  <c r="E56" i="5"/>
  <c r="H56" i="5"/>
  <c r="J57" i="5"/>
  <c r="E57" i="5"/>
  <c r="H57" i="5"/>
  <c r="K58" i="5"/>
  <c r="L58" i="5"/>
  <c r="J64" i="5"/>
  <c r="E64" i="5"/>
  <c r="H64" i="5"/>
  <c r="L64" i="5"/>
  <c r="J65" i="5"/>
  <c r="K65" i="5"/>
  <c r="L65" i="5"/>
  <c r="E66" i="5"/>
  <c r="H66" i="5"/>
  <c r="J66" i="5"/>
  <c r="K66" i="5"/>
  <c r="L66" i="5"/>
  <c r="J67" i="5"/>
  <c r="L67" i="5"/>
  <c r="E67" i="5"/>
  <c r="H67" i="5"/>
  <c r="H73" i="5"/>
  <c r="H74" i="5"/>
  <c r="H75" i="5"/>
  <c r="H76" i="5"/>
  <c r="H77" i="5"/>
  <c r="H78" i="5"/>
  <c r="D15" i="9"/>
  <c r="C109" i="16"/>
  <c r="C103" i="16"/>
  <c r="C97" i="16"/>
  <c r="C82" i="16"/>
  <c r="C68" i="16"/>
  <c r="D53" i="16"/>
  <c r="C50" i="16"/>
  <c r="C71" i="16"/>
  <c r="C73" i="16"/>
  <c r="C40" i="16"/>
  <c r="D32" i="16"/>
  <c r="D52" i="16"/>
  <c r="D54" i="16"/>
  <c r="D61" i="16"/>
  <c r="E49" i="5"/>
  <c r="H49" i="5"/>
  <c r="E44" i="5"/>
  <c r="H44" i="5"/>
  <c r="E42" i="5"/>
  <c r="H42" i="5"/>
  <c r="E39" i="5"/>
  <c r="H39" i="5"/>
  <c r="E37" i="5"/>
  <c r="H37" i="5"/>
  <c r="E32" i="5"/>
  <c r="H32" i="5"/>
  <c r="E25" i="5"/>
  <c r="H25" i="5"/>
  <c r="H60" i="5"/>
  <c r="E58" i="5"/>
  <c r="H58" i="5"/>
  <c r="E48" i="5"/>
  <c r="H48" i="5"/>
  <c r="E41" i="5"/>
  <c r="H41" i="5"/>
  <c r="E36" i="5"/>
  <c r="H36" i="5"/>
  <c r="E34" i="5"/>
  <c r="H34" i="5"/>
  <c r="E31" i="5"/>
  <c r="H31" i="5"/>
  <c r="E54" i="5"/>
  <c r="H54" i="5"/>
  <c r="E29" i="5"/>
  <c r="H29" i="5"/>
  <c r="E24" i="5"/>
  <c r="H24" i="5"/>
  <c r="E65" i="5"/>
  <c r="H65" i="5"/>
  <c r="E50" i="5"/>
  <c r="H50" i="5"/>
  <c r="E47" i="5"/>
  <c r="H47" i="5"/>
  <c r="E23" i="5"/>
  <c r="H23" i="5"/>
  <c r="E52" i="5"/>
  <c r="H52" i="5"/>
  <c r="E40" i="5"/>
  <c r="H40" i="5"/>
  <c r="E33" i="5"/>
  <c r="H33" i="5"/>
  <c r="E28" i="5"/>
  <c r="H28" i="5"/>
  <c r="E26" i="5"/>
  <c r="H26" i="5"/>
  <c r="H68" i="5"/>
  <c r="D33" i="16"/>
  <c r="D34" i="16"/>
  <c r="D68" i="16"/>
  <c r="D56" i="16"/>
  <c r="D57" i="16"/>
  <c r="D62" i="16"/>
  <c r="D84" i="16"/>
  <c r="D85" i="16"/>
  <c r="D88" i="16"/>
  <c r="D39" i="16"/>
  <c r="D67" i="16"/>
  <c r="D38" i="16"/>
  <c r="D72" i="16"/>
  <c r="D69" i="16"/>
  <c r="D71" i="16"/>
  <c r="D113" i="16"/>
  <c r="D70" i="16"/>
  <c r="D40" i="16"/>
  <c r="D73" i="16"/>
  <c r="D115" i="16"/>
  <c r="D59" i="16"/>
  <c r="D49" i="16"/>
  <c r="D44" i="16"/>
  <c r="D46" i="16"/>
  <c r="D45" i="16"/>
  <c r="D47" i="16"/>
  <c r="D43" i="16"/>
  <c r="D48" i="16"/>
  <c r="D42" i="16"/>
  <c r="D50" i="16"/>
  <c r="D60" i="16"/>
  <c r="D63" i="16"/>
  <c r="D80" i="16"/>
  <c r="D79" i="16"/>
  <c r="D78" i="16"/>
  <c r="D77" i="16"/>
  <c r="D81" i="16"/>
  <c r="D114" i="16"/>
  <c r="D82" i="16"/>
  <c r="D87" i="16"/>
  <c r="D89" i="16"/>
  <c r="D116" i="16"/>
  <c r="E5" i="1"/>
  <c r="E6" i="1"/>
  <c r="E7" i="1"/>
  <c r="G7" i="1"/>
  <c r="H7" i="1"/>
  <c r="E8" i="1"/>
  <c r="E9" i="1"/>
  <c r="E10" i="1"/>
  <c r="E11" i="1"/>
  <c r="E12" i="1"/>
  <c r="E13" i="1"/>
  <c r="E14" i="1"/>
  <c r="E15" i="1"/>
  <c r="G15" i="1"/>
  <c r="H15" i="1"/>
  <c r="E16" i="1"/>
  <c r="E17" i="1"/>
  <c r="E18" i="1"/>
  <c r="E19" i="1"/>
  <c r="E44" i="1"/>
  <c r="E50" i="1"/>
  <c r="E51" i="1"/>
  <c r="E48" i="1"/>
  <c r="E45" i="1"/>
  <c r="E39" i="1"/>
  <c r="G39" i="1"/>
  <c r="H39" i="1"/>
  <c r="E37" i="1"/>
  <c r="E31" i="1"/>
  <c r="G31" i="1"/>
  <c r="H31" i="1"/>
  <c r="E28" i="1"/>
  <c r="E25" i="1"/>
  <c r="E21" i="1"/>
  <c r="E20" i="1"/>
  <c r="D53" i="10"/>
  <c r="E22" i="1"/>
  <c r="E30" i="1"/>
  <c r="E36" i="1"/>
  <c r="E34" i="1"/>
  <c r="E42" i="1"/>
  <c r="E26" i="1"/>
  <c r="E49" i="1"/>
  <c r="E29" i="1"/>
  <c r="E35" i="1"/>
  <c r="E46" i="1"/>
  <c r="E23" i="1"/>
  <c r="E32" i="1"/>
  <c r="E40" i="1"/>
  <c r="E43" i="1"/>
  <c r="E24" i="1"/>
  <c r="E38" i="1"/>
  <c r="E47" i="1"/>
  <c r="G47" i="1"/>
  <c r="H47" i="1"/>
  <c r="E27" i="1"/>
  <c r="E33" i="1"/>
  <c r="E41" i="1"/>
  <c r="D5" i="9"/>
  <c r="D96" i="10"/>
  <c r="D32" i="14"/>
  <c r="D33" i="14"/>
  <c r="C39" i="14"/>
  <c r="C49" i="14"/>
  <c r="D51" i="14"/>
  <c r="D52" i="14"/>
  <c r="D53" i="14"/>
  <c r="D60" i="14"/>
  <c r="C67" i="14"/>
  <c r="C72" i="14"/>
  <c r="C70" i="14"/>
  <c r="C81" i="14"/>
  <c r="D95" i="14"/>
  <c r="C95" i="14"/>
  <c r="C101" i="14"/>
  <c r="C107" i="14"/>
  <c r="D33" i="13"/>
  <c r="D34" i="13"/>
  <c r="C40" i="13"/>
  <c r="C50" i="13"/>
  <c r="C71" i="13"/>
  <c r="C73" i="13"/>
  <c r="D53" i="13"/>
  <c r="C68" i="13"/>
  <c r="C82" i="13"/>
  <c r="C97" i="13"/>
  <c r="C103" i="13"/>
  <c r="C109" i="13"/>
  <c r="D32" i="10"/>
  <c r="C40" i="10"/>
  <c r="C50" i="10"/>
  <c r="C71" i="10"/>
  <c r="C68" i="10"/>
  <c r="C73" i="10"/>
  <c r="C82" i="10"/>
  <c r="C97" i="10"/>
  <c r="C103" i="10"/>
  <c r="C109" i="10"/>
  <c r="F4" i="9"/>
  <c r="D33" i="10"/>
  <c r="D34" i="10"/>
  <c r="D52" i="10"/>
  <c r="D54" i="10"/>
  <c r="D61" i="10"/>
  <c r="D52" i="13"/>
  <c r="D54" i="13"/>
  <c r="D61" i="13"/>
  <c r="F5" i="9"/>
  <c r="D115" i="14"/>
  <c r="D70" i="14"/>
  <c r="D69" i="14"/>
  <c r="D111" i="14"/>
  <c r="D55" i="14"/>
  <c r="D56" i="14"/>
  <c r="D61" i="14"/>
  <c r="D83" i="14"/>
  <c r="D84" i="14"/>
  <c r="D87" i="14"/>
  <c r="D38" i="14"/>
  <c r="D71" i="14"/>
  <c r="D68" i="14"/>
  <c r="D67" i="14"/>
  <c r="D66" i="14"/>
  <c r="D37" i="14"/>
  <c r="D71" i="13"/>
  <c r="D72" i="13"/>
  <c r="D69" i="13"/>
  <c r="D113" i="13"/>
  <c r="D70" i="13"/>
  <c r="D38" i="13"/>
  <c r="D67" i="13"/>
  <c r="D39" i="13"/>
  <c r="D56" i="13"/>
  <c r="D57" i="13"/>
  <c r="D62" i="13"/>
  <c r="D84" i="13"/>
  <c r="D85" i="13"/>
  <c r="D88" i="13"/>
  <c r="D68" i="13"/>
  <c r="L15" i="5"/>
  <c r="K15" i="5"/>
  <c r="J15" i="5"/>
  <c r="D38" i="10"/>
  <c r="D68" i="10"/>
  <c r="D39" i="10"/>
  <c r="D40" i="10"/>
  <c r="D59" i="10"/>
  <c r="D70" i="10"/>
  <c r="D56" i="10"/>
  <c r="D57" i="10"/>
  <c r="D62" i="10"/>
  <c r="D84" i="10"/>
  <c r="D85" i="10"/>
  <c r="D88" i="10"/>
  <c r="D71" i="10"/>
  <c r="D67" i="10"/>
  <c r="D69" i="10"/>
  <c r="D113" i="10"/>
  <c r="D72" i="10"/>
  <c r="D40" i="13"/>
  <c r="D49" i="13"/>
  <c r="E15" i="5"/>
  <c r="H15" i="5"/>
  <c r="D39" i="14"/>
  <c r="D72" i="14"/>
  <c r="D113" i="14"/>
  <c r="D73" i="13"/>
  <c r="D115" i="13"/>
  <c r="D44" i="13"/>
  <c r="D45" i="10"/>
  <c r="D47" i="10"/>
  <c r="L14" i="5"/>
  <c r="K14" i="5"/>
  <c r="J14" i="5"/>
  <c r="L13" i="5"/>
  <c r="K13" i="5"/>
  <c r="J13" i="5"/>
  <c r="L12" i="5"/>
  <c r="K12" i="5"/>
  <c r="J12" i="5"/>
  <c r="J11" i="5"/>
  <c r="L11" i="5"/>
  <c r="K11" i="5"/>
  <c r="H5" i="5"/>
  <c r="D44" i="10"/>
  <c r="D48" i="10"/>
  <c r="D73" i="10"/>
  <c r="D115" i="10"/>
  <c r="D43" i="10"/>
  <c r="D46" i="10"/>
  <c r="D49" i="10"/>
  <c r="D42" i="10"/>
  <c r="D50" i="10"/>
  <c r="D42" i="13"/>
  <c r="D59" i="13"/>
  <c r="D48" i="13"/>
  <c r="D46" i="13"/>
  <c r="D43" i="13"/>
  <c r="D45" i="13"/>
  <c r="D47" i="13"/>
  <c r="D58" i="14"/>
  <c r="D46" i="14"/>
  <c r="D41" i="14"/>
  <c r="D45" i="14"/>
  <c r="D47" i="14"/>
  <c r="D43" i="14"/>
  <c r="D44" i="14"/>
  <c r="D48" i="14"/>
  <c r="D42" i="14"/>
  <c r="H6" i="5"/>
  <c r="H9" i="5"/>
  <c r="E12" i="5"/>
  <c r="H12" i="5"/>
  <c r="E11" i="5"/>
  <c r="H11" i="5"/>
  <c r="E14" i="5"/>
  <c r="H14" i="5"/>
  <c r="H7" i="5"/>
  <c r="H8" i="5"/>
  <c r="E13" i="5"/>
  <c r="H13" i="5"/>
  <c r="H10" i="5"/>
  <c r="H3" i="5"/>
  <c r="H4" i="5"/>
  <c r="H16" i="5"/>
  <c r="D50" i="13"/>
  <c r="D60" i="13"/>
  <c r="D63" i="13"/>
  <c r="D49" i="14"/>
  <c r="D60" i="10"/>
  <c r="D63" i="10"/>
  <c r="D77" i="10"/>
  <c r="D81" i="10"/>
  <c r="D79" i="10"/>
  <c r="D80" i="10"/>
  <c r="D78" i="10"/>
  <c r="D114" i="13"/>
  <c r="D81" i="13"/>
  <c r="D80" i="13"/>
  <c r="D78" i="13"/>
  <c r="D77" i="13"/>
  <c r="D79" i="13"/>
  <c r="D59" i="14"/>
  <c r="D62" i="14"/>
  <c r="D78" i="14"/>
  <c r="D76" i="14"/>
  <c r="D79" i="14"/>
  <c r="D77" i="14"/>
  <c r="D80" i="14"/>
  <c r="D82" i="10"/>
  <c r="D87" i="10"/>
  <c r="D89" i="10"/>
  <c r="D116" i="10"/>
  <c r="D114" i="10"/>
  <c r="D82" i="13"/>
  <c r="D87" i="13"/>
  <c r="D89" i="13"/>
  <c r="D116" i="13"/>
  <c r="D97" i="13"/>
  <c r="D118" i="13"/>
  <c r="D118" i="16"/>
  <c r="D97" i="16"/>
  <c r="D112" i="14"/>
  <c r="D81" i="14"/>
  <c r="D86" i="14"/>
  <c r="D88" i="14"/>
  <c r="D114" i="14"/>
  <c r="D101" i="13"/>
  <c r="D102" i="13"/>
  <c r="D105" i="13"/>
  <c r="D101" i="16"/>
  <c r="D102" i="16"/>
  <c r="D99" i="14"/>
  <c r="D116" i="14"/>
  <c r="D108" i="13"/>
  <c r="D104" i="13"/>
  <c r="D109" i="13"/>
  <c r="D119" i="13"/>
  <c r="D120" i="13"/>
  <c r="D121" i="13"/>
  <c r="F13" i="9"/>
  <c r="D108" i="16"/>
  <c r="D105" i="16"/>
  <c r="D104" i="16"/>
  <c r="D109" i="16"/>
  <c r="D119" i="16"/>
  <c r="D120" i="16"/>
  <c r="D121" i="16"/>
  <c r="F14" i="9"/>
  <c r="C18" i="18"/>
  <c r="D18" i="18"/>
  <c r="C16" i="18"/>
  <c r="D16" i="18"/>
  <c r="D93" i="10"/>
  <c r="D94" i="10"/>
  <c r="D97" i="10" s="1"/>
  <c r="D95" i="10"/>
  <c r="G46" i="1"/>
  <c r="H46" i="1"/>
  <c r="G14" i="1"/>
  <c r="H14" i="1"/>
  <c r="G30" i="1"/>
  <c r="H30" i="1"/>
  <c r="G22" i="1"/>
  <c r="H22" i="1"/>
  <c r="G8" i="1"/>
  <c r="H8" i="1"/>
  <c r="G38" i="1"/>
  <c r="H38" i="1"/>
  <c r="G6" i="1"/>
  <c r="H6" i="1"/>
  <c r="G23" i="1"/>
  <c r="H23" i="1"/>
  <c r="G45" i="1"/>
  <c r="H45" i="1"/>
  <c r="G37" i="1"/>
  <c r="H37" i="1"/>
  <c r="G29" i="1"/>
  <c r="H29" i="1"/>
  <c r="G21" i="1"/>
  <c r="H21" i="1"/>
  <c r="G13" i="1"/>
  <c r="H13" i="1"/>
  <c r="G5" i="1"/>
  <c r="H5" i="1"/>
  <c r="G3" i="1"/>
  <c r="H3" i="1"/>
  <c r="G44" i="1"/>
  <c r="H44" i="1"/>
  <c r="G36" i="1"/>
  <c r="H36" i="1"/>
  <c r="G28" i="1"/>
  <c r="H28" i="1"/>
  <c r="G20" i="1"/>
  <c r="H20" i="1"/>
  <c r="G12" i="1"/>
  <c r="H12" i="1"/>
  <c r="G4" i="1"/>
  <c r="H4" i="1"/>
  <c r="G51" i="1"/>
  <c r="H51" i="1"/>
  <c r="G43" i="1"/>
  <c r="H43" i="1"/>
  <c r="G35" i="1"/>
  <c r="H35" i="1"/>
  <c r="G27" i="1"/>
  <c r="H27" i="1"/>
  <c r="G19" i="1"/>
  <c r="H19" i="1"/>
  <c r="G11" i="1"/>
  <c r="H11" i="1"/>
  <c r="G50" i="1"/>
  <c r="H50" i="1"/>
  <c r="G42" i="1"/>
  <c r="H42" i="1"/>
  <c r="G34" i="1"/>
  <c r="H34" i="1"/>
  <c r="G26" i="1"/>
  <c r="H26" i="1"/>
  <c r="G18" i="1"/>
  <c r="H18" i="1"/>
  <c r="G10" i="1"/>
  <c r="H10" i="1"/>
  <c r="G49" i="1"/>
  <c r="H49" i="1"/>
  <c r="G41" i="1"/>
  <c r="H41" i="1"/>
  <c r="G33" i="1"/>
  <c r="H33" i="1"/>
  <c r="G25" i="1"/>
  <c r="H25" i="1"/>
  <c r="G17" i="1"/>
  <c r="H17" i="1"/>
  <c r="G9" i="1"/>
  <c r="H9" i="1"/>
  <c r="G48" i="1"/>
  <c r="H48" i="1"/>
  <c r="G40" i="1"/>
  <c r="H40" i="1"/>
  <c r="G32" i="1"/>
  <c r="H32" i="1"/>
  <c r="G24" i="1"/>
  <c r="H24" i="1"/>
  <c r="G16" i="1"/>
  <c r="H16" i="1"/>
  <c r="H3" i="17"/>
  <c r="G6" i="17"/>
  <c r="D6" i="18" s="1"/>
  <c r="D100" i="14"/>
  <c r="E106" i="14"/>
  <c r="E108" i="14"/>
  <c r="D103" i="14"/>
  <c r="D106" i="14"/>
  <c r="D102" i="14"/>
  <c r="D107" i="14"/>
  <c r="D117" i="14"/>
  <c r="D118" i="14"/>
  <c r="D119" i="14"/>
  <c r="F11" i="9"/>
  <c r="E118" i="14"/>
  <c r="C12" i="18"/>
  <c r="D12" i="18"/>
  <c r="H6" i="17" l="1"/>
  <c r="D25" i="18"/>
  <c r="B4" i="20"/>
  <c r="D101" i="10"/>
  <c r="D117" i="10"/>
  <c r="D118" i="10" s="1"/>
  <c r="H52" i="1"/>
  <c r="D20" i="18" s="1"/>
  <c r="C29" i="18" s="1"/>
  <c r="D102" i="10" l="1"/>
  <c r="D108" i="10" s="1"/>
  <c r="D28" i="18"/>
  <c r="B6" i="20"/>
  <c r="D105" i="10" l="1"/>
  <c r="D33" i="18"/>
  <c r="E108" i="10"/>
  <c r="E110" i="10" s="1"/>
  <c r="D34" i="18" s="1"/>
  <c r="D104" i="10"/>
  <c r="D109" i="10" s="1"/>
  <c r="D119" i="10" s="1"/>
  <c r="D120" i="10" s="1"/>
  <c r="D121" i="10" l="1"/>
  <c r="F12" i="9" s="1"/>
  <c r="B5" i="18"/>
  <c r="D5" i="18" s="1"/>
  <c r="G4" i="9"/>
  <c r="D35" i="18"/>
  <c r="G5" i="9" l="1"/>
  <c r="D24" i="18"/>
  <c r="D26" i="18" s="1"/>
  <c r="B3" i="20"/>
  <c r="D7" i="18"/>
  <c r="D36" i="18"/>
  <c r="C14" i="18"/>
  <c r="D14" i="18" s="1"/>
  <c r="F15" i="9"/>
  <c r="B5" i="20" l="1"/>
  <c r="D27" i="18"/>
  <c r="D21" i="18"/>
  <c r="D29" i="18" s="1"/>
  <c r="D30" i="18" s="1"/>
  <c r="B7" i="20"/>
  <c r="C3" i="20" s="1"/>
  <c r="D3" i="20" s="1"/>
  <c r="H15" i="9"/>
  <c r="G15" i="9"/>
  <c r="I4" i="9"/>
  <c r="I5" i="9" s="1"/>
  <c r="H5" i="9"/>
  <c r="C38" i="18" l="1"/>
  <c r="E35" i="18"/>
  <c r="C4" i="20"/>
  <c r="D4" i="20" s="1"/>
  <c r="C6" i="20"/>
  <c r="C5" i="20"/>
  <c r="D5" i="20" l="1"/>
  <c r="D6" i="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tc={AF95AECE-2EED-4188-99D4-463106269C41}</author>
    <author>tc={A7FD09B3-6A05-4CF8-AC26-863AEC5F04DA}</author>
    <author>tc={A8BE5155-449A-4212-9535-940C75ED9DA7}</author>
    <author>tc={56F30700-E1BE-4034-A379-1A388B65F01D}</author>
    <author>tc={D1F925BF-06DF-473E-9BDF-2F9FB57D1F26}</author>
    <author>tc={86947629-5FF3-4D4E-885C-006274081D6E}</author>
    <author>tc={C006BA80-8FFC-4B73-A4D3-5F43F3E00BFB}</author>
  </authors>
  <commentList>
    <comment ref="A36" authorId="0" shapeId="0" xr:uid="{AF95AECE-2EED-4188-99D4-463106269C4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Esses percentuais de 13º e Férias foram definidos para coincidirem com os valores que serão recolhidos mensalmente para a Conta Vinculada</t>
      </text>
    </comment>
    <comment ref="D41" authorId="1" shapeId="0" xr:uid="{A7FD09B3-6A05-4CF8-AC26-863AEC5F04D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Com exceção do item C (SAT) que varia de empresa para empresa,  todos os percentuais do  Submódulo 2.2 são fixos, definidos em lei.</t>
      </text>
    </comment>
    <comment ref="A65" authorId="2" shapeId="0" xr:uid="{A8BE5155-449A-4212-9535-940C75ED9DA7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Todo este módulo é de preenchimento discricionário da empresa. Para efeitos de estimativa, foram utilizados os valores que costumam ser cotados nas planilhas de serviços com mão-de-obra na CGU.</t>
      </text>
    </comment>
    <comment ref="C69" authorId="3" shapeId="0" xr:uid="{56F30700-E1BE-4034-A379-1A388B65F01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Valor estimado pela empresa. A soma dos percentuais das Multas do FGTS sobre o API e sobre o APT deve resultar em 4% (valor a ser recolhido mensalmente pela Conta Vinculada)</t>
      </text>
    </comment>
    <comment ref="C72" authorId="4" shapeId="0" xr:uid="{D1F925BF-06DF-473E-9BDF-2F9FB57D1F2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Valor estimado pela empresa. A soma dos percentuais das Multas do FGTS sobre o API e sobre o APT deve resultar em 4% (valor a ser recolhido mensalmente pela Conta Vinculada)</t>
      </text>
    </comment>
    <comment ref="A75" authorId="5" shapeId="0" xr:uid="{86947629-5FF3-4D4E-885C-006274081D6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Módulo de preenchimento discricionário da licitante. Percentuais estimados conforme a média aplicada no DF</t>
      </text>
    </comment>
    <comment ref="A91" authorId="6" shapeId="0" xr:uid="{C006BA80-8FFC-4B73-A4D3-5F43F3E00BF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Cotações feitas pela área técnica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tc={93645C17-951F-4693-9E83-56DA53FAC0D0}</author>
    <author>tc={67C06FC1-610B-4356-929F-42BA4BFFE1D5}</author>
    <author>tc={2075FEA9-116B-4AAA-9528-1ECD9CA65297}</author>
    <author>tc={878962F0-231B-4DA0-9EC6-97E3F09B605B}</author>
    <author>tc={AC84162B-03F0-4B7E-AC7F-0387397EEFEA}</author>
    <author>tc={C051B038-2F6C-454E-8BD2-E814341E745F}</author>
    <author>tc={E383EBFE-377A-4A92-A07C-589083AB4BEC}</author>
  </authors>
  <commentList>
    <comment ref="A35" authorId="0" shapeId="0" xr:uid="{93645C17-951F-4693-9E83-56DA53FAC0D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Esses percentuais de 13º e Férias foram definidos para coincidirem com os valores que serão recolhidos mensalmente para a Conta Vinculada</t>
      </text>
    </comment>
    <comment ref="D40" authorId="1" shapeId="0" xr:uid="{67C06FC1-610B-4356-929F-42BA4BFFE1D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Com exceção do item C (SAT) que varia de empresa para empresa,  todos os percentuais do  Submódulo 2.2 são fixos, definidos em lei.</t>
      </text>
    </comment>
    <comment ref="A64" authorId="2" shapeId="0" xr:uid="{2075FEA9-116B-4AAA-9528-1ECD9CA65297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Todo este módulo é de preenchimento discricionário da empresa. Para efeitos de estimativa, foram utilizados os valores que costumam ser cotados nas planilhas de serviços com mão-de-obra na CGU.</t>
      </text>
    </comment>
    <comment ref="C68" authorId="3" shapeId="0" xr:uid="{878962F0-231B-4DA0-9EC6-97E3F09B605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Valor estimado pela empresa. A soma dos percentuais das Multas do FGTS sobre o API e sobre o APT deve resultar em 4% (valor a ser recolhido mensalmente pela Conta Vinculada)</t>
      </text>
    </comment>
    <comment ref="C71" authorId="4" shapeId="0" xr:uid="{AC84162B-03F0-4B7E-AC7F-0387397EEFE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Valor estimado pela empresa. A soma dos percentuais das Multas do FGTS sobre o API e sobre o APT deve resultar em 4% (valor a ser recolhido mensalmente pela Conta Vinculada)</t>
      </text>
    </comment>
    <comment ref="A74" authorId="5" shapeId="0" xr:uid="{C051B038-2F6C-454E-8BD2-E814341E745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Módulo de preenchimento discricionário da licitante. Percentuais estimados conforme a média aplicada no DF</t>
      </text>
    </comment>
    <comment ref="A90" authorId="6" shapeId="0" xr:uid="{E383EBFE-377A-4A92-A07C-589083AB4BE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Cotações feitas pela área técnica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tc={754D7DBA-C363-4466-8216-B0C45D3CE7AA}</author>
    <author>tc={4E262C1F-A08E-4689-9F3D-1B94B47E0994}</author>
    <author>tc={E293ACB2-A2FE-4A89-BA50-E5081059FD91}</author>
    <author>tc={43BC7A25-C26A-44DC-8C7B-F05C96836C2D}</author>
    <author>tc={580109E0-FB0C-4A5F-AC64-28F3B32F7C18}</author>
    <author>tc={87C01732-0E65-49D9-84C1-ACB2C7212D52}</author>
    <author>tc={312BF96E-1207-4310-9BF3-59F5511DE6BD}</author>
  </authors>
  <commentList>
    <comment ref="A36" authorId="0" shapeId="0" xr:uid="{754D7DBA-C363-4466-8216-B0C45D3CE7A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Esses percentuais de 13º e Férias foram definidos para coincidirem com os valores que serão recolhidos mensalmente para a Conta Vinculada</t>
      </text>
    </comment>
    <comment ref="D41" authorId="1" shapeId="0" xr:uid="{4E262C1F-A08E-4689-9F3D-1B94B47E099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Com exceção do item C (SAT) que varia de empresa para empresa,  todos os percentuais do  Submódulo 2.2 são fixos, definidos em lei.</t>
      </text>
    </comment>
    <comment ref="A65" authorId="2" shapeId="0" xr:uid="{E293ACB2-A2FE-4A89-BA50-E5081059FD9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Todo este módulo é de preenchimento discricionário da empresa. Para efeitos de estimativa, foram utilizados os valores que costumam ser cotados nas planilhas de serviços com mão-de-obra na CGU.</t>
      </text>
    </comment>
    <comment ref="C69" authorId="3" shapeId="0" xr:uid="{43BC7A25-C26A-44DC-8C7B-F05C96836C2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Valor estimado pela empresa. A soma dos percentuais das Multas do FGTS sobre o API e sobre o APT deve resultar em 4% (valor a ser recolhido mensalmente pela Conta Vinculada)</t>
      </text>
    </comment>
    <comment ref="C72" authorId="4" shapeId="0" xr:uid="{580109E0-FB0C-4A5F-AC64-28F3B32F7C1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Valor estimado pela empresa. A soma dos percentuais das Multas do FGTS sobre o API e sobre o APT deve resultar em 4% (valor a ser recolhido mensalmente pela Conta Vinculada)</t>
      </text>
    </comment>
    <comment ref="A75" authorId="5" shapeId="0" xr:uid="{87C01732-0E65-49D9-84C1-ACB2C7212D52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Módulo de preenchimento discricionário da licitante. Percentuais estimados conforme a média aplicada no DF</t>
      </text>
    </comment>
    <comment ref="A91" authorId="6" shapeId="0" xr:uid="{312BF96E-1207-4310-9BF3-59F5511DE6B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Cotações feitas pela área técnica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tc={876F4878-3C6B-4AC5-9EDB-DF4E1789A10F}</author>
    <author>tc={3A25056D-B0E6-460E-8C38-A63FE8735C7B}</author>
    <author>tc={830F1E93-5B6E-408C-9A1C-453B31430BAE}</author>
    <author>tc={10CBFC18-86E8-48C8-A614-B9EFF72BD139}</author>
    <author>tc={F9B8778E-A89B-4BA3-9AA3-1AA7E2DF5B25}</author>
    <author>tc={10528661-F1C1-4037-8277-EBF8E64AE656}</author>
    <author>tc={520A0ADF-E152-4F77-8576-E7927471F9EC}</author>
  </authors>
  <commentList>
    <comment ref="A36" authorId="0" shapeId="0" xr:uid="{876F4878-3C6B-4AC5-9EDB-DF4E1789A10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Esses percentuais de 13º e Férias foram definidos para coincidirem com os valores que serão recolhidos mensalmente para a Conta Vinculada</t>
      </text>
    </comment>
    <comment ref="D41" authorId="1" shapeId="0" xr:uid="{3A25056D-B0E6-460E-8C38-A63FE8735C7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Com exceção do item C (SAT) que varia de empresa para empresa,  todos os percentuais do  Submódulo 2.2 são fixos, definidos em lei.</t>
      </text>
    </comment>
    <comment ref="A65" authorId="2" shapeId="0" xr:uid="{830F1E93-5B6E-408C-9A1C-453B31430BA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Todo este módulo é de preenchimento discricionário da empresa. Para efeitos de estimativa, foram utilizados os valores que costumam ser cotados nas planilhas de serviços com mão-de-obra na CGU.</t>
      </text>
    </comment>
    <comment ref="C69" authorId="3" shapeId="0" xr:uid="{10CBFC18-86E8-48C8-A614-B9EFF72BD13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Valor estimado pela empresa. A soma dos percentuais das Multas do FGTS sobre o API e sobre o APT deve resultar em 4% (valor a ser recolhido mensalmente pela Conta Vinculada)</t>
      </text>
    </comment>
    <comment ref="C72" authorId="4" shapeId="0" xr:uid="{F9B8778E-A89B-4BA3-9AA3-1AA7E2DF5B2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Valor estimado pela empresa. A soma dos percentuais das Multas do FGTS sobre o API e sobre o APT deve resultar em 4% (valor a ser recolhido mensalmente pela Conta Vinculada)</t>
      </text>
    </comment>
    <comment ref="A75" authorId="5" shapeId="0" xr:uid="{10528661-F1C1-4037-8277-EBF8E64AE65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Módulo de preenchimento discricionário da licitante. Percentuais estimados conforme a média aplicada no DF</t>
      </text>
    </comment>
    <comment ref="A91" authorId="6" shapeId="0" xr:uid="{520A0ADF-E152-4F77-8576-E7927471F9E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Cotações feitas pela área técnica</t>
      </text>
    </comment>
  </commentList>
</comments>
</file>

<file path=xl/sharedStrings.xml><?xml version="1.0" encoding="utf-8"?>
<sst xmlns="http://schemas.openxmlformats.org/spreadsheetml/2006/main" count="1483" uniqueCount="469">
  <si>
    <t>I – EQUIPE RESIDENTE + SERVIÇOS ESPECIALIZADOS</t>
  </si>
  <si>
    <t>(custo fixo do contrato)</t>
  </si>
  <si>
    <t xml:space="preserve">Valor Mensal do Posto de Serviço </t>
  </si>
  <si>
    <t>Qtde de Postos</t>
  </si>
  <si>
    <t xml:space="preserve"> Valor Mensal do Serviço</t>
  </si>
  <si>
    <t>I.2 Serviços Especializados</t>
  </si>
  <si>
    <t>TOTAL:</t>
  </si>
  <si>
    <t>(custo variável do contrato)</t>
  </si>
  <si>
    <t>II.1 Engenheiro Mecânico – supervisor: custo variável, máximo 8h por mês</t>
  </si>
  <si>
    <t>Valor por hora</t>
  </si>
  <si>
    <t>Valor Mensal máximo (8 h)</t>
  </si>
  <si>
    <t>II.2 Técnico em Refrigeração: custo variável, máximo 48 h por mês</t>
  </si>
  <si>
    <t>Valor Mensal máximo (48 h)</t>
  </si>
  <si>
    <t>II.3 Técnico Eletricista: custo variável, máximo 48 h por mês</t>
  </si>
  <si>
    <t>II.4 Auxilar Geral de Manutenção e Reparos: custo variável, máximo 32 h por mês</t>
  </si>
  <si>
    <t>Valor Mensal máximo (16 h)</t>
  </si>
  <si>
    <t>II.3 Peças planilhadas e licitadas (aquisição por demanda)</t>
  </si>
  <si>
    <t>Valor total mensal para aquisição das peças planilhadas</t>
  </si>
  <si>
    <t>TABELA RESUMO DOS CUSTOS MENSAIS</t>
  </si>
  <si>
    <t>TABELA DA MARGEM DE LUCRO MENSAL</t>
  </si>
  <si>
    <t>Margem de Lucro na equipe residente</t>
  </si>
  <si>
    <t>Margem de Lucro na mão de obra sem dedicação exclusiva</t>
  </si>
  <si>
    <t>VALOR PARA DISPUTA DOS LANCES NO PREGÃO</t>
  </si>
  <si>
    <t xml:space="preserve"> ORÇAMENTO ANUAL ESTIMADO DE CUSTOS DE MÃO DE OBRA COM DEDICAÇÃO EXCLUSIVA PARA SERVIÇOS CONTÍNUOS (OPERAÇÃO/MONITORAMENTO)</t>
  </si>
  <si>
    <t>Nº</t>
  </si>
  <si>
    <t>POSTO</t>
  </si>
  <si>
    <t>CCT UTILIZADA COMO REFERÊNCIA PARA A ESTIMATIVA</t>
  </si>
  <si>
    <t>QUANTIDADE DE POSTOS</t>
  </si>
  <si>
    <t>QUANTIDADE DE FUNCIONÁRIOS POR POSTO</t>
  </si>
  <si>
    <t>TOTAL DE FUNCIONÁRIOS</t>
  </si>
  <si>
    <t>VALOR MENSAL POR POSTO</t>
  </si>
  <si>
    <t>VALOR MENSAL TOTAL</t>
  </si>
  <si>
    <t>VALOR ANUAL</t>
  </si>
  <si>
    <t>A</t>
  </si>
  <si>
    <t>B</t>
  </si>
  <si>
    <t>C = A*B</t>
  </si>
  <si>
    <t>D</t>
  </si>
  <si>
    <t>E = C*D</t>
  </si>
  <si>
    <t>F = E*12</t>
  </si>
  <si>
    <t>Técnico em Refrigeração</t>
  </si>
  <si>
    <t>CCT SEAC-DF SINTEC-DF 2022-2023</t>
  </si>
  <si>
    <t>TOTAL</t>
  </si>
  <si>
    <t>ORÇAMENTO ANUAL ESTIMADO DE CUSTOS DE MÃO DE OBRA SEM DEDICAÇÃO EXCLUSIVA PARA SERVIÇOS CONTÍNUOS (CORRETIVA E PREVENTIVA)</t>
  </si>
  <si>
    <t>QUANTIDADE DE HORAS ESTIMADAS MENSAL</t>
  </si>
  <si>
    <t>VALOR HOMEM/HORA</t>
  </si>
  <si>
    <t>C</t>
  </si>
  <si>
    <t>D = A*B*</t>
  </si>
  <si>
    <t>E = D*12</t>
  </si>
  <si>
    <t>Supervisor Eng. Mecânico</t>
  </si>
  <si>
    <t>CCT SINDUSCON-DF SENGE-DF 2021-2023</t>
  </si>
  <si>
    <t>Técnico Eletricista</t>
  </si>
  <si>
    <t>CCT SEAC SINDISERVIÇOS 2023-2023</t>
  </si>
  <si>
    <t>Ajudante Geral de Manutenção e Reparos</t>
  </si>
  <si>
    <t>MATERIAIS</t>
  </si>
  <si>
    <t>item</t>
  </si>
  <si>
    <t>descrição</t>
  </si>
  <si>
    <t>medida</t>
  </si>
  <si>
    <t>CÓDIGO SINAPI</t>
  </si>
  <si>
    <t>custo unitário R$</t>
  </si>
  <si>
    <t>vida útil (meses)</t>
  </si>
  <si>
    <t>qtde</t>
  </si>
  <si>
    <t>custo mensal R$</t>
  </si>
  <si>
    <t>VALOR A</t>
  </si>
  <si>
    <t>VALOR B</t>
  </si>
  <si>
    <t>VALOR C</t>
  </si>
  <si>
    <t>Balde de Plástico de 10 lts</t>
  </si>
  <si>
    <t>unid</t>
  </si>
  <si>
    <t>00010</t>
  </si>
  <si>
    <t>Detergente neutro uso geral, concentrado</t>
  </si>
  <si>
    <t>l</t>
  </si>
  <si>
    <t>44329</t>
  </si>
  <si>
    <t>Estopa</t>
  </si>
  <si>
    <t xml:space="preserve">kg </t>
  </si>
  <si>
    <t>00013</t>
  </si>
  <si>
    <t xml:space="preserve">Fita adesiva de alumínio </t>
  </si>
  <si>
    <t>m</t>
  </si>
  <si>
    <t>42529</t>
  </si>
  <si>
    <t>Fita veda rosca em rolos de 18 mm x 50 m (L X C)</t>
  </si>
  <si>
    <t>03148</t>
  </si>
  <si>
    <t>Fita isolante adesiva antichama, uso até 750 v, em rolo 19 mm x 20 m</t>
  </si>
  <si>
    <t>20111</t>
  </si>
  <si>
    <t>Graxa lubrificante</t>
  </si>
  <si>
    <t>04229</t>
  </si>
  <si>
    <t>Silicone Acetico uso geral incolor 280 g</t>
  </si>
  <si>
    <t>39961</t>
  </si>
  <si>
    <t xml:space="preserve">Pano para limpeza </t>
  </si>
  <si>
    <t>-</t>
  </si>
  <si>
    <t>Pano de Chão</t>
  </si>
  <si>
    <t>Desingraxante 5 lts</t>
  </si>
  <si>
    <t>Rodo cabo alumínio 1 m</t>
  </si>
  <si>
    <t>Vassourão 60 cm</t>
  </si>
  <si>
    <t>total</t>
  </si>
  <si>
    <t>custo mensal por funcionário</t>
  </si>
  <si>
    <t>FERRAMENTAS</t>
  </si>
  <si>
    <t>depreciação mensal R$</t>
  </si>
  <si>
    <t>Bolsa de Ferramentas</t>
  </si>
  <si>
    <t>Alicate universal 8" c/ cabo isolado</t>
  </si>
  <si>
    <t>Alicate de Pressão 10"</t>
  </si>
  <si>
    <t>Tesoura para corte de chapas</t>
  </si>
  <si>
    <t>Chave Inglesa 10"</t>
  </si>
  <si>
    <t>Chave Grifo 18"</t>
  </si>
  <si>
    <t>Chave Fenda 1/4" x 5"</t>
  </si>
  <si>
    <t>Chave Fenda 1/8" x 5"</t>
  </si>
  <si>
    <t>Chave Fenda Cotoco 1/4"</t>
  </si>
  <si>
    <t>Chave Philips 1/4" x 6"</t>
  </si>
  <si>
    <t>Chave Philips 1/8" x 5"</t>
  </si>
  <si>
    <t>Chave Philips Cotoco 1/4"</t>
  </si>
  <si>
    <t>Chave Catraca</t>
  </si>
  <si>
    <t>Martelo Tipo Bola</t>
  </si>
  <si>
    <t>Saca Polias</t>
  </si>
  <si>
    <t>Jogo de Chave Combinada de 6 a 22 mm (10 peças)</t>
  </si>
  <si>
    <t>Jogo de Chave Combinada 1/4" x 1 1/4" (16 peças)</t>
  </si>
  <si>
    <t>Jogo de Chave Allen de 3 a 8 mm (6 peças)</t>
  </si>
  <si>
    <t>Trena 10 metros</t>
  </si>
  <si>
    <t xml:space="preserve">Fita Métrica 1,5m </t>
  </si>
  <si>
    <t>Paquímetro</t>
  </si>
  <si>
    <t>Alicate Amperímetro</t>
  </si>
  <si>
    <t xml:space="preserve">Multímetro (Volt/Ohm/Amp) </t>
  </si>
  <si>
    <t>Furadeira Portátil com Martelete</t>
  </si>
  <si>
    <t>Jogo de Brocas de Widea de 5 a 12 mm</t>
  </si>
  <si>
    <t>Jogo de Brocas de 3/8" a 1"</t>
  </si>
  <si>
    <t>Jogo de Brocas de 4 a 12 mm</t>
  </si>
  <si>
    <t>Máquina de Solda Elétrica</t>
  </si>
  <si>
    <t>Aspirador Pó/Água Industrial 1200W</t>
  </si>
  <si>
    <t>Escada dupla 8 degraus</t>
  </si>
  <si>
    <t xml:space="preserve">Lanterna Portátil </t>
  </si>
  <si>
    <t>Rádios Comunicadores c/ Baterias recarregáveis</t>
  </si>
  <si>
    <t>Relógio de Ponto Eletrônico</t>
  </si>
  <si>
    <t>Lavadora Alta Pressão</t>
  </si>
  <si>
    <t>Termoanemômetro resolução 0,1 m/s</t>
  </si>
  <si>
    <t>Termo Higrômetro Digital Portátil resolução 0,5 °C e 0,5%</t>
  </si>
  <si>
    <t xml:space="preserve">Termômetro laser com range -10°C à +50°C </t>
  </si>
  <si>
    <t>Decibelímetro resolução 0,1 dB</t>
  </si>
  <si>
    <t>UNIFORME</t>
  </si>
  <si>
    <t>Calça brim pesado 100% algodão</t>
  </si>
  <si>
    <t>Camiseta com emblema da empresa</t>
  </si>
  <si>
    <t>Jaleco mangas longas, brim pesado 100% algodão com emblema da empresa</t>
  </si>
  <si>
    <t>Meia</t>
  </si>
  <si>
    <t>par</t>
  </si>
  <si>
    <t>EPI</t>
  </si>
  <si>
    <t>Luva raspa de couro, cano curto (punho 7 cm)</t>
  </si>
  <si>
    <t>Bota de segurança c/ biqueira de aço</t>
  </si>
  <si>
    <t>Capa para chuva PVC com forro de poliéster</t>
  </si>
  <si>
    <t>Capacete de segurança aba frontal c/ suspensão de polietileno (Classe B)</t>
  </si>
  <si>
    <t>Protetor auditivo tipo plug de inserção c/ cordão, atenuação superior a 15 dB</t>
  </si>
  <si>
    <t>Cinturão de segurança tipo paraquedista, fivela em aço, ajuste no suspensório, cintura e pernas</t>
  </si>
  <si>
    <t>Óculos de segurança contra impacto com lente incolor, armação nylon c/ proteção UVA e UVB</t>
  </si>
  <si>
    <t>SERVIÇOS ESPECIALIZADOS</t>
  </si>
  <si>
    <t>ITEM</t>
  </si>
  <si>
    <t>DESCRIÇÃO</t>
  </si>
  <si>
    <t>PERIODICIDADE</t>
  </si>
  <si>
    <t>CUSTO UNITÁRIO</t>
  </si>
  <si>
    <t>BDI</t>
  </si>
  <si>
    <t>CUSTO UNITÁRIO + BDI</t>
  </si>
  <si>
    <t>CUSTO MENSAL</t>
  </si>
  <si>
    <t>CUSTO ANUAL</t>
  </si>
  <si>
    <t>VALOR D</t>
  </si>
  <si>
    <t>Tratamento da Água Gelada e Água de Condensação</t>
  </si>
  <si>
    <t>mensal</t>
  </si>
  <si>
    <t>Avaliação da Qualidade do Ar Interior</t>
  </si>
  <si>
    <t>semestral</t>
  </si>
  <si>
    <t>Manutenção Sistema de Supervisão e Controle Predial - SSCP</t>
  </si>
  <si>
    <t>Prestador Exclusivo</t>
  </si>
  <si>
    <t>ORÇAMENTO ESTIMADO PARA TODO O CONTRATO DE PEÇAS/COMPONENTES (FORNECIMETNO SOB DEMANDA)</t>
  </si>
  <si>
    <t>COMPONENTE</t>
  </si>
  <si>
    <t>UND</t>
  </si>
  <si>
    <t>QTD</t>
  </si>
  <si>
    <t>VALOR UND</t>
  </si>
  <si>
    <t>VALOR + BDI</t>
  </si>
  <si>
    <t>VALOR TOTAL</t>
  </si>
  <si>
    <t>VALOR E</t>
  </si>
  <si>
    <t>VALOR F</t>
  </si>
  <si>
    <t>VALOR G</t>
  </si>
  <si>
    <t>VALOR H</t>
  </si>
  <si>
    <t>VALOR I</t>
  </si>
  <si>
    <t>VALOR J</t>
  </si>
  <si>
    <t>VALOR K</t>
  </si>
  <si>
    <t>VALOR L</t>
  </si>
  <si>
    <t>VALOR M</t>
  </si>
  <si>
    <t>Soft Start SIMIENS SIRIUS 3RW4024, 5 a 12,5 A.</t>
  </si>
  <si>
    <t>Soft Start SIMIENS SIRIUS 3RW4027, 17 a 32 A.</t>
  </si>
  <si>
    <t>Inversor de Frequência SIEMENS SINAMICS V20 p/ motor 30 cv</t>
  </si>
  <si>
    <t>Inversor de Frequência SIEMENS SINAMICS V20 p/ motor 4,0 cv</t>
  </si>
  <si>
    <t>Inversor de Frequência WEG CFW 500 p/ motor 5,0 cv</t>
  </si>
  <si>
    <t>Relé FF Trifásico ALTRONIC 220/380 V</t>
  </si>
  <si>
    <t>Relé FF Trifásico SIMIENS 3UG07</t>
  </si>
  <si>
    <t>Relé Auxiliar SCHRACK RT424730 10 A/250 V</t>
  </si>
  <si>
    <t>Protetor DPS CLAMPER VCL SLIM 460V 45 kA</t>
  </si>
  <si>
    <t>Protetor DPS EMBRATEC 275 V 20 kA</t>
  </si>
  <si>
    <t>Contator SIEMENS 3TS30</t>
  </si>
  <si>
    <t>Contator SIEMENS 3TS29</t>
  </si>
  <si>
    <t>Contator SIEMENS 3TF41</t>
  </si>
  <si>
    <t>Relé Térmico de Sobrecarga SIEMENS 3US55</t>
  </si>
  <si>
    <t>Relé Térmico de Sobrecarga SIEMENS 3US50</t>
  </si>
  <si>
    <t>Relé Térmico de Sobrecarga SIEMENS 3UA50</t>
  </si>
  <si>
    <t>Programador Horário COEL BWT40HR</t>
  </si>
  <si>
    <t>Temporizador JNG JK9261-B</t>
  </si>
  <si>
    <t>Rolamento SKF 6308 C3</t>
  </si>
  <si>
    <t>Rolamento SKF 6310 C3</t>
  </si>
  <si>
    <t>Rolamento SKF 6207-ZZ</t>
  </si>
  <si>
    <t>Rolamento SKF 6206-ZZ</t>
  </si>
  <si>
    <t>Rolamento SKF 6205-ZZ</t>
  </si>
  <si>
    <t>Rolamento SKF 6204-ZZ</t>
  </si>
  <si>
    <t>Retentor 40 x 55 x 8 - 02391 - 01707 BRG</t>
  </si>
  <si>
    <t>Retentor 50 x 70 x 10 - 5269 - 00946 BR</t>
  </si>
  <si>
    <t>Selo Mecânico T21 1.3/4" BUNA</t>
  </si>
  <si>
    <t>Acoplamento Elástico AE/AG-97</t>
  </si>
  <si>
    <t>Acoplamento Elástico AE/AG-82</t>
  </si>
  <si>
    <t>Acoplamento Elástico AE/AG-112</t>
  </si>
  <si>
    <t>Correia Perfil em “V” A85</t>
  </si>
  <si>
    <t>Correia Perfil em “V” A92</t>
  </si>
  <si>
    <t>Correia Perfil em “V” BX73</t>
  </si>
  <si>
    <t>Correia Perfil em “V” BX52</t>
  </si>
  <si>
    <t>Correia Perfil em “V” BX51</t>
  </si>
  <si>
    <t>Correia Perfil em “V” BX50</t>
  </si>
  <si>
    <t>Correia Perfil em “V” BX46</t>
  </si>
  <si>
    <t>Correia Perfil em “V” BX42</t>
  </si>
  <si>
    <t>Correia Perfil em “V” BX41</t>
  </si>
  <si>
    <t>Correia Perfil em “V” BX39</t>
  </si>
  <si>
    <t>Válvula Solenóide 2/2 Vias N. Fechada 3/4 220 V</t>
  </si>
  <si>
    <t>Atuador Proporcional BELIMO ARB24-SR 20 N.m 24 VAC/DC</t>
  </si>
  <si>
    <t>Manta Filtrante em fibra sintética – mínimo classe M5</t>
  </si>
  <si>
    <r>
      <t>M</t>
    </r>
    <r>
      <rPr>
        <vertAlign val="superscript"/>
        <sz val="11"/>
        <color theme="1"/>
        <rFont val="Arial"/>
        <family val="2"/>
      </rPr>
      <t>2</t>
    </r>
  </si>
  <si>
    <t>Duto Flexível Aluminizado c/ isolamento 200 mm (8 pol) rolo c/ 6 m</t>
  </si>
  <si>
    <t>Colarinho para Duto Flexível c/ Registro - 200 mm (8 pol)</t>
  </si>
  <si>
    <t>Difusor de Ar quadrado 4 vias c/ registro simples T4 (ref. TROX)</t>
  </si>
  <si>
    <t>Caixa Plenum p/ difusor quadrado T4 c/ bocal 200 mm (8 pol)</t>
  </si>
  <si>
    <t>Gerenciadora Sistema Talent SCS Tcom-Tmaneger</t>
  </si>
  <si>
    <t>Fornecedor Exclusivo</t>
  </si>
  <si>
    <t>Controladora Sistema Talent SCS Tcontrol 1107</t>
  </si>
  <si>
    <t>VALOR ESTIMADO MENSAL:</t>
  </si>
  <si>
    <t>CÁLCULO DO BDI</t>
  </si>
  <si>
    <t> </t>
  </si>
  <si>
    <t>BDI REFERENCIAL</t>
  </si>
  <si>
    <t>BDI DIFERENCIADO</t>
  </si>
  <si>
    <t>OBSERVAÇÕES</t>
  </si>
  <si>
    <t>Administração Central (AC)</t>
  </si>
  <si>
    <t>Valores Médios Acórdão n° 2622/2013 - TCU</t>
  </si>
  <si>
    <t>Seguro + Garantia (S + G)</t>
  </si>
  <si>
    <t>Risco ®</t>
  </si>
  <si>
    <t>Despesa Financeira (DF)</t>
  </si>
  <si>
    <t>Lucro (L)</t>
  </si>
  <si>
    <t>Impostos (I)</t>
  </si>
  <si>
    <t>Para BDI Diferenciado (Peças/Componentes) não se considera ISS</t>
  </si>
  <si>
    <t>VALOR</t>
  </si>
  <si>
    <t>IMPOSTOS</t>
  </si>
  <si>
    <t>COFINS</t>
  </si>
  <si>
    <t>Tributação: Lucro Real (Valor Máximo para fins de estimativa)</t>
  </si>
  <si>
    <t>PIS</t>
  </si>
  <si>
    <t xml:space="preserve">ISS </t>
  </si>
  <si>
    <t>PLANILHA ESTIMATIVA DE CUSTOS</t>
  </si>
  <si>
    <t xml:space="preserve">INSTRUÇÃO NORMATIVA Nº 5, DE 26 DE MAIO DE 2017 (Atualizada) e </t>
  </si>
  <si>
    <t>INSTRUÇÃO NORMATIVA Nº 7, DE 20 DE SETEMBRO DE 2018.</t>
  </si>
  <si>
    <t>CONTROLADORIA-GERAL DA UNIÃO/DF</t>
  </si>
  <si>
    <t>DADOS PROCESSUAIS</t>
  </si>
  <si>
    <t>1 -</t>
  </si>
  <si>
    <t xml:space="preserve">Processo n.º: </t>
  </si>
  <si>
    <t>00190.112287/2022-43</t>
  </si>
  <si>
    <t>2 -</t>
  </si>
  <si>
    <t xml:space="preserve">Pregão Eletrônico n.º: </t>
  </si>
  <si>
    <t>3 -</t>
  </si>
  <si>
    <t xml:space="preserve">Data: </t>
  </si>
  <si>
    <t>4 -</t>
  </si>
  <si>
    <t xml:space="preserve">Horário: </t>
  </si>
  <si>
    <t>DISCRIMINAÇÃO DOS SERVIÇOS</t>
  </si>
  <si>
    <t>5 -</t>
  </si>
  <si>
    <t xml:space="preserve">Data da Apresentação da Proposta: </t>
  </si>
  <si>
    <t>6 -</t>
  </si>
  <si>
    <t>Município/UF:</t>
  </si>
  <si>
    <t>BRASÍLIA/DF</t>
  </si>
  <si>
    <t>7 -</t>
  </si>
  <si>
    <t>Prazo de Execução Contratual:</t>
  </si>
  <si>
    <t>MESES</t>
  </si>
  <si>
    <t>8 -</t>
  </si>
  <si>
    <t>Tipo de Serviço:</t>
  </si>
  <si>
    <t>9 -</t>
  </si>
  <si>
    <t>Unidade de Medida:</t>
  </si>
  <si>
    <t>POSTO DE TRABALHO</t>
  </si>
  <si>
    <t>10 -</t>
  </si>
  <si>
    <t>Salário Mínimo Vigente:</t>
  </si>
  <si>
    <t>R$</t>
  </si>
  <si>
    <t>MÃO DE OBRA VINCULADA À EXECUÇÃO CONTRATUAL</t>
  </si>
  <si>
    <t>11 -</t>
  </si>
  <si>
    <t>Tipo de Serviço - (Cargo/Função):</t>
  </si>
  <si>
    <t>SUPERVISOR ENG. MECÂNICO</t>
  </si>
  <si>
    <t>12 -</t>
  </si>
  <si>
    <t>Classificação Brasileira de Ocupações (CBO):</t>
  </si>
  <si>
    <t>2142-05</t>
  </si>
  <si>
    <t>13 -</t>
  </si>
  <si>
    <t>Salário Normativo da Categoria:</t>
  </si>
  <si>
    <t xml:space="preserve">TERMO ADITIVO CCT SENGE-DF SINDUSCON-DF 2021-2023 - Cláusula Terceira </t>
  </si>
  <si>
    <t>14 -</t>
  </si>
  <si>
    <t>CCT/Registro no MTE:</t>
  </si>
  <si>
    <t>DF000653/2022</t>
  </si>
  <si>
    <t>TERMO ADITIVO CCT SENGE-DF SINDUSCON-DF 2021-2023</t>
  </si>
  <si>
    <t>15 -</t>
  </si>
  <si>
    <t>Data do Registro no MTE:</t>
  </si>
  <si>
    <t>16 -</t>
  </si>
  <si>
    <t>Data-Base da Categoria:</t>
  </si>
  <si>
    <t xml:space="preserve">17 - </t>
  </si>
  <si>
    <t>Jornada de Trabalho:</t>
  </si>
  <si>
    <t>44 horas semanais</t>
  </si>
  <si>
    <t>TERMO ADITIVO CCT SENGE-DF SINDUSCON-DF 2021-2023 - Cláusula Terceira Parágrafo Primeiro</t>
  </si>
  <si>
    <t>18 -</t>
  </si>
  <si>
    <t>Quantidade de postos:</t>
  </si>
  <si>
    <t>MÓDULO 1 - COMPOSIÇÃO DA REMUNERAÇÃO</t>
  </si>
  <si>
    <t xml:space="preserve">Composição da Remuneração </t>
  </si>
  <si>
    <t xml:space="preserve">Valor (R$) </t>
  </si>
  <si>
    <t>A -</t>
  </si>
  <si>
    <t>Salário-Base</t>
  </si>
  <si>
    <t>TOTAL DO MÓDULO 1</t>
  </si>
  <si>
    <t>MÓDULO 2 - ENCARGOS E BENEFÍCIOS ANUAIS, MENSAIS E DIÁRIOS</t>
  </si>
  <si>
    <t>Submódulo 2.1 - 13º (Décimo Terceiro) Salário, Férias e Adicional de Férias</t>
  </si>
  <si>
    <t>Perc. (%)</t>
  </si>
  <si>
    <t>Valor (R$)</t>
  </si>
  <si>
    <t xml:space="preserve">13º (Décimo Terceiro) Salário                                   </t>
  </si>
  <si>
    <t xml:space="preserve">Item 14 do Anexo XII da IN 05/2017 MPDG (Percentual a ser recolhido para a Conta Vinculada) </t>
  </si>
  <si>
    <t>B -</t>
  </si>
  <si>
    <t>Férias e Adicional de Férias</t>
  </si>
  <si>
    <t>Valor engloba as Férias do Funcionário Titular e do Substituto, coincidindo com o percentual a ser recolhido mensalmente pela Conta Vinculada</t>
  </si>
  <si>
    <t>Total do Submódulo 2.1</t>
  </si>
  <si>
    <t>Submódulo 2.2 - Encargos Previdenciários, FGTS e Outras Contribuições</t>
  </si>
  <si>
    <t xml:space="preserve">INSS - Art. 22, Inciso I, da Lei nº 8.212/91                                                                                    </t>
  </si>
  <si>
    <t xml:space="preserve">Salário Educação - Art. 3º, Inciso I, Decreto n.º 87.043/82                                               </t>
  </si>
  <si>
    <t>C -</t>
  </si>
  <si>
    <t xml:space="preserve">Seguro Acidente de Trabalho (RAT x FAP) - Decreto nº 3.048/99 </t>
  </si>
  <si>
    <t>O SAT a depender do grau de risco do serviço irá variar entre 1%, para risco leve, de 2%, para risco médio, e de 3% de risco grave. (Valor Limite: 3 RAT x 2 FAP)</t>
  </si>
  <si>
    <t>D -</t>
  </si>
  <si>
    <t xml:space="preserve">SESC ou SESI - Art. 3º, Lei n.º 8.036/90 </t>
  </si>
  <si>
    <t>E -</t>
  </si>
  <si>
    <t>SENAI - SENAC - Decreto n.º 2.318/86</t>
  </si>
  <si>
    <t>F -</t>
  </si>
  <si>
    <t xml:space="preserve">SEBRAE - Art. 8º, Lei n.º 8.029/90 e Lei n.º 8.154/90                                          </t>
  </si>
  <si>
    <t>G -</t>
  </si>
  <si>
    <t xml:space="preserve">INCRA - Lei n.º 7.787/89 e DL n.º 1.146/70                          </t>
  </si>
  <si>
    <t>H -</t>
  </si>
  <si>
    <t xml:space="preserve">FGTS - Art. 15, Lei nº 8.030/90 e Art. 7º, III, CF                                                                      </t>
  </si>
  <si>
    <t>Total do Submódulo 2.2</t>
  </si>
  <si>
    <t>Submódulo 2.3 - Benefícios Mensais e Diários</t>
  </si>
  <si>
    <t>Vl. Ref. (R$)</t>
  </si>
  <si>
    <t>Auxílio Transporte</t>
  </si>
  <si>
    <t>CCT SENGE-DF SINDUSCON-DF 2021-2023 - Cláusula Décima</t>
  </si>
  <si>
    <t>Auxílio Alimentação</t>
  </si>
  <si>
    <t>TERMO ADITIVO CCT SENGE-DF SINDUSCON-DF 2021-2023 - Cláusula Quinta</t>
  </si>
  <si>
    <t>Total do Submódulo 2.3</t>
  </si>
  <si>
    <t>Submódulo 2.4 - Intervalo Intrajornada do Titular</t>
  </si>
  <si>
    <t>Horas no mês</t>
  </si>
  <si>
    <t>Intervalo Intrajornada</t>
  </si>
  <si>
    <t>ÁREA TÉCNICA (NÃO FOI CONSIDERADO)</t>
  </si>
  <si>
    <t>Total do Submódulo 2.4</t>
  </si>
  <si>
    <t>RESUMO DO MÓDULO 2 - Encargos e Benefícios Anuais, Mensais e Diários</t>
  </si>
  <si>
    <t>2.1 -</t>
  </si>
  <si>
    <t>13º (Décimo Terceiro) Salário, Férias e Adicional de Férias</t>
  </si>
  <si>
    <t>2.2 -</t>
  </si>
  <si>
    <t>Encargos Previdenciários, FGTS e Outras Contribuições</t>
  </si>
  <si>
    <t>2.3 -</t>
  </si>
  <si>
    <t>Benefícios Mensais e Diários</t>
  </si>
  <si>
    <t>2.4</t>
  </si>
  <si>
    <t>Intervalo Intrajornada do Titular</t>
  </si>
  <si>
    <t>TOTAL DO MÓDULO 2</t>
  </si>
  <si>
    <t>MÓDULO 3 - PROVISÃO PARA RESCISÃO</t>
  </si>
  <si>
    <t>Provisão para Rescisão</t>
  </si>
  <si>
    <t>Aviso prévio indenizado Art. 7º, XXI, CF/88, 477, 487 e 491 CLT</t>
  </si>
  <si>
    <t>Incidência do FGTS  sobre aviso prévio indenizado  Leis Nº 8.036/90 e 9.491/97</t>
  </si>
  <si>
    <t>Multa do FGTS e contribuição social sobre o Aviso Prévio Indenizado  Leis Nº 8.036/90 e 9.491/97</t>
  </si>
  <si>
    <t>Aviso prévio trabalhado Art. 7º, XXI, CF/88, 477, 487 e 491CLT. Redução de 7 dias ou 2 horas por dia, percentual relativo a contrato de 12 meses</t>
  </si>
  <si>
    <t>Incidência dos encargos do submódulo 2.2 sobre o Aviso Prévio</t>
  </si>
  <si>
    <t>Multa do FGTS e contribuição social sobre aviso prévio trabalhado Leis Nº 8.036/90 e 9.491/97</t>
  </si>
  <si>
    <t>TOTAL DO MÓDULO 3</t>
  </si>
  <si>
    <t>MÓDULO 4 - CUSTO DE REPOSIÇÃO DO PROFISSIONAL AUSENTE</t>
  </si>
  <si>
    <t>Submódulo 4.1 - Ausências Legais</t>
  </si>
  <si>
    <t>Substituto na cobertura de Férias</t>
  </si>
  <si>
    <t>Percentual zerado, haja vista que o item Férias no Submódulo 2.1 já contemplará as Férias do Titular e do Substituto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</si>
  <si>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</si>
  <si>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</si>
  <si>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</si>
  <si>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 Afastamento Maternidade</t>
  </si>
  <si>
    <t>Total do Submódulo 4.1</t>
  </si>
  <si>
    <t>Submódulo 4.2 - Intrajornada</t>
  </si>
  <si>
    <t>Intervalo para Repouso ou Alimentação</t>
  </si>
  <si>
    <t>Total do Submódulo 4.2</t>
  </si>
  <si>
    <t>RESUMO DO MÓDULO 4 - Custo de Reposição do Profissional Ausente</t>
  </si>
  <si>
    <t>4.1 -</t>
  </si>
  <si>
    <t>Ausências Legais</t>
  </si>
  <si>
    <t>4.2</t>
  </si>
  <si>
    <t>TOTAL DO MÓDULO 4</t>
  </si>
  <si>
    <t>MÓDULO 5 - INSUMOS DIVERSOS</t>
  </si>
  <si>
    <t>Insumos Diversos</t>
  </si>
  <si>
    <t>Materiais (Relógio de Ponto)</t>
  </si>
  <si>
    <t xml:space="preserve">ÁREA TÉCNICA. </t>
  </si>
  <si>
    <t>Equipamentos</t>
  </si>
  <si>
    <t>Uniformes</t>
  </si>
  <si>
    <t>TOTAL DO MÓDULO 5</t>
  </si>
  <si>
    <t>MÓDULO 6 - CUSTOS INDIRETOS, LUCRO E TRIBUTOS</t>
  </si>
  <si>
    <t>Custos Indiretos, Tributos e Lucro</t>
  </si>
  <si>
    <t>Custos Indiretos</t>
  </si>
  <si>
    <t>Percentual definido a critério da empresa licitante. Limite definido pelo TCU: 5%</t>
  </si>
  <si>
    <t>Lucro</t>
  </si>
  <si>
    <t>Percentual definido a critério da empresa licitante. Limite definido pelo TCU: 10%</t>
  </si>
  <si>
    <t>C.1) Tributos Federais (especificar)</t>
  </si>
  <si>
    <t xml:space="preserve">        COFINS - </t>
  </si>
  <si>
    <t xml:space="preserve">        PIS - </t>
  </si>
  <si>
    <t>C.2) Tributos Estaduais (especificar)</t>
  </si>
  <si>
    <t>C.3) Tributos Municipais (especificar)</t>
  </si>
  <si>
    <t>Lucro por hora</t>
  </si>
  <si>
    <t xml:space="preserve">        ISS</t>
  </si>
  <si>
    <t>TOTAL DO MÓDULO 6</t>
  </si>
  <si>
    <t>Lucro por mês (8h)</t>
  </si>
  <si>
    <t>QUADRO - RESUMO DO CUSTO POR EMPREGADO</t>
  </si>
  <si>
    <t>Mão de obra vinculada à execução contratual (valor por posto de trabalho)</t>
  </si>
  <si>
    <t>Módulo 1 - Composição da Remuneração</t>
  </si>
  <si>
    <t>Módulo 2 - Encargos e Benefícios Anuais, Mensais e Diários</t>
  </si>
  <si>
    <t>Módulo 3 - Provisão para Rescisão</t>
  </si>
  <si>
    <t>Módulo 4 - Custo de Reposição do Profissional Ausente</t>
  </si>
  <si>
    <t>Módulo 5 - Insumos Diversos</t>
  </si>
  <si>
    <t>Subtotal =&gt; (A+B+C+D+E)</t>
  </si>
  <si>
    <t>Módulo 6 - Custos Indiretos, Lucro e Tributos</t>
  </si>
  <si>
    <t>TOTAL POR EMPREGADO =&gt; (A+B+C+D+E+F)</t>
  </si>
  <si>
    <t>VALOR HOMEM HORA (44H/SEMANA)</t>
  </si>
  <si>
    <t>MANUTENÇÃO AR-CONDICIONADO</t>
  </si>
  <si>
    <t>TÉCNICO EM REFRIGERAÇÃO</t>
  </si>
  <si>
    <t>CCT SEAC-DF SINTEC-DF 2022-2023 - Cláusula Terceira</t>
  </si>
  <si>
    <t>DF000435/2022</t>
  </si>
  <si>
    <t>CCT SEAC-DF SINTEC-DF 2022-2023 - Cláusula Trigésima Quinta</t>
  </si>
  <si>
    <t xml:space="preserve">B - </t>
  </si>
  <si>
    <r>
      <t xml:space="preserve">Adicional de Periculosidade </t>
    </r>
    <r>
      <rPr>
        <sz val="11"/>
        <color rgb="FFFF0000"/>
        <rFont val="Arial"/>
        <family val="2"/>
      </rPr>
      <t>(30% do Salário-Base)</t>
    </r>
  </si>
  <si>
    <t>CCT SEAC-DF SINTEC-DF - Cláusula Décima Quarta</t>
  </si>
  <si>
    <t>CCT SEAC-DF SINTEC-DF - Cláusula Décima Terceira</t>
  </si>
  <si>
    <t>Materiais</t>
  </si>
  <si>
    <t>Ferramental</t>
  </si>
  <si>
    <t xml:space="preserve">D - </t>
  </si>
  <si>
    <t>Lucro por hora - Técnico da equipe de mão de obra não exclusiva</t>
  </si>
  <si>
    <t>Lucro por mensal do Técnico da equipe de mão de obra não exclusiva (48h)</t>
  </si>
  <si>
    <t>TÉCNICO ELETRICISTA</t>
  </si>
  <si>
    <t>3131-30</t>
  </si>
  <si>
    <t>CCT SEAC-DF SINDISERVIÇOS-DF 2023-2023 - Cláusula Quarta</t>
  </si>
  <si>
    <t>DF000037/2023</t>
  </si>
  <si>
    <t>CCT SEAC-DF SINDISERVIÇOS-DF 2023-2023</t>
  </si>
  <si>
    <t>CCT SEAC-DF SINDISERVIÇOS-DF 2023-2023 - Cláusula Trigésima Oitava</t>
  </si>
  <si>
    <t>CCT SEAC-DF SINDISERVIÇOS-DF 2023-2023 - Cláusula Décima Sexta</t>
  </si>
  <si>
    <t>CCT SEAC-DF SINDISERVIÇOS-DF 2023-2023 - Cláusula Décima Quinta</t>
  </si>
  <si>
    <t>AJUDANTE GERAL DE MANUTENÇÃO</t>
  </si>
  <si>
    <t>7156-15</t>
  </si>
  <si>
    <t>Lucro por mensal do Técnico da equipe de mão de obra não exclusiva (32h)</t>
  </si>
  <si>
    <t>CUSTO TOTAL ESTIMADO</t>
  </si>
  <si>
    <t>SERVIÇOS</t>
  </si>
  <si>
    <t>Descrição</t>
  </si>
  <si>
    <t>Valor Mensal</t>
  </si>
  <si>
    <t>Serviços Especializados</t>
  </si>
  <si>
    <t>M2</t>
  </si>
  <si>
    <t>PEÇAS/COMPONENTES (FORNECIMETNO SOB DEMANDA)</t>
  </si>
  <si>
    <t>%</t>
  </si>
  <si>
    <t>% ACUMULADA</t>
  </si>
  <si>
    <t>% Acumulada</t>
  </si>
  <si>
    <t>TOTAL MENSAL</t>
  </si>
  <si>
    <t>II – MANUTENÇÃÇO PREVENTIVA/CORRETIVA + AQUISIÇÃO DE PEÇAS PLANILHADAS/LICITADAS</t>
  </si>
  <si>
    <t>Manutenção Preventiva/Corretiva</t>
  </si>
  <si>
    <t>Custos Variáveis (II):</t>
  </si>
  <si>
    <t>Custos Fixos (I)</t>
  </si>
  <si>
    <t>TOTAL = Custos Fixos + Custos Variáveis:</t>
  </si>
  <si>
    <t>I.1 Técnico em Refrigeração (Equipe Residente)</t>
  </si>
  <si>
    <t>Técnico em Refrigeração (Equipe Residente)</t>
  </si>
  <si>
    <t>Peças Planilhadas e Licitadas (Aquisição por Demanda)</t>
  </si>
  <si>
    <t>Técnico Refrigeração (Equipe Residente)</t>
  </si>
  <si>
    <t>Manutenção Prevenitva/Corretiva</t>
  </si>
  <si>
    <t>TOTAL (12 MESES):</t>
  </si>
  <si>
    <r>
      <t xml:space="preserve">VALOR TOTAL </t>
    </r>
    <r>
      <rPr>
        <b/>
        <sz val="10"/>
        <color rgb="FFFF0000"/>
        <rFont val="Arial Black"/>
        <family val="2"/>
      </rPr>
      <t>(valor mensal do serviço multiplicado pelos 12 meses de contrato)</t>
    </r>
  </si>
  <si>
    <t>VALOR ESTIMADO PARA 12 MESES: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</si>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</sst>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-* #,##0_-;\-* #,##0_-;_-* &quot;-&quot;??_-;_-@_-"/>
    <numFmt numFmtId="166" formatCode="&quot;R$ &quot;#,##0_);\(&quot;R$ &quot;#,##0\)"/>
    <numFmt numFmtId="167" formatCode="#,##0.00_ ;\-#,##0.00\ "/>
    <numFmt numFmtId="168" formatCode="_-[$R$-416]\ * #,##0.00_-;\-[$R$-416]\ * #,##0.00_-;_-[$R$-416]\ * &quot;-&quot;??_-;_-@_-"/>
    <numFmt numFmtId="169" formatCode="0.0%"/>
    <numFmt numFmtId="170" formatCode="0.000%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FF0000"/>
      <name val="Arial"/>
      <family val="2"/>
    </font>
    <font>
      <sz val="11"/>
      <name val="Cambria"/>
      <family val="1"/>
    </font>
    <font>
      <sz val="10"/>
      <name val="Arial"/>
      <family val="2"/>
    </font>
    <font>
      <sz val="11"/>
      <color theme="1"/>
      <name val="Arial"/>
      <family val="2"/>
    </font>
    <font>
      <sz val="11"/>
      <color theme="1"/>
      <name val="Cambria"/>
      <family val="1"/>
    </font>
    <font>
      <b/>
      <sz val="11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rgb="FF242424"/>
      <name val="Arial"/>
      <family val="2"/>
    </font>
    <font>
      <vertAlign val="superscript"/>
      <sz val="11"/>
      <color theme="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sz val="11"/>
      <name val="Arial"/>
      <family val="2"/>
    </font>
    <font>
      <sz val="11"/>
      <color rgb="FFFF0000"/>
      <name val="Arial"/>
      <family val="2"/>
    </font>
    <font>
      <sz val="10"/>
      <color rgb="FF000000"/>
      <name val="Arial"/>
      <family val="2"/>
    </font>
    <font>
      <sz val="10"/>
      <color rgb="FFFF3366"/>
      <name val="Arial"/>
      <family val="2"/>
    </font>
    <font>
      <b/>
      <sz val="14"/>
      <color theme="0"/>
      <name val="Arial"/>
      <family val="2"/>
    </font>
    <font>
      <b/>
      <sz val="10"/>
      <color theme="1"/>
      <name val="Arial"/>
      <family val="2"/>
    </font>
    <font>
      <b/>
      <sz val="10"/>
      <name val="Cambria"/>
      <family val="1"/>
    </font>
    <font>
      <b/>
      <sz val="11"/>
      <color rgb="FF0000FF"/>
      <name val="Arial"/>
      <family val="2"/>
    </font>
    <font>
      <b/>
      <sz val="12"/>
      <color rgb="FFFFFFFF"/>
      <name val="Arial"/>
      <family val="2"/>
    </font>
    <font>
      <b/>
      <sz val="10"/>
      <color rgb="FFFF0000"/>
      <name val="Arial Black"/>
      <family val="2"/>
    </font>
    <font>
      <b/>
      <sz val="12"/>
      <color rgb="FF00000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DCDC"/>
        <bgColor rgb="FFE6E6E6"/>
      </patternFill>
    </fill>
    <fill>
      <patternFill patternType="solid">
        <fgColor theme="8" tint="-0.499984740745262"/>
        <bgColor rgb="FFCCFFFF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rgb="FFE6FF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BCFDB7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rgb="FFE6E6E6"/>
      </patternFill>
    </fill>
    <fill>
      <patternFill patternType="solid">
        <fgColor rgb="FFFF0000"/>
        <bgColor rgb="FFFF3366"/>
      </patternFill>
    </fill>
    <fill>
      <patternFill patternType="solid">
        <fgColor theme="8" tint="-0.499984740745262"/>
        <bgColor rgb="FFF8DEC0"/>
      </patternFill>
    </fill>
    <fill>
      <patternFill patternType="solid">
        <fgColor theme="0"/>
        <bgColor rgb="FFE0FFFF"/>
      </patternFill>
    </fill>
    <fill>
      <patternFill patternType="solid">
        <fgColor theme="0" tint="-0.14999847407452621"/>
        <bgColor rgb="FFF8DEC0"/>
      </patternFill>
    </fill>
    <fill>
      <patternFill patternType="solid">
        <fgColor theme="4" tint="0.39997558519241921"/>
        <bgColor rgb="FFE6E6E6"/>
      </patternFill>
    </fill>
    <fill>
      <patternFill patternType="solid">
        <fgColor theme="4" tint="0.39997558519241921"/>
        <bgColor rgb="FFE0FFFF"/>
      </patternFill>
    </fill>
    <fill>
      <patternFill patternType="solid">
        <fgColor theme="0" tint="-0.14999847407452621"/>
        <bgColor rgb="FFE6E6E6"/>
      </patternFill>
    </fill>
    <fill>
      <patternFill patternType="solid">
        <fgColor theme="0" tint="-0.14999847407452621"/>
        <bgColor rgb="FFA6FBED"/>
      </patternFill>
    </fill>
    <fill>
      <patternFill patternType="solid">
        <fgColor rgb="FFFFFFFF"/>
        <bgColor indexed="64"/>
      </patternFill>
    </fill>
    <fill>
      <patternFill patternType="solid">
        <fgColor rgb="FF203764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F8DE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</fills>
  <borders count="5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6" fontId="11" fillId="0" borderId="0" applyFill="0" applyBorder="0" applyAlignment="0" applyProtection="0"/>
    <xf numFmtId="43" fontId="11" fillId="0" borderId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9" fontId="1" fillId="0" borderId="0" applyFont="0" applyFill="0" applyBorder="0" applyAlignment="0" applyProtection="0"/>
  </cellStyleXfs>
  <cellXfs count="357">
    <xf numFmtId="0" fontId="0" fillId="0" borderId="0" xfId="0"/>
    <xf numFmtId="0" fontId="5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10" fillId="0" borderId="0" xfId="6" applyFont="1" applyAlignment="1">
      <alignment vertical="center"/>
    </xf>
    <xf numFmtId="44" fontId="6" fillId="0" borderId="7" xfId="1" applyFont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44" fontId="6" fillId="9" borderId="7" xfId="1" applyFont="1" applyFill="1" applyBorder="1" applyAlignment="1">
      <alignment horizontal="center" vertical="center" wrapText="1"/>
    </xf>
    <xf numFmtId="44" fontId="12" fillId="9" borderId="7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vertical="center" wrapText="1"/>
    </xf>
    <xf numFmtId="0" fontId="13" fillId="0" borderId="0" xfId="0" applyFont="1"/>
    <xf numFmtId="44" fontId="13" fillId="0" borderId="0" xfId="0" applyNumberFormat="1" applyFont="1"/>
    <xf numFmtId="0" fontId="13" fillId="0" borderId="0" xfId="0" applyFont="1" applyAlignment="1">
      <alignment wrapText="1"/>
    </xf>
    <xf numFmtId="49" fontId="6" fillId="0" borderId="7" xfId="0" applyNumberFormat="1" applyFont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44" fontId="8" fillId="12" borderId="7" xfId="1" applyFont="1" applyFill="1" applyBorder="1" applyAlignment="1">
      <alignment horizontal="center" vertical="center" wrapText="1"/>
    </xf>
    <xf numFmtId="44" fontId="8" fillId="0" borderId="7" xfId="1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2" fillId="0" borderId="7" xfId="1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4" fillId="10" borderId="7" xfId="0" applyFont="1" applyFill="1" applyBorder="1" applyAlignment="1">
      <alignment horizontal="center" vertical="center" wrapText="1"/>
    </xf>
    <xf numFmtId="0" fontId="14" fillId="10" borderId="6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44" fontId="12" fillId="0" borderId="7" xfId="1" applyFont="1" applyBorder="1" applyAlignment="1">
      <alignment horizontal="center" vertical="center"/>
    </xf>
    <xf numFmtId="44" fontId="12" fillId="0" borderId="6" xfId="1" applyFont="1" applyBorder="1" applyAlignment="1">
      <alignment horizontal="center" vertical="center"/>
    </xf>
    <xf numFmtId="44" fontId="12" fillId="0" borderId="0" xfId="0" applyNumberFormat="1" applyFont="1"/>
    <xf numFmtId="0" fontId="5" fillId="0" borderId="14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/>
    </xf>
    <xf numFmtId="44" fontId="16" fillId="0" borderId="42" xfId="1" applyFont="1" applyBorder="1" applyAlignment="1">
      <alignment horizontal="center" vertical="center"/>
    </xf>
    <xf numFmtId="44" fontId="16" fillId="0" borderId="48" xfId="1" applyFont="1" applyBorder="1" applyAlignment="1">
      <alignment horizontal="center" vertical="center"/>
    </xf>
    <xf numFmtId="0" fontId="12" fillId="0" borderId="28" xfId="0" applyFont="1" applyBorder="1" applyAlignment="1">
      <alignment vertical="center"/>
    </xf>
    <xf numFmtId="44" fontId="12" fillId="0" borderId="0" xfId="0" applyNumberFormat="1" applyFont="1" applyAlignment="1">
      <alignment vertical="center"/>
    </xf>
    <xf numFmtId="44" fontId="17" fillId="0" borderId="7" xfId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justify" vertical="center" wrapText="1"/>
    </xf>
    <xf numFmtId="44" fontId="12" fillId="0" borderId="7" xfId="1" applyFont="1" applyBorder="1" applyAlignment="1">
      <alignment horizontal="center" vertical="center" wrapText="1"/>
    </xf>
    <xf numFmtId="0" fontId="18" fillId="0" borderId="7" xfId="0" applyFont="1" applyBorder="1" applyAlignment="1">
      <alignment horizontal="justify" vertical="center" wrapText="1"/>
    </xf>
    <xf numFmtId="0" fontId="8" fillId="2" borderId="7" xfId="0" applyFont="1" applyFill="1" applyBorder="1" applyAlignment="1">
      <alignment horizontal="center" vertical="center" wrapText="1"/>
    </xf>
    <xf numFmtId="44" fontId="4" fillId="4" borderId="7" xfId="1" applyFont="1" applyFill="1" applyBorder="1" applyAlignment="1">
      <alignment horizontal="center" vertical="center" wrapText="1"/>
    </xf>
    <xf numFmtId="0" fontId="11" fillId="0" borderId="0" xfId="6" applyFont="1" applyAlignment="1">
      <alignment vertical="center" wrapText="1"/>
    </xf>
    <xf numFmtId="43" fontId="5" fillId="0" borderId="38" xfId="2" applyFont="1" applyFill="1" applyBorder="1" applyAlignment="1">
      <alignment horizontal="left" vertical="center"/>
    </xf>
    <xf numFmtId="0" fontId="5" fillId="0" borderId="37" xfId="11" applyFont="1" applyBorder="1" applyAlignment="1">
      <alignment horizontal="justify" vertical="center"/>
    </xf>
    <xf numFmtId="43" fontId="5" fillId="0" borderId="26" xfId="2" applyFont="1" applyFill="1" applyBorder="1" applyAlignment="1">
      <alignment horizontal="left" vertical="center"/>
    </xf>
    <xf numFmtId="0" fontId="5" fillId="0" borderId="0" xfId="11" applyFont="1" applyAlignment="1">
      <alignment horizontal="justify" vertical="center"/>
    </xf>
    <xf numFmtId="43" fontId="5" fillId="0" borderId="28" xfId="2" applyFont="1" applyFill="1" applyBorder="1" applyAlignment="1">
      <alignment horizontal="left" vertical="center"/>
    </xf>
    <xf numFmtId="0" fontId="5" fillId="0" borderId="29" xfId="11" applyFont="1" applyBorder="1" applyAlignment="1">
      <alignment horizontal="justify" vertical="center"/>
    </xf>
    <xf numFmtId="0" fontId="5" fillId="0" borderId="0" xfId="11" applyFont="1" applyAlignment="1">
      <alignment vertical="center"/>
    </xf>
    <xf numFmtId="0" fontId="21" fillId="0" borderId="0" xfId="11" applyFont="1" applyAlignment="1">
      <alignment horizontal="justify" vertical="center"/>
    </xf>
    <xf numFmtId="0" fontId="5" fillId="0" borderId="0" xfId="6" applyFont="1" applyAlignment="1">
      <alignment horizontal="center" vertical="center"/>
    </xf>
    <xf numFmtId="0" fontId="5" fillId="0" borderId="0" xfId="7" applyNumberFormat="1" applyFont="1" applyFill="1" applyBorder="1" applyAlignment="1">
      <alignment vertical="center"/>
    </xf>
    <xf numFmtId="49" fontId="5" fillId="0" borderId="3" xfId="11" applyNumberFormat="1" applyFont="1" applyBorder="1" applyAlignment="1">
      <alignment horizontal="right" vertical="center"/>
    </xf>
    <xf numFmtId="0" fontId="5" fillId="0" borderId="0" xfId="11" applyFont="1" applyAlignment="1">
      <alignment horizontal="center" vertical="center"/>
    </xf>
    <xf numFmtId="0" fontId="22" fillId="0" borderId="0" xfId="6" applyFont="1" applyAlignment="1">
      <alignment vertical="center" wrapText="1"/>
    </xf>
    <xf numFmtId="49" fontId="5" fillId="0" borderId="3" xfId="11" applyNumberFormat="1" applyFont="1" applyBorder="1" applyAlignment="1">
      <alignment horizontal="center" vertical="center" wrapText="1"/>
    </xf>
    <xf numFmtId="0" fontId="5" fillId="0" borderId="29" xfId="11" applyFont="1" applyBorder="1" applyAlignment="1">
      <alignment vertical="center"/>
    </xf>
    <xf numFmtId="0" fontId="5" fillId="0" borderId="29" xfId="11" applyFont="1" applyBorder="1" applyAlignment="1">
      <alignment horizontal="right" vertical="center"/>
    </xf>
    <xf numFmtId="167" fontId="5" fillId="0" borderId="2" xfId="1" applyNumberFormat="1" applyFont="1" applyFill="1" applyBorder="1" applyAlignment="1">
      <alignment horizontal="right" vertical="center"/>
    </xf>
    <xf numFmtId="0" fontId="5" fillId="0" borderId="0" xfId="6" applyFont="1" applyAlignment="1">
      <alignment vertical="center"/>
    </xf>
    <xf numFmtId="0" fontId="5" fillId="0" borderId="0" xfId="7" applyNumberFormat="1" applyFont="1" applyFill="1" applyAlignment="1">
      <alignment vertical="center"/>
    </xf>
    <xf numFmtId="0" fontId="23" fillId="0" borderId="0" xfId="6" applyFont="1" applyAlignment="1">
      <alignment horizontal="center" vertical="center" wrapText="1"/>
    </xf>
    <xf numFmtId="0" fontId="21" fillId="0" borderId="9" xfId="6" applyFont="1" applyBorder="1" applyAlignment="1">
      <alignment horizontal="center" vertical="center" wrapText="1"/>
    </xf>
    <xf numFmtId="0" fontId="5" fillId="0" borderId="17" xfId="11" applyFont="1" applyBorder="1" applyAlignment="1">
      <alignment horizontal="right" vertical="center"/>
    </xf>
    <xf numFmtId="44" fontId="5" fillId="0" borderId="17" xfId="1" applyFont="1" applyFill="1" applyBorder="1" applyAlignment="1">
      <alignment horizontal="right" vertical="center"/>
    </xf>
    <xf numFmtId="0" fontId="11" fillId="0" borderId="0" xfId="0" applyFont="1" applyAlignment="1">
      <alignment vertical="center" wrapText="1"/>
    </xf>
    <xf numFmtId="43" fontId="5" fillId="0" borderId="17" xfId="11" applyNumberFormat="1" applyFont="1" applyBorder="1" applyAlignment="1">
      <alignment horizontal="right" vertical="center"/>
    </xf>
    <xf numFmtId="14" fontId="5" fillId="0" borderId="17" xfId="11" applyNumberFormat="1" applyFont="1" applyBorder="1" applyAlignment="1">
      <alignment vertical="center"/>
    </xf>
    <xf numFmtId="14" fontId="5" fillId="0" borderId="17" xfId="11" applyNumberFormat="1" applyFont="1" applyBorder="1" applyAlignment="1">
      <alignment horizontal="right" vertical="center"/>
    </xf>
    <xf numFmtId="0" fontId="5" fillId="0" borderId="18" xfId="11" applyFont="1" applyBorder="1" applyAlignment="1">
      <alignment horizontal="right" vertical="center"/>
    </xf>
    <xf numFmtId="0" fontId="5" fillId="0" borderId="0" xfId="2" applyNumberFormat="1" applyFont="1" applyFill="1" applyBorder="1" applyAlignment="1">
      <alignment horizontal="center" vertical="center"/>
    </xf>
    <xf numFmtId="0" fontId="21" fillId="0" borderId="0" xfId="2" applyNumberFormat="1" applyFont="1" applyFill="1" applyBorder="1" applyAlignment="1">
      <alignment horizontal="left" vertical="center"/>
    </xf>
    <xf numFmtId="0" fontId="21" fillId="0" borderId="0" xfId="7" applyNumberFormat="1" applyFont="1" applyFill="1" applyBorder="1" applyAlignment="1">
      <alignment horizontal="center" vertical="center" wrapText="1"/>
    </xf>
    <xf numFmtId="43" fontId="21" fillId="6" borderId="6" xfId="7" applyFont="1" applyFill="1" applyBorder="1" applyAlignment="1">
      <alignment horizontal="center" vertical="center" wrapText="1"/>
    </xf>
    <xf numFmtId="43" fontId="5" fillId="0" borderId="17" xfId="2" applyFont="1" applyFill="1" applyBorder="1" applyAlignment="1">
      <alignment horizontal="center" vertical="center"/>
    </xf>
    <xf numFmtId="43" fontId="21" fillId="0" borderId="18" xfId="2" applyFont="1" applyFill="1" applyBorder="1" applyAlignment="1">
      <alignment horizontal="right" vertical="center"/>
    </xf>
    <xf numFmtId="43" fontId="11" fillId="0" borderId="0" xfId="6" applyNumberFormat="1" applyFont="1" applyAlignment="1">
      <alignment vertical="center" wrapText="1"/>
    </xf>
    <xf numFmtId="0" fontId="21" fillId="6" borderId="7" xfId="6" applyFont="1" applyFill="1" applyBorder="1" applyAlignment="1">
      <alignment horizontal="center" vertical="center"/>
    </xf>
    <xf numFmtId="43" fontId="21" fillId="6" borderId="6" xfId="7" applyFont="1" applyFill="1" applyBorder="1" applyAlignment="1">
      <alignment horizontal="center" vertical="center"/>
    </xf>
    <xf numFmtId="0" fontId="5" fillId="0" borderId="0" xfId="2" applyNumberFormat="1" applyFont="1" applyFill="1" applyBorder="1" applyAlignment="1">
      <alignment horizontal="justify" vertical="center" wrapText="1"/>
    </xf>
    <xf numFmtId="10" fontId="5" fillId="0" borderId="15" xfId="6" applyNumberFormat="1" applyFont="1" applyBorder="1" applyAlignment="1">
      <alignment horizontal="right" vertical="center"/>
    </xf>
    <xf numFmtId="43" fontId="5" fillId="0" borderId="17" xfId="2" applyFont="1" applyFill="1" applyBorder="1" applyAlignment="1">
      <alignment horizontal="right" vertical="center"/>
    </xf>
    <xf numFmtId="10" fontId="21" fillId="0" borderId="19" xfId="10" applyNumberFormat="1" applyFont="1" applyFill="1" applyBorder="1" applyAlignment="1">
      <alignment vertical="center" wrapText="1"/>
    </xf>
    <xf numFmtId="43" fontId="21" fillId="0" borderId="23" xfId="2" applyFont="1" applyFill="1" applyBorder="1" applyAlignment="1">
      <alignment horizontal="right" vertical="center"/>
    </xf>
    <xf numFmtId="0" fontId="5" fillId="0" borderId="0" xfId="2" applyNumberFormat="1" applyFont="1" applyFill="1" applyBorder="1" applyAlignment="1">
      <alignment horizontal="left" vertical="center"/>
    </xf>
    <xf numFmtId="0" fontId="5" fillId="0" borderId="0" xfId="2" applyNumberFormat="1" applyFont="1" applyFill="1" applyBorder="1" applyAlignment="1">
      <alignment vertical="center"/>
    </xf>
    <xf numFmtId="43" fontId="21" fillId="6" borderId="14" xfId="2" applyFont="1" applyFill="1" applyBorder="1" applyAlignment="1">
      <alignment horizontal="center" vertical="center" wrapText="1"/>
    </xf>
    <xf numFmtId="0" fontId="5" fillId="0" borderId="0" xfId="9" applyNumberFormat="1" applyFont="1" applyFill="1" applyBorder="1" applyAlignment="1">
      <alignment horizontal="left" vertical="center"/>
    </xf>
    <xf numFmtId="43" fontId="5" fillId="0" borderId="14" xfId="8" applyNumberFormat="1" applyFont="1" applyFill="1" applyBorder="1" applyAlignment="1">
      <alignment vertical="center"/>
    </xf>
    <xf numFmtId="43" fontId="5" fillId="0" borderId="13" xfId="2" applyFont="1" applyFill="1" applyBorder="1" applyAlignment="1">
      <alignment horizontal="right" vertical="center"/>
    </xf>
    <xf numFmtId="43" fontId="5" fillId="0" borderId="15" xfId="8" applyNumberFormat="1" applyFont="1" applyFill="1" applyBorder="1" applyAlignment="1">
      <alignment vertical="center"/>
    </xf>
    <xf numFmtId="43" fontId="21" fillId="0" borderId="19" xfId="2" applyFont="1" applyFill="1" applyBorder="1" applyAlignment="1">
      <alignment vertical="center" wrapText="1"/>
    </xf>
    <xf numFmtId="165" fontId="5" fillId="0" borderId="15" xfId="2" applyNumberFormat="1" applyFont="1" applyFill="1" applyBorder="1" applyAlignment="1">
      <alignment horizontal="right" vertical="center"/>
    </xf>
    <xf numFmtId="43" fontId="5" fillId="0" borderId="17" xfId="7" applyFont="1" applyFill="1" applyBorder="1" applyAlignment="1">
      <alignment horizontal="right" vertical="center"/>
    </xf>
    <xf numFmtId="10" fontId="21" fillId="0" borderId="16" xfId="7" applyNumberFormat="1" applyFont="1" applyFill="1" applyBorder="1" applyAlignment="1">
      <alignment horizontal="right" vertical="center"/>
    </xf>
    <xf numFmtId="43" fontId="21" fillId="0" borderId="18" xfId="7" applyFont="1" applyFill="1" applyBorder="1" applyAlignment="1">
      <alignment horizontal="right" vertical="center"/>
    </xf>
    <xf numFmtId="43" fontId="5" fillId="0" borderId="26" xfId="2" applyFont="1" applyFill="1" applyBorder="1" applyAlignment="1">
      <alignment horizontal="center" wrapText="1"/>
    </xf>
    <xf numFmtId="0" fontId="21" fillId="0" borderId="0" xfId="6" applyFont="1" applyAlignment="1">
      <alignment vertical="center" wrapText="1"/>
    </xf>
    <xf numFmtId="0" fontId="5" fillId="0" borderId="0" xfId="2" applyNumberFormat="1" applyFont="1" applyFill="1" applyBorder="1" applyAlignment="1">
      <alignment horizontal="left" vertical="center" wrapText="1"/>
    </xf>
    <xf numFmtId="10" fontId="5" fillId="0" borderId="14" xfId="6" applyNumberFormat="1" applyFont="1" applyBorder="1" applyAlignment="1">
      <alignment horizontal="right" vertical="center" wrapText="1"/>
    </xf>
    <xf numFmtId="10" fontId="5" fillId="0" borderId="15" xfId="6" applyNumberFormat="1" applyFont="1" applyBorder="1" applyAlignment="1">
      <alignment horizontal="right" vertical="center" wrapText="1"/>
    </xf>
    <xf numFmtId="10" fontId="21" fillId="0" borderId="16" xfId="6" applyNumberFormat="1" applyFont="1" applyBorder="1" applyAlignment="1">
      <alignment horizontal="right" vertical="center" wrapText="1"/>
    </xf>
    <xf numFmtId="0" fontId="5" fillId="0" borderId="0" xfId="6" applyFont="1" applyAlignment="1">
      <alignment vertical="center" wrapText="1"/>
    </xf>
    <xf numFmtId="10" fontId="21" fillId="0" borderId="19" xfId="7" applyNumberFormat="1" applyFont="1" applyFill="1" applyBorder="1" applyAlignment="1">
      <alignment horizontal="right" vertical="center"/>
    </xf>
    <xf numFmtId="43" fontId="21" fillId="0" borderId="23" xfId="7" applyFont="1" applyFill="1" applyBorder="1" applyAlignment="1">
      <alignment horizontal="right" vertical="center"/>
    </xf>
    <xf numFmtId="43" fontId="5" fillId="0" borderId="26" xfId="2" applyFont="1" applyFill="1" applyBorder="1" applyAlignment="1">
      <alignment horizontal="center"/>
    </xf>
    <xf numFmtId="0" fontId="5" fillId="0" borderId="0" xfId="2" applyNumberFormat="1" applyFont="1" applyFill="1" applyBorder="1" applyAlignment="1">
      <alignment vertical="center" wrapText="1"/>
    </xf>
    <xf numFmtId="10" fontId="5" fillId="0" borderId="33" xfId="6" applyNumberFormat="1" applyFont="1" applyBorder="1" applyAlignment="1">
      <alignment horizontal="right" vertical="center" wrapText="1"/>
    </xf>
    <xf numFmtId="10" fontId="21" fillId="0" borderId="35" xfId="7" applyNumberFormat="1" applyFont="1" applyFill="1" applyBorder="1" applyAlignment="1">
      <alignment horizontal="right" vertical="center"/>
    </xf>
    <xf numFmtId="0" fontId="24" fillId="0" borderId="0" xfId="6" applyFont="1" applyAlignment="1">
      <alignment horizontal="center" vertical="center" wrapText="1"/>
    </xf>
    <xf numFmtId="0" fontId="21" fillId="0" borderId="0" xfId="6" applyFont="1" applyAlignment="1">
      <alignment horizontal="right" vertical="center" wrapText="1"/>
    </xf>
    <xf numFmtId="43" fontId="21" fillId="0" borderId="0" xfId="7" applyFont="1" applyFill="1" applyBorder="1" applyAlignment="1">
      <alignment horizontal="right" vertical="center" wrapText="1"/>
    </xf>
    <xf numFmtId="43" fontId="21" fillId="6" borderId="6" xfId="2" applyFont="1" applyFill="1" applyBorder="1" applyAlignment="1">
      <alignment horizontal="center" vertical="center"/>
    </xf>
    <xf numFmtId="0" fontId="5" fillId="0" borderId="27" xfId="2" applyNumberFormat="1" applyFont="1" applyFill="1" applyBorder="1" applyAlignment="1">
      <alignment horizontal="left" vertical="center" wrapText="1"/>
    </xf>
    <xf numFmtId="43" fontId="11" fillId="0" borderId="0" xfId="2" applyFont="1" applyFill="1" applyAlignment="1">
      <alignment horizontal="left" vertical="center" wrapText="1"/>
    </xf>
    <xf numFmtId="10" fontId="21" fillId="0" borderId="15" xfId="2" applyNumberFormat="1" applyFont="1" applyFill="1" applyBorder="1" applyAlignment="1">
      <alignment vertical="center"/>
    </xf>
    <xf numFmtId="0" fontId="5" fillId="0" borderId="17" xfId="2" applyNumberFormat="1" applyFont="1" applyFill="1" applyBorder="1" applyAlignment="1">
      <alignment vertical="center"/>
    </xf>
    <xf numFmtId="0" fontId="11" fillId="0" borderId="0" xfId="6" applyFont="1" applyAlignment="1">
      <alignment horizontal="left" vertical="center" wrapText="1"/>
    </xf>
    <xf numFmtId="0" fontId="5" fillId="0" borderId="27" xfId="2" applyNumberFormat="1" applyFont="1" applyFill="1" applyBorder="1" applyAlignment="1">
      <alignment vertical="center"/>
    </xf>
    <xf numFmtId="0" fontId="5" fillId="0" borderId="15" xfId="2" applyNumberFormat="1" applyFont="1" applyFill="1" applyBorder="1" applyAlignment="1">
      <alignment vertical="center"/>
    </xf>
    <xf numFmtId="10" fontId="21" fillId="0" borderId="16" xfId="6" applyNumberFormat="1" applyFont="1" applyBorder="1" applyAlignment="1">
      <alignment horizontal="right" vertical="center"/>
    </xf>
    <xf numFmtId="43" fontId="21" fillId="6" borderId="6" xfId="2" applyFont="1" applyFill="1" applyBorder="1" applyAlignment="1">
      <alignment horizontal="center" vertical="center" wrapText="1"/>
    </xf>
    <xf numFmtId="43" fontId="5" fillId="0" borderId="13" xfId="7" applyFont="1" applyFill="1" applyBorder="1" applyAlignment="1">
      <alignment horizontal="right" vertical="center"/>
    </xf>
    <xf numFmtId="43" fontId="21" fillId="0" borderId="17" xfId="7" applyFont="1" applyFill="1" applyBorder="1" applyAlignment="1">
      <alignment horizontal="right" vertical="center"/>
    </xf>
    <xf numFmtId="43" fontId="5" fillId="0" borderId="28" xfId="2" applyFont="1" applyFill="1" applyBorder="1" applyAlignment="1">
      <alignment horizontal="left" vertical="center" wrapText="1"/>
    </xf>
    <xf numFmtId="43" fontId="5" fillId="0" borderId="18" xfId="7" applyFont="1" applyFill="1" applyBorder="1" applyAlignment="1">
      <alignment horizontal="right" vertical="center"/>
    </xf>
    <xf numFmtId="43" fontId="21" fillId="0" borderId="32" xfId="7" applyFont="1" applyFill="1" applyBorder="1" applyAlignment="1">
      <alignment horizontal="right" vertical="center"/>
    </xf>
    <xf numFmtId="10" fontId="5" fillId="0" borderId="0" xfId="6" applyNumberFormat="1" applyFont="1" applyAlignment="1">
      <alignment horizontal="center" vertical="center"/>
    </xf>
    <xf numFmtId="43" fontId="5" fillId="0" borderId="0" xfId="7" applyFont="1" applyFill="1" applyAlignment="1">
      <alignment vertical="center"/>
    </xf>
    <xf numFmtId="9" fontId="5" fillId="0" borderId="0" xfId="2" applyNumberFormat="1" applyFont="1" applyFill="1" applyBorder="1" applyAlignment="1">
      <alignment horizontal="center" vertical="center"/>
    </xf>
    <xf numFmtId="0" fontId="17" fillId="0" borderId="0" xfId="0" applyFont="1"/>
    <xf numFmtId="44" fontId="4" fillId="2" borderId="7" xfId="1" applyFont="1" applyFill="1" applyBorder="1" applyAlignment="1">
      <alignment horizontal="center" vertical="center" wrapText="1"/>
    </xf>
    <xf numFmtId="44" fontId="26" fillId="0" borderId="7" xfId="1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44" fontId="17" fillId="0" borderId="7" xfId="1" applyFont="1" applyBorder="1" applyAlignment="1">
      <alignment horizontal="center" vertical="center"/>
    </xf>
    <xf numFmtId="44" fontId="8" fillId="14" borderId="7" xfId="1" applyFont="1" applyFill="1" applyBorder="1" applyAlignment="1">
      <alignment vertical="center" wrapText="1"/>
    </xf>
    <xf numFmtId="44" fontId="8" fillId="3" borderId="7" xfId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22" fillId="21" borderId="7" xfId="0" applyFont="1" applyFill="1" applyBorder="1" applyAlignment="1">
      <alignment horizontal="center" vertical="center"/>
    </xf>
    <xf numFmtId="0" fontId="22" fillId="21" borderId="7" xfId="0" applyFont="1" applyFill="1" applyBorder="1" applyAlignment="1">
      <alignment horizontal="center" vertical="center" wrapText="1"/>
    </xf>
    <xf numFmtId="0" fontId="30" fillId="3" borderId="7" xfId="0" applyFont="1" applyFill="1" applyBorder="1"/>
    <xf numFmtId="44" fontId="22" fillId="17" borderId="7" xfId="0" applyNumberFormat="1" applyFont="1" applyFill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4" fillId="21" borderId="19" xfId="0" applyFont="1" applyFill="1" applyBorder="1" applyAlignment="1">
      <alignment horizontal="center" vertical="center" wrapText="1"/>
    </xf>
    <xf numFmtId="0" fontId="4" fillId="21" borderId="19" xfId="0" applyFont="1" applyFill="1" applyBorder="1" applyAlignment="1">
      <alignment horizontal="center" wrapText="1"/>
    </xf>
    <xf numFmtId="44" fontId="4" fillId="0" borderId="7" xfId="1" applyFont="1" applyBorder="1" applyAlignment="1">
      <alignment horizontal="center" vertical="center"/>
    </xf>
    <xf numFmtId="44" fontId="4" fillId="20" borderId="7" xfId="1" applyFont="1" applyFill="1" applyBorder="1" applyAlignment="1">
      <alignment horizontal="center" vertical="center"/>
    </xf>
    <xf numFmtId="44" fontId="22" fillId="3" borderId="7" xfId="1" applyFont="1" applyFill="1" applyBorder="1" applyAlignment="1">
      <alignment horizontal="center" vertical="center"/>
    </xf>
    <xf numFmtId="44" fontId="22" fillId="17" borderId="7" xfId="1" applyFont="1" applyFill="1" applyBorder="1" applyAlignment="1">
      <alignment horizontal="center" vertical="center"/>
    </xf>
    <xf numFmtId="168" fontId="17" fillId="0" borderId="52" xfId="1" applyNumberFormat="1" applyFont="1" applyBorder="1" applyAlignment="1">
      <alignment horizontal="center" vertical="center"/>
    </xf>
    <xf numFmtId="168" fontId="17" fillId="0" borderId="52" xfId="0" applyNumberFormat="1" applyFont="1" applyBorder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10" fontId="17" fillId="0" borderId="0" xfId="0" applyNumberFormat="1" applyFont="1" applyAlignment="1">
      <alignment horizontal="center" vertical="center"/>
    </xf>
    <xf numFmtId="44" fontId="17" fillId="23" borderId="7" xfId="1" applyFont="1" applyFill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43" fontId="11" fillId="0" borderId="0" xfId="6" applyNumberFormat="1" applyFont="1" applyAlignment="1">
      <alignment horizontal="left" vertical="center" wrapText="1"/>
    </xf>
    <xf numFmtId="0" fontId="34" fillId="2" borderId="7" xfId="0" applyFont="1" applyFill="1" applyBorder="1" applyAlignment="1">
      <alignment horizontal="center" vertical="center" wrapText="1"/>
    </xf>
    <xf numFmtId="10" fontId="12" fillId="0" borderId="7" xfId="0" applyNumberFormat="1" applyFont="1" applyBorder="1" applyAlignment="1">
      <alignment horizontal="center" vertical="center" wrapText="1"/>
    </xf>
    <xf numFmtId="44" fontId="12" fillId="0" borderId="7" xfId="0" applyNumberFormat="1" applyFont="1" applyBorder="1" applyAlignment="1">
      <alignment horizontal="center" vertical="center" wrapText="1"/>
    </xf>
    <xf numFmtId="44" fontId="35" fillId="0" borderId="7" xfId="0" applyNumberFormat="1" applyFont="1" applyBorder="1" applyAlignment="1">
      <alignment horizontal="center" vertical="center" wrapText="1"/>
    </xf>
    <xf numFmtId="44" fontId="4" fillId="20" borderId="52" xfId="1" applyFont="1" applyFill="1" applyBorder="1" applyAlignment="1">
      <alignment horizontal="center" vertical="center"/>
    </xf>
    <xf numFmtId="44" fontId="4" fillId="20" borderId="14" xfId="1" applyFont="1" applyFill="1" applyBorder="1" applyAlignment="1">
      <alignment horizontal="center" vertical="center"/>
    </xf>
    <xf numFmtId="10" fontId="4" fillId="20" borderId="14" xfId="1" applyNumberFormat="1" applyFont="1" applyFill="1" applyBorder="1" applyAlignment="1">
      <alignment horizontal="center" vertical="center"/>
    </xf>
    <xf numFmtId="0" fontId="26" fillId="0" borderId="0" xfId="0" applyFont="1"/>
    <xf numFmtId="0" fontId="6" fillId="25" borderId="7" xfId="0" applyFont="1" applyFill="1" applyBorder="1"/>
    <xf numFmtId="0" fontId="7" fillId="25" borderId="22" xfId="0" applyFont="1" applyFill="1" applyBorder="1"/>
    <xf numFmtId="0" fontId="4" fillId="0" borderId="0" xfId="0" applyFont="1"/>
    <xf numFmtId="0" fontId="7" fillId="26" borderId="19" xfId="0" applyFont="1" applyFill="1" applyBorder="1"/>
    <xf numFmtId="0" fontId="7" fillId="27" borderId="19" xfId="0" applyFont="1" applyFill="1" applyBorder="1"/>
    <xf numFmtId="0" fontId="6" fillId="0" borderId="0" xfId="0" applyFont="1"/>
    <xf numFmtId="10" fontId="7" fillId="27" borderId="51" xfId="0" applyNumberFormat="1" applyFont="1" applyFill="1" applyBorder="1" applyAlignment="1">
      <alignment horizontal="center" vertical="center"/>
    </xf>
    <xf numFmtId="10" fontId="6" fillId="9" borderId="7" xfId="1" applyNumberFormat="1" applyFont="1" applyFill="1" applyBorder="1" applyAlignment="1">
      <alignment horizontal="center" vertical="center" wrapText="1"/>
    </xf>
    <xf numFmtId="0" fontId="15" fillId="5" borderId="21" xfId="0" applyFont="1" applyFill="1" applyBorder="1" applyAlignment="1">
      <alignment vertical="center" wrapText="1"/>
    </xf>
    <xf numFmtId="0" fontId="15" fillId="5" borderId="22" xfId="0" applyFont="1" applyFill="1" applyBorder="1" applyAlignment="1">
      <alignment vertical="center" wrapText="1"/>
    </xf>
    <xf numFmtId="0" fontId="6" fillId="28" borderId="7" xfId="0" applyFont="1" applyFill="1" applyBorder="1" applyAlignment="1">
      <alignment vertical="center"/>
    </xf>
    <xf numFmtId="0" fontId="20" fillId="18" borderId="20" xfId="0" applyFont="1" applyFill="1" applyBorder="1" applyAlignment="1">
      <alignment horizontal="center" vertical="center"/>
    </xf>
    <xf numFmtId="0" fontId="20" fillId="18" borderId="22" xfId="0" applyFont="1" applyFill="1" applyBorder="1" applyAlignment="1">
      <alignment horizontal="center" vertical="center"/>
    </xf>
    <xf numFmtId="44" fontId="7" fillId="28" borderId="7" xfId="1" applyFont="1" applyFill="1" applyBorder="1" applyAlignment="1">
      <alignment vertical="center"/>
    </xf>
    <xf numFmtId="44" fontId="0" fillId="0" borderId="0" xfId="0" applyNumberFormat="1"/>
    <xf numFmtId="9" fontId="7" fillId="28" borderId="7" xfId="12" applyFont="1" applyFill="1" applyBorder="1" applyAlignment="1">
      <alignment horizontal="center" vertical="center"/>
    </xf>
    <xf numFmtId="10" fontId="6" fillId="29" borderId="51" xfId="0" applyNumberFormat="1" applyFont="1" applyFill="1" applyBorder="1" applyAlignment="1">
      <alignment horizontal="center" vertical="center"/>
    </xf>
    <xf numFmtId="10" fontId="6" fillId="10" borderId="51" xfId="0" applyNumberFormat="1" applyFont="1" applyFill="1" applyBorder="1" applyAlignment="1">
      <alignment horizontal="center" vertical="center"/>
    </xf>
    <xf numFmtId="0" fontId="26" fillId="10" borderId="0" xfId="0" applyFont="1" applyFill="1"/>
    <xf numFmtId="0" fontId="6" fillId="10" borderId="52" xfId="0" applyFont="1" applyFill="1" applyBorder="1"/>
    <xf numFmtId="10" fontId="6" fillId="10" borderId="52" xfId="0" applyNumberFormat="1" applyFont="1" applyFill="1" applyBorder="1" applyAlignment="1">
      <alignment horizontal="center" vertical="center"/>
    </xf>
    <xf numFmtId="0" fontId="29" fillId="11" borderId="7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7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9" fontId="0" fillId="0" borderId="0" xfId="12" applyFont="1" applyAlignment="1">
      <alignment horizontal="center" vertical="center"/>
    </xf>
    <xf numFmtId="9" fontId="29" fillId="11" borderId="7" xfId="12" quotePrefix="1" applyFont="1" applyFill="1" applyBorder="1" applyAlignment="1">
      <alignment horizontal="center" vertical="center"/>
    </xf>
    <xf numFmtId="0" fontId="29" fillId="11" borderId="7" xfId="0" quotePrefix="1" applyFont="1" applyFill="1" applyBorder="1" applyAlignment="1">
      <alignment horizontal="center" vertical="center"/>
    </xf>
    <xf numFmtId="169" fontId="0" fillId="0" borderId="7" xfId="12" applyNumberFormat="1" applyFont="1" applyBorder="1" applyAlignment="1">
      <alignment horizontal="center" vertical="center"/>
    </xf>
    <xf numFmtId="169" fontId="0" fillId="0" borderId="7" xfId="0" applyNumberFormat="1" applyBorder="1" applyAlignment="1">
      <alignment horizontal="center" vertical="center"/>
    </xf>
    <xf numFmtId="0" fontId="20" fillId="18" borderId="22" xfId="0" quotePrefix="1" applyFont="1" applyFill="1" applyBorder="1" applyAlignment="1">
      <alignment horizontal="center" vertical="center"/>
    </xf>
    <xf numFmtId="44" fontId="16" fillId="0" borderId="0" xfId="0" applyNumberFormat="1" applyFont="1"/>
    <xf numFmtId="44" fontId="16" fillId="0" borderId="0" xfId="0" applyNumberFormat="1" applyFont="1" applyAlignment="1">
      <alignment horizontal="center"/>
    </xf>
    <xf numFmtId="170" fontId="12" fillId="0" borderId="0" xfId="0" applyNumberFormat="1" applyFont="1" applyAlignment="1">
      <alignment vertical="center" wrapText="1"/>
    </xf>
    <xf numFmtId="44" fontId="8" fillId="26" borderId="7" xfId="0" applyNumberFormat="1" applyFont="1" applyFill="1" applyBorder="1"/>
    <xf numFmtId="8" fontId="26" fillId="0" borderId="7" xfId="0" applyNumberFormat="1" applyFont="1" applyBorder="1" applyAlignment="1">
      <alignment horizontal="center"/>
    </xf>
    <xf numFmtId="44" fontId="8" fillId="26" borderId="7" xfId="1" applyFont="1" applyFill="1" applyBorder="1"/>
    <xf numFmtId="44" fontId="4" fillId="11" borderId="7" xfId="1" applyFont="1" applyFill="1" applyBorder="1" applyAlignment="1">
      <alignment horizontal="center" vertical="center"/>
    </xf>
    <xf numFmtId="0" fontId="29" fillId="0" borderId="24" xfId="0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0" fontId="29" fillId="0" borderId="0" xfId="0" applyFont="1" applyBorder="1" applyAlignment="1">
      <alignment horizontal="center" vertical="center"/>
    </xf>
    <xf numFmtId="44" fontId="29" fillId="0" borderId="0" xfId="1" applyFont="1" applyBorder="1" applyAlignment="1">
      <alignment horizontal="center" vertical="center"/>
    </xf>
    <xf numFmtId="9" fontId="0" fillId="0" borderId="0" xfId="12" applyFont="1" applyBorder="1" applyAlignment="1">
      <alignment horizontal="center" vertical="center"/>
    </xf>
    <xf numFmtId="44" fontId="13" fillId="0" borderId="0" xfId="1" applyFont="1"/>
    <xf numFmtId="0" fontId="4" fillId="19" borderId="20" xfId="0" applyFont="1" applyFill="1" applyBorder="1" applyAlignment="1">
      <alignment horizontal="right" vertical="center"/>
    </xf>
    <xf numFmtId="0" fontId="4" fillId="19" borderId="21" xfId="0" applyFont="1" applyFill="1" applyBorder="1" applyAlignment="1">
      <alignment horizontal="right" vertical="center"/>
    </xf>
    <xf numFmtId="0" fontId="4" fillId="19" borderId="22" xfId="0" applyFont="1" applyFill="1" applyBorder="1" applyAlignment="1">
      <alignment horizontal="right" vertical="center"/>
    </xf>
    <xf numFmtId="0" fontId="22" fillId="3" borderId="49" xfId="0" applyFont="1" applyFill="1" applyBorder="1" applyAlignment="1">
      <alignment horizontal="left" vertical="center" wrapText="1"/>
    </xf>
    <xf numFmtId="0" fontId="22" fillId="3" borderId="25" xfId="0" applyFont="1" applyFill="1" applyBorder="1" applyAlignment="1">
      <alignment horizontal="left" vertical="center" wrapText="1"/>
    </xf>
    <xf numFmtId="0" fontId="22" fillId="3" borderId="50" xfId="0" applyFont="1" applyFill="1" applyBorder="1" applyAlignment="1">
      <alignment horizontal="left" vertical="center" wrapText="1"/>
    </xf>
    <xf numFmtId="0" fontId="22" fillId="3" borderId="51" xfId="0" applyFont="1" applyFill="1" applyBorder="1" applyAlignment="1">
      <alignment horizontal="left" vertical="center" wrapText="1"/>
    </xf>
    <xf numFmtId="0" fontId="28" fillId="16" borderId="7" xfId="0" applyFont="1" applyFill="1" applyBorder="1" applyAlignment="1">
      <alignment horizontal="center" vertical="center"/>
    </xf>
    <xf numFmtId="0" fontId="8" fillId="18" borderId="14" xfId="0" applyFont="1" applyFill="1" applyBorder="1" applyAlignment="1">
      <alignment horizontal="center" vertical="center"/>
    </xf>
    <xf numFmtId="0" fontId="31" fillId="18" borderId="50" xfId="0" applyFont="1" applyFill="1" applyBorder="1" applyAlignment="1">
      <alignment horizontal="center" vertical="center"/>
    </xf>
    <xf numFmtId="0" fontId="31" fillId="18" borderId="31" xfId="0" applyFont="1" applyFill="1" applyBorder="1" applyAlignment="1">
      <alignment horizontal="center" vertical="center"/>
    </xf>
    <xf numFmtId="0" fontId="31" fillId="18" borderId="51" xfId="0" applyFont="1" applyFill="1" applyBorder="1" applyAlignment="1">
      <alignment horizontal="center" vertical="center"/>
    </xf>
    <xf numFmtId="0" fontId="22" fillId="21" borderId="7" xfId="0" applyFont="1" applyFill="1" applyBorder="1" applyAlignment="1">
      <alignment horizontal="center" vertical="center" wrapText="1"/>
    </xf>
    <xf numFmtId="0" fontId="15" fillId="16" borderId="7" xfId="0" applyFont="1" applyFill="1" applyBorder="1" applyAlignment="1">
      <alignment horizontal="center" vertical="center"/>
    </xf>
    <xf numFmtId="0" fontId="4" fillId="11" borderId="7" xfId="0" applyFont="1" applyFill="1" applyBorder="1" applyAlignment="1">
      <alignment horizontal="right" vertical="center"/>
    </xf>
    <xf numFmtId="0" fontId="4" fillId="19" borderId="7" xfId="0" applyFont="1" applyFill="1" applyBorder="1" applyAlignment="1">
      <alignment horizontal="right" vertical="center"/>
    </xf>
    <xf numFmtId="0" fontId="32" fillId="15" borderId="37" xfId="0" applyFont="1" applyFill="1" applyBorder="1" applyAlignment="1">
      <alignment horizontal="center" vertical="center" wrapText="1"/>
    </xf>
    <xf numFmtId="0" fontId="32" fillId="15" borderId="0" xfId="0" applyFont="1" applyFill="1" applyAlignment="1">
      <alignment horizontal="center" vertical="center" wrapText="1"/>
    </xf>
    <xf numFmtId="0" fontId="8" fillId="11" borderId="4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>
      <alignment horizontal="center" vertical="center" wrapText="1"/>
    </xf>
    <xf numFmtId="44" fontId="20" fillId="22" borderId="5" xfId="1" applyFont="1" applyFill="1" applyBorder="1" applyAlignment="1">
      <alignment horizontal="center" vertical="center"/>
    </xf>
    <xf numFmtId="44" fontId="20" fillId="22" borderId="1" xfId="1" applyFont="1" applyFill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19" borderId="14" xfId="0" applyFont="1" applyFill="1" applyBorder="1" applyAlignment="1">
      <alignment horizontal="right" vertical="center"/>
    </xf>
    <xf numFmtId="0" fontId="4" fillId="19" borderId="53" xfId="0" applyFont="1" applyFill="1" applyBorder="1" applyAlignment="1">
      <alignment horizontal="right" vertical="center"/>
    </xf>
    <xf numFmtId="0" fontId="4" fillId="19" borderId="54" xfId="0" applyFont="1" applyFill="1" applyBorder="1" applyAlignment="1">
      <alignment horizontal="right" vertical="center"/>
    </xf>
    <xf numFmtId="0" fontId="4" fillId="19" borderId="55" xfId="0" applyFont="1" applyFill="1" applyBorder="1" applyAlignment="1">
      <alignment horizontal="right" vertical="center"/>
    </xf>
    <xf numFmtId="0" fontId="15" fillId="8" borderId="28" xfId="0" applyFont="1" applyFill="1" applyBorder="1" applyAlignment="1">
      <alignment horizontal="center" vertical="center"/>
    </xf>
    <xf numFmtId="0" fontId="15" fillId="8" borderId="29" xfId="0" applyFont="1" applyFill="1" applyBorder="1" applyAlignment="1">
      <alignment horizontal="center" vertical="center"/>
    </xf>
    <xf numFmtId="0" fontId="16" fillId="0" borderId="44" xfId="0" applyFont="1" applyBorder="1" applyAlignment="1">
      <alignment horizontal="right" vertical="center"/>
    </xf>
    <xf numFmtId="0" fontId="16" fillId="0" borderId="43" xfId="0" applyFont="1" applyBorder="1" applyAlignment="1">
      <alignment horizontal="right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5" fillId="8" borderId="4" xfId="0" applyFont="1" applyFill="1" applyBorder="1" applyAlignment="1">
      <alignment horizontal="center" vertical="center"/>
    </xf>
    <xf numFmtId="0" fontId="15" fillId="8" borderId="5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15" fillId="5" borderId="20" xfId="0" applyFont="1" applyFill="1" applyBorder="1" applyAlignment="1">
      <alignment horizontal="center" vertical="center" wrapText="1"/>
    </xf>
    <xf numFmtId="0" fontId="15" fillId="5" borderId="21" xfId="0" applyFont="1" applyFill="1" applyBorder="1" applyAlignment="1">
      <alignment horizontal="center" vertical="center" wrapText="1"/>
    </xf>
    <xf numFmtId="0" fontId="15" fillId="5" borderId="22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44" fontId="4" fillId="13" borderId="19" xfId="1" applyFont="1" applyFill="1" applyBorder="1" applyAlignment="1">
      <alignment horizontal="center"/>
    </xf>
    <xf numFmtId="0" fontId="8" fillId="4" borderId="20" xfId="0" applyFont="1" applyFill="1" applyBorder="1" applyAlignment="1">
      <alignment horizontal="right" vertical="center" wrapText="1"/>
    </xf>
    <xf numFmtId="0" fontId="8" fillId="4" borderId="21" xfId="0" applyFont="1" applyFill="1" applyBorder="1" applyAlignment="1">
      <alignment horizontal="right" vertical="center" wrapText="1"/>
    </xf>
    <xf numFmtId="0" fontId="8" fillId="4" borderId="22" xfId="0" applyFont="1" applyFill="1" applyBorder="1" applyAlignment="1">
      <alignment horizontal="right" vertical="center" wrapText="1"/>
    </xf>
    <xf numFmtId="0" fontId="16" fillId="11" borderId="20" xfId="0" applyFont="1" applyFill="1" applyBorder="1" applyAlignment="1">
      <alignment horizontal="right"/>
    </xf>
    <xf numFmtId="0" fontId="36" fillId="11" borderId="21" xfId="0" applyFont="1" applyFill="1" applyBorder="1" applyAlignment="1">
      <alignment horizontal="right"/>
    </xf>
    <xf numFmtId="0" fontId="36" fillId="11" borderId="22" xfId="0" applyFont="1" applyFill="1" applyBorder="1" applyAlignment="1">
      <alignment horizontal="right"/>
    </xf>
    <xf numFmtId="0" fontId="36" fillId="11" borderId="20" xfId="0" applyFont="1" applyFill="1" applyBorder="1" applyAlignment="1">
      <alignment horizontal="right"/>
    </xf>
    <xf numFmtId="44" fontId="4" fillId="13" borderId="20" xfId="1" applyFont="1" applyFill="1" applyBorder="1" applyAlignment="1">
      <alignment horizontal="center"/>
    </xf>
    <xf numFmtId="44" fontId="4" fillId="13" borderId="21" xfId="1" applyFont="1" applyFill="1" applyBorder="1" applyAlignment="1">
      <alignment horizontal="center"/>
    </xf>
    <xf numFmtId="44" fontId="4" fillId="13" borderId="22" xfId="1" applyFont="1" applyFill="1" applyBorder="1" applyAlignment="1">
      <alignment horizontal="center"/>
    </xf>
    <xf numFmtId="0" fontId="32" fillId="24" borderId="0" xfId="0" applyFont="1" applyFill="1" applyAlignment="1">
      <alignment horizontal="center" vertical="center"/>
    </xf>
    <xf numFmtId="0" fontId="26" fillId="29" borderId="0" xfId="0" applyFont="1" applyFill="1" applyAlignment="1">
      <alignment vertical="center"/>
    </xf>
    <xf numFmtId="0" fontId="26" fillId="10" borderId="0" xfId="0" applyFont="1" applyFill="1" applyAlignment="1">
      <alignment vertical="center"/>
    </xf>
    <xf numFmtId="0" fontId="7" fillId="25" borderId="52" xfId="0" applyFont="1" applyFill="1" applyBorder="1" applyAlignment="1">
      <alignment horizontal="center"/>
    </xf>
    <xf numFmtId="0" fontId="21" fillId="3" borderId="4" xfId="6" applyFont="1" applyFill="1" applyBorder="1" applyAlignment="1">
      <alignment horizontal="left" vertical="center" wrapText="1"/>
    </xf>
    <xf numFmtId="0" fontId="21" fillId="3" borderId="5" xfId="6" applyFont="1" applyFill="1" applyBorder="1" applyAlignment="1">
      <alignment horizontal="left" vertical="center" wrapText="1"/>
    </xf>
    <xf numFmtId="43" fontId="5" fillId="0" borderId="27" xfId="2" applyFont="1" applyFill="1" applyBorder="1" applyAlignment="1">
      <alignment horizontal="left" vertical="center" wrapText="1"/>
    </xf>
    <xf numFmtId="43" fontId="5" fillId="0" borderId="33" xfId="2" applyFont="1" applyFill="1" applyBorder="1" applyAlignment="1">
      <alignment horizontal="left" vertical="center" wrapText="1"/>
    </xf>
    <xf numFmtId="43" fontId="21" fillId="0" borderId="8" xfId="2" applyFont="1" applyFill="1" applyBorder="1" applyAlignment="1">
      <alignment vertical="center" wrapText="1"/>
    </xf>
    <xf numFmtId="43" fontId="21" fillId="0" borderId="15" xfId="2" applyFont="1" applyFill="1" applyBorder="1" applyAlignment="1">
      <alignment vertical="center" wrapText="1"/>
    </xf>
    <xf numFmtId="43" fontId="21" fillId="0" borderId="33" xfId="2" applyFont="1" applyFill="1" applyBorder="1" applyAlignment="1">
      <alignment vertical="center" wrapText="1"/>
    </xf>
    <xf numFmtId="43" fontId="5" fillId="0" borderId="29" xfId="2" applyFont="1" applyFill="1" applyBorder="1" applyAlignment="1">
      <alignment horizontal="left" vertical="center" wrapText="1"/>
    </xf>
    <xf numFmtId="0" fontId="22" fillId="0" borderId="26" xfId="6" applyFont="1" applyBorder="1" applyAlignment="1">
      <alignment horizontal="left" vertical="center" wrapText="1"/>
    </xf>
    <xf numFmtId="43" fontId="21" fillId="6" borderId="12" xfId="2" applyFont="1" applyFill="1" applyBorder="1" applyAlignment="1">
      <alignment horizontal="left" vertical="center" wrapText="1"/>
    </xf>
    <xf numFmtId="43" fontId="21" fillId="6" borderId="10" xfId="2" applyFont="1" applyFill="1" applyBorder="1" applyAlignment="1">
      <alignment horizontal="left" vertical="center" wrapText="1"/>
    </xf>
    <xf numFmtId="43" fontId="21" fillId="6" borderId="9" xfId="2" applyFont="1" applyFill="1" applyBorder="1" applyAlignment="1">
      <alignment horizontal="left" vertical="center" wrapText="1"/>
    </xf>
    <xf numFmtId="0" fontId="5" fillId="0" borderId="24" xfId="2" applyNumberFormat="1" applyFont="1" applyFill="1" applyBorder="1" applyAlignment="1">
      <alignment horizontal="left" vertical="center" wrapText="1"/>
    </xf>
    <xf numFmtId="0" fontId="5" fillId="0" borderId="25" xfId="2" applyNumberFormat="1" applyFont="1" applyFill="1" applyBorder="1" applyAlignment="1">
      <alignment horizontal="left" vertical="center" wrapText="1"/>
    </xf>
    <xf numFmtId="43" fontId="21" fillId="0" borderId="28" xfId="2" applyFont="1" applyFill="1" applyBorder="1" applyAlignment="1">
      <alignment horizontal="left" vertical="center" wrapText="1"/>
    </xf>
    <xf numFmtId="43" fontId="21" fillId="0" borderId="29" xfId="2" applyFont="1" applyFill="1" applyBorder="1" applyAlignment="1">
      <alignment horizontal="left" vertical="center" wrapText="1"/>
    </xf>
    <xf numFmtId="43" fontId="21" fillId="0" borderId="30" xfId="2" applyFont="1" applyFill="1" applyBorder="1" applyAlignment="1">
      <alignment horizontal="left" vertical="center" wrapText="1"/>
    </xf>
    <xf numFmtId="43" fontId="21" fillId="7" borderId="12" xfId="2" applyFont="1" applyFill="1" applyBorder="1" applyAlignment="1">
      <alignment horizontal="left" vertical="center" wrapText="1"/>
    </xf>
    <xf numFmtId="43" fontId="21" fillId="7" borderId="10" xfId="2" applyFont="1" applyFill="1" applyBorder="1" applyAlignment="1">
      <alignment horizontal="left" vertical="center" wrapText="1"/>
    </xf>
    <xf numFmtId="43" fontId="21" fillId="7" borderId="9" xfId="2" applyFont="1" applyFill="1" applyBorder="1" applyAlignment="1">
      <alignment horizontal="left" vertical="center" wrapText="1"/>
    </xf>
    <xf numFmtId="43" fontId="21" fillId="6" borderId="11" xfId="2" applyFont="1" applyFill="1" applyBorder="1" applyAlignment="1">
      <alignment horizontal="left" vertical="center" wrapText="1"/>
    </xf>
    <xf numFmtId="43" fontId="21" fillId="6" borderId="7" xfId="2" applyFont="1" applyFill="1" applyBorder="1" applyAlignment="1">
      <alignment horizontal="left" vertical="center" wrapText="1"/>
    </xf>
    <xf numFmtId="0" fontId="5" fillId="0" borderId="0" xfId="2" applyNumberFormat="1" applyFont="1" applyFill="1" applyBorder="1" applyAlignment="1">
      <alignment horizontal="left" vertical="center" wrapText="1"/>
    </xf>
    <xf numFmtId="0" fontId="5" fillId="0" borderId="27" xfId="2" applyNumberFormat="1" applyFont="1" applyFill="1" applyBorder="1" applyAlignment="1">
      <alignment horizontal="left" vertical="center" wrapText="1"/>
    </xf>
    <xf numFmtId="43" fontId="21" fillId="7" borderId="12" xfId="2" applyFont="1" applyFill="1" applyBorder="1" applyAlignment="1">
      <alignment horizontal="left" vertical="center"/>
    </xf>
    <xf numFmtId="43" fontId="21" fillId="7" borderId="10" xfId="2" applyFont="1" applyFill="1" applyBorder="1" applyAlignment="1">
      <alignment horizontal="left" vertical="center"/>
    </xf>
    <xf numFmtId="43" fontId="21" fillId="7" borderId="9" xfId="2" applyFont="1" applyFill="1" applyBorder="1" applyAlignment="1">
      <alignment horizontal="left" vertical="center"/>
    </xf>
    <xf numFmtId="43" fontId="21" fillId="6" borderId="34" xfId="2" applyFont="1" applyFill="1" applyBorder="1" applyAlignment="1">
      <alignment horizontal="left" vertical="center"/>
    </xf>
    <xf numFmtId="43" fontId="21" fillId="6" borderId="21" xfId="2" applyFont="1" applyFill="1" applyBorder="1" applyAlignment="1">
      <alignment horizontal="left" vertical="center"/>
    </xf>
    <xf numFmtId="43" fontId="5" fillId="0" borderId="26" xfId="2" applyFont="1" applyFill="1" applyBorder="1" applyAlignment="1">
      <alignment horizontal="left" vertical="top"/>
    </xf>
    <xf numFmtId="43" fontId="21" fillId="6" borderId="34" xfId="2" applyFont="1" applyFill="1" applyBorder="1" applyAlignment="1">
      <alignment horizontal="left" vertical="center" wrapText="1"/>
    </xf>
    <xf numFmtId="43" fontId="21" fillId="6" borderId="21" xfId="2" applyFont="1" applyFill="1" applyBorder="1" applyAlignment="1">
      <alignment horizontal="left" vertical="center" wrapText="1"/>
    </xf>
    <xf numFmtId="43" fontId="21" fillId="0" borderId="26" xfId="2" applyFont="1" applyFill="1" applyBorder="1" applyAlignment="1">
      <alignment horizontal="left" vertical="center" wrapText="1"/>
    </xf>
    <xf numFmtId="43" fontId="21" fillId="0" borderId="0" xfId="2" applyFont="1" applyFill="1" applyBorder="1" applyAlignment="1">
      <alignment horizontal="left" vertical="center" wrapText="1"/>
    </xf>
    <xf numFmtId="43" fontId="21" fillId="6" borderId="6" xfId="2" applyFont="1" applyFill="1" applyBorder="1" applyAlignment="1">
      <alignment horizontal="left" vertical="center" wrapText="1"/>
    </xf>
    <xf numFmtId="43" fontId="5" fillId="0" borderId="0" xfId="2" applyFont="1" applyFill="1" applyBorder="1" applyAlignment="1">
      <alignment horizontal="left" vertical="center" wrapText="1"/>
    </xf>
    <xf numFmtId="43" fontId="21" fillId="0" borderId="36" xfId="2" applyFont="1" applyFill="1" applyBorder="1" applyAlignment="1">
      <alignment horizontal="left" vertical="center" wrapText="1"/>
    </xf>
    <xf numFmtId="43" fontId="21" fillId="0" borderId="31" xfId="2" applyFont="1" applyFill="1" applyBorder="1" applyAlignment="1">
      <alignment horizontal="left" vertical="center" wrapText="1"/>
    </xf>
    <xf numFmtId="43" fontId="21" fillId="6" borderId="40" xfId="2" applyFont="1" applyFill="1" applyBorder="1" applyAlignment="1">
      <alignment horizontal="left" vertical="center" wrapText="1"/>
    </xf>
    <xf numFmtId="43" fontId="21" fillId="6" borderId="39" xfId="2" applyFont="1" applyFill="1" applyBorder="1" applyAlignment="1">
      <alignment horizontal="left" vertical="center" wrapText="1"/>
    </xf>
    <xf numFmtId="43" fontId="21" fillId="6" borderId="32" xfId="2" applyFont="1" applyFill="1" applyBorder="1" applyAlignment="1">
      <alignment horizontal="left" vertical="center" wrapText="1"/>
    </xf>
    <xf numFmtId="43" fontId="5" fillId="0" borderId="37" xfId="2" applyFont="1" applyFill="1" applyBorder="1" applyAlignment="1">
      <alignment horizontal="left" vertical="center"/>
    </xf>
    <xf numFmtId="43" fontId="5" fillId="0" borderId="0" xfId="2" applyFont="1" applyFill="1" applyBorder="1" applyAlignment="1">
      <alignment horizontal="left" vertical="center"/>
    </xf>
    <xf numFmtId="43" fontId="5" fillId="0" borderId="27" xfId="2" applyFont="1" applyFill="1" applyBorder="1" applyAlignment="1">
      <alignment horizontal="left" vertical="center"/>
    </xf>
    <xf numFmtId="43" fontId="5" fillId="0" borderId="29" xfId="2" applyFont="1" applyFill="1" applyBorder="1" applyAlignment="1">
      <alignment horizontal="left" vertical="center"/>
    </xf>
    <xf numFmtId="43" fontId="5" fillId="0" borderId="30" xfId="2" applyFont="1" applyFill="1" applyBorder="1" applyAlignment="1">
      <alignment horizontal="left" vertical="center"/>
    </xf>
    <xf numFmtId="43" fontId="21" fillId="6" borderId="22" xfId="2" applyFont="1" applyFill="1" applyBorder="1" applyAlignment="1">
      <alignment horizontal="left" vertical="center" wrapText="1"/>
    </xf>
    <xf numFmtId="0" fontId="5" fillId="0" borderId="0" xfId="2" applyNumberFormat="1" applyFont="1" applyFill="1" applyBorder="1" applyAlignment="1">
      <alignment horizontal="left" vertical="center"/>
    </xf>
    <xf numFmtId="43" fontId="21" fillId="0" borderId="28" xfId="2" applyFont="1" applyFill="1" applyBorder="1" applyAlignment="1">
      <alignment horizontal="left" vertical="center"/>
    </xf>
    <xf numFmtId="43" fontId="21" fillId="0" borderId="29" xfId="2" applyFont="1" applyFill="1" applyBorder="1" applyAlignment="1">
      <alignment horizontal="left" vertical="center"/>
    </xf>
    <xf numFmtId="0" fontId="15" fillId="8" borderId="4" xfId="6" applyFont="1" applyFill="1" applyBorder="1" applyAlignment="1">
      <alignment horizontal="center" vertical="center" wrapText="1"/>
    </xf>
    <xf numFmtId="0" fontId="15" fillId="8" borderId="5" xfId="6" applyFont="1" applyFill="1" applyBorder="1" applyAlignment="1">
      <alignment horizontal="center" vertical="center" wrapText="1"/>
    </xf>
    <xf numFmtId="0" fontId="15" fillId="8" borderId="1" xfId="6" applyFont="1" applyFill="1" applyBorder="1" applyAlignment="1">
      <alignment horizontal="center" vertical="center" wrapText="1"/>
    </xf>
    <xf numFmtId="0" fontId="20" fillId="0" borderId="0" xfId="6" applyFont="1" applyAlignment="1">
      <alignment horizontal="center" vertical="center" wrapText="1"/>
    </xf>
    <xf numFmtId="0" fontId="5" fillId="0" borderId="0" xfId="6" applyFont="1" applyAlignment="1">
      <alignment horizontal="center" vertical="center"/>
    </xf>
    <xf numFmtId="0" fontId="21" fillId="0" borderId="37" xfId="11" applyFont="1" applyBorder="1" applyAlignment="1">
      <alignment horizontal="center" vertical="center"/>
    </xf>
    <xf numFmtId="0" fontId="21" fillId="0" borderId="41" xfId="11" applyFont="1" applyBorder="1" applyAlignment="1">
      <alignment horizontal="center" vertical="center"/>
    </xf>
    <xf numFmtId="0" fontId="5" fillId="0" borderId="0" xfId="11" applyFont="1" applyAlignment="1">
      <alignment horizontal="left" vertical="center"/>
    </xf>
    <xf numFmtId="43" fontId="21" fillId="6" borderId="4" xfId="2" applyFont="1" applyFill="1" applyBorder="1" applyAlignment="1">
      <alignment horizontal="left" vertical="center"/>
    </xf>
    <xf numFmtId="43" fontId="21" fillId="6" borderId="5" xfId="2" applyFont="1" applyFill="1" applyBorder="1" applyAlignment="1">
      <alignment horizontal="left" vertical="center"/>
    </xf>
    <xf numFmtId="43" fontId="21" fillId="6" borderId="37" xfId="2" applyFont="1" applyFill="1" applyBorder="1" applyAlignment="1">
      <alignment horizontal="left" vertical="center"/>
    </xf>
    <xf numFmtId="43" fontId="21" fillId="6" borderId="41" xfId="2" applyFont="1" applyFill="1" applyBorder="1" applyAlignment="1">
      <alignment horizontal="left" vertical="center"/>
    </xf>
    <xf numFmtId="0" fontId="5" fillId="0" borderId="38" xfId="11" applyFont="1" applyBorder="1" applyAlignment="1">
      <alignment horizontal="center" vertical="center"/>
    </xf>
    <xf numFmtId="0" fontId="5" fillId="0" borderId="41" xfId="11" applyFont="1" applyBorder="1" applyAlignment="1">
      <alignment horizontal="center" vertical="center"/>
    </xf>
    <xf numFmtId="0" fontId="5" fillId="0" borderId="26" xfId="11" applyFont="1" applyBorder="1" applyAlignment="1">
      <alignment horizontal="center" vertical="center"/>
    </xf>
    <xf numFmtId="0" fontId="5" fillId="0" borderId="3" xfId="11" applyFont="1" applyBorder="1" applyAlignment="1">
      <alignment horizontal="center" vertical="center"/>
    </xf>
    <xf numFmtId="0" fontId="5" fillId="0" borderId="28" xfId="11" applyFont="1" applyBorder="1" applyAlignment="1">
      <alignment horizontal="center" vertical="center"/>
    </xf>
    <xf numFmtId="0" fontId="5" fillId="0" borderId="2" xfId="11" applyFont="1" applyBorder="1" applyAlignment="1">
      <alignment horizontal="center" vertical="center"/>
    </xf>
    <xf numFmtId="43" fontId="21" fillId="6" borderId="1" xfId="2" applyFont="1" applyFill="1" applyBorder="1" applyAlignment="1">
      <alignment horizontal="left" vertical="center"/>
    </xf>
    <xf numFmtId="0" fontId="28" fillId="16" borderId="50" xfId="0" applyFont="1" applyFill="1" applyBorder="1" applyAlignment="1">
      <alignment horizontal="center" vertical="center"/>
    </xf>
    <xf numFmtId="0" fontId="28" fillId="16" borderId="31" xfId="0" applyFont="1" applyFill="1" applyBorder="1" applyAlignment="1">
      <alignment horizontal="center" vertical="center"/>
    </xf>
    <xf numFmtId="0" fontId="15" fillId="30" borderId="31" xfId="0" applyFont="1" applyFill="1" applyBorder="1" applyAlignment="1">
      <alignment horizontal="center" vertical="center"/>
    </xf>
  </cellXfs>
  <cellStyles count="13">
    <cellStyle name="Moeda" xfId="1" builtinId="4"/>
    <cellStyle name="Moeda 2" xfId="5" xr:uid="{2055DB59-0B39-4B54-8F52-E54A0CA4C8A9}"/>
    <cellStyle name="Moeda 2 2" xfId="8" xr:uid="{9961387A-4419-4B6E-9345-04678BB83371}"/>
    <cellStyle name="Normal" xfId="0" builtinId="0"/>
    <cellStyle name="Normal 2" xfId="3" xr:uid="{F6226D6A-E1A0-4482-A3A7-D8FEB258F1C6}"/>
    <cellStyle name="Normal 2 2" xfId="11" xr:uid="{53B3F280-150D-42B1-B88B-3739F0146A33}"/>
    <cellStyle name="Normal 3" xfId="6" xr:uid="{C29A7D07-7CE1-430F-B6A7-DD1C7D9649B7}"/>
    <cellStyle name="Porcentagem" xfId="12" builtinId="5"/>
    <cellStyle name="Porcentagem 2" xfId="4" xr:uid="{6581345C-1140-4442-B0D6-602152BB9549}"/>
    <cellStyle name="Porcentagem 2 2" xfId="10" xr:uid="{9B317288-DD69-48CE-A8E1-5EC7EBD1710D}"/>
    <cellStyle name="Vírgula" xfId="2" builtinId="3"/>
    <cellStyle name="Vírgula 3 2" xfId="9" xr:uid="{9111F2AD-806E-4760-BEE3-A8853C49DC26}"/>
    <cellStyle name="Vírgula 4" xfId="7" xr:uid="{7DA87AB5-2DAE-4F24-B5FB-85E78A336E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CURVA</a:t>
            </a:r>
            <a:r>
              <a:rPr lang="pt-BR" baseline="0"/>
              <a:t> ABC-SERVIÇOS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'ANEXO XIV_CURVA ABC-SERVIÇOS'!$B$2</c:f>
              <c:strCache>
                <c:ptCount val="1"/>
                <c:pt idx="0">
                  <c:v>Valor Mensal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'ANEXO XIV_CURVA ABC-SERVIÇOS'!$A$3:$A$6</c:f>
              <c:strCache>
                <c:ptCount val="4"/>
                <c:pt idx="0">
                  <c:v>Técnico Refrigeração (Equipe Residente)</c:v>
                </c:pt>
                <c:pt idx="1">
                  <c:v>Serviços Especializados</c:v>
                </c:pt>
                <c:pt idx="2">
                  <c:v>Manutenção Prevenitva/Corretiva</c:v>
                </c:pt>
                <c:pt idx="3">
                  <c:v>Peças Planilhadas e Licitadas (Aquisição por Demanda)</c:v>
                </c:pt>
              </c:strCache>
            </c:strRef>
          </c:cat>
          <c:val>
            <c:numRef>
              <c:f>'ANEXO XIV_CURVA ABC-SERVIÇOS'!$B$3:$B$6</c:f>
              <c:numCache>
                <c:formatCode>_("R$"* #,##0.00_);_("R$"* \(#,##0.00\);_("R$"* "-"??_);_(@_)</c:formatCode>
                <c:ptCount val="4"/>
                <c:pt idx="0">
                  <c:v>21515.65</c:v>
                </c:pt>
                <c:pt idx="1">
                  <c:v>11806.49</c:v>
                </c:pt>
                <c:pt idx="2">
                  <c:v>7517.2999999999993</c:v>
                </c:pt>
                <c:pt idx="3">
                  <c:v>6121.59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CF-4089-A009-CC4918019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047460672"/>
        <c:axId val="2047459840"/>
      </c:barChart>
      <c:lineChart>
        <c:grouping val="standard"/>
        <c:varyColors val="0"/>
        <c:ser>
          <c:idx val="1"/>
          <c:order val="1"/>
          <c:tx>
            <c:strRef>
              <c:f>'ANEXO XIV_CURVA ABC-SERVIÇOS'!$D$2</c:f>
              <c:strCache>
                <c:ptCount val="1"/>
                <c:pt idx="0">
                  <c:v>% Acumulada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'ANEXO XIV_CURVA ABC-SERVIÇOS'!$A$3:$A$6</c:f>
              <c:strCache>
                <c:ptCount val="4"/>
                <c:pt idx="0">
                  <c:v>Técnico Refrigeração (Equipe Residente)</c:v>
                </c:pt>
                <c:pt idx="1">
                  <c:v>Serviços Especializados</c:v>
                </c:pt>
                <c:pt idx="2">
                  <c:v>Manutenção Prevenitva/Corretiva</c:v>
                </c:pt>
                <c:pt idx="3">
                  <c:v>Peças Planilhadas e Licitadas (Aquisição por Demanda)</c:v>
                </c:pt>
              </c:strCache>
            </c:strRef>
          </c:cat>
          <c:val>
            <c:numRef>
              <c:f>'ANEXO XIV_CURVA ABC-SERVIÇOS'!$D$3:$D$6</c:f>
              <c:numCache>
                <c:formatCode>0%</c:formatCode>
                <c:ptCount val="4"/>
                <c:pt idx="0">
                  <c:v>0.45815966983688394</c:v>
                </c:pt>
                <c:pt idx="1">
                  <c:v>0.70957004137260205</c:v>
                </c:pt>
                <c:pt idx="2">
                  <c:v>0.8696453208117455</c:v>
                </c:pt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CF-4089-A009-CC4918019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2680768"/>
        <c:axId val="1552679520"/>
      </c:lineChart>
      <c:catAx>
        <c:axId val="2047460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47459840"/>
        <c:crosses val="autoZero"/>
        <c:auto val="1"/>
        <c:lblAlgn val="ctr"/>
        <c:lblOffset val="100"/>
        <c:noMultiLvlLbl val="0"/>
      </c:catAx>
      <c:valAx>
        <c:axId val="2047459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47460672"/>
        <c:crosses val="autoZero"/>
        <c:crossBetween val="between"/>
      </c:valAx>
      <c:valAx>
        <c:axId val="1552679520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52680768"/>
        <c:crosses val="max"/>
        <c:crossBetween val="between"/>
      </c:valAx>
      <c:catAx>
        <c:axId val="1552680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52679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CURVA ABC-PEÇAS/COMPONENTES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'ANEXO XV_CURVA ABC-PEÇAS'!$H$2</c:f>
              <c:strCache>
                <c:ptCount val="1"/>
                <c:pt idx="0">
                  <c:v>VALOR 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'ANEXO XV_CURVA ABC-PEÇAS'!$B$3:$B$51</c:f>
              <c:strCache>
                <c:ptCount val="49"/>
                <c:pt idx="0">
                  <c:v>Inversor de Frequência SIEMENS SINAMICS V20 p/ motor 30 cv</c:v>
                </c:pt>
                <c:pt idx="1">
                  <c:v>Gerenciadora Sistema Talent SCS Tcom-Tmaneger</c:v>
                </c:pt>
                <c:pt idx="2">
                  <c:v>Controladora Sistema Talent SCS Tcontrol 1107</c:v>
                </c:pt>
                <c:pt idx="3">
                  <c:v>Manta Filtrante em fibra sintética – mínimo classe M5</c:v>
                </c:pt>
                <c:pt idx="4">
                  <c:v>Inversor de Frequência WEG CFW 500 p/ motor 5,0 cv</c:v>
                </c:pt>
                <c:pt idx="5">
                  <c:v>Inversor de Frequência SIEMENS SINAMICS V20 p/ motor 4,0 cv</c:v>
                </c:pt>
                <c:pt idx="6">
                  <c:v>Atuador Proporcional BELIMO ARB24-SR 20 N.m 24 VAC/DC</c:v>
                </c:pt>
                <c:pt idx="7">
                  <c:v>Soft Start SIMIENS SIRIUS 3RW4027, 17 a 32 A.</c:v>
                </c:pt>
                <c:pt idx="8">
                  <c:v>Válvula Solenóide 2/2 Vias N. Fechada 3/4 220 V</c:v>
                </c:pt>
                <c:pt idx="9">
                  <c:v>Soft Start SIMIENS SIRIUS 3RW4024, 5 a 12,5 A.</c:v>
                </c:pt>
                <c:pt idx="10">
                  <c:v>Difusor de Ar quadrado 4 vias c/ registro simples T4 (ref. TROX)</c:v>
                </c:pt>
                <c:pt idx="11">
                  <c:v>Relé FF Trifásico SIMIENS 3UG07</c:v>
                </c:pt>
                <c:pt idx="12">
                  <c:v>Caixa Plenum p/ difusor quadrado T4 c/ bocal 200 mm (8 pol)</c:v>
                </c:pt>
                <c:pt idx="13">
                  <c:v>Selo Mecânico T21 1.3/4" BUNA</c:v>
                </c:pt>
                <c:pt idx="14">
                  <c:v>Relé Térmico de Sobrecarga SIEMENS 3US50</c:v>
                </c:pt>
                <c:pt idx="15">
                  <c:v>Rolamento SKF 6308 C3</c:v>
                </c:pt>
                <c:pt idx="16">
                  <c:v>Rolamento SKF 6206-ZZ</c:v>
                </c:pt>
                <c:pt idx="17">
                  <c:v>Rolamento SKF 6310 C3</c:v>
                </c:pt>
                <c:pt idx="18">
                  <c:v>Rolamento SKF 6207-ZZ</c:v>
                </c:pt>
                <c:pt idx="19">
                  <c:v>Contator SIEMENS 3TS29</c:v>
                </c:pt>
                <c:pt idx="20">
                  <c:v>Acoplamento Elástico AE/AG-112</c:v>
                </c:pt>
                <c:pt idx="21">
                  <c:v>Relé Térmico de Sobrecarga SIEMENS 3UA50</c:v>
                </c:pt>
                <c:pt idx="22">
                  <c:v>Duto Flexível Aluminizado c/ isolamento 200 mm (8 pol) rolo c/ 6 m</c:v>
                </c:pt>
                <c:pt idx="23">
                  <c:v>Correia Perfil em “V” BX46</c:v>
                </c:pt>
                <c:pt idx="24">
                  <c:v>Acoplamento Elástico AE/AG-97</c:v>
                </c:pt>
                <c:pt idx="25">
                  <c:v>Contator SIEMENS 3TS30</c:v>
                </c:pt>
                <c:pt idx="26">
                  <c:v>Colarinho para Duto Flexível c/ Registro - 200 mm (8 pol)</c:v>
                </c:pt>
                <c:pt idx="27">
                  <c:v>Programador Horário COEL BWT40HR</c:v>
                </c:pt>
                <c:pt idx="28">
                  <c:v>Relé FF Trifásico ALTRONIC 220/380 V</c:v>
                </c:pt>
                <c:pt idx="29">
                  <c:v>Rolamento SKF 6205-ZZ</c:v>
                </c:pt>
                <c:pt idx="30">
                  <c:v>Relé Térmico de Sobrecarga SIEMENS 3US55</c:v>
                </c:pt>
                <c:pt idx="31">
                  <c:v>Retentor 40 x 55 x 8 - 02391 - 01707 BRG</c:v>
                </c:pt>
                <c:pt idx="32">
                  <c:v>Relé Auxiliar SCHRACK RT424730 10 A/250 V</c:v>
                </c:pt>
                <c:pt idx="33">
                  <c:v>Acoplamento Elástico AE/AG-82</c:v>
                </c:pt>
                <c:pt idx="34">
                  <c:v>Protetor DPS EMBRATEC 275 V 20 kA</c:v>
                </c:pt>
                <c:pt idx="35">
                  <c:v>Correia Perfil em “V” BX73</c:v>
                </c:pt>
                <c:pt idx="36">
                  <c:v>Correia Perfil em “V” BX41</c:v>
                </c:pt>
                <c:pt idx="37">
                  <c:v>Correia Perfil em “V” BX42</c:v>
                </c:pt>
                <c:pt idx="38">
                  <c:v>Correia Perfil em “V” BX50</c:v>
                </c:pt>
                <c:pt idx="39">
                  <c:v>Contator SIEMENS 3TF41</c:v>
                </c:pt>
                <c:pt idx="40">
                  <c:v>Correia Perfil em “V” A85</c:v>
                </c:pt>
                <c:pt idx="41">
                  <c:v>Temporizador JNG JK9261-B</c:v>
                </c:pt>
                <c:pt idx="42">
                  <c:v>Correia Perfil em “V” A92</c:v>
                </c:pt>
                <c:pt idx="43">
                  <c:v>Protetor DPS CLAMPER VCL SLIM 460V 45 kA</c:v>
                </c:pt>
                <c:pt idx="44">
                  <c:v>Correia Perfil em “V” BX52</c:v>
                </c:pt>
                <c:pt idx="45">
                  <c:v>Correia Perfil em “V” BX51</c:v>
                </c:pt>
                <c:pt idx="46">
                  <c:v>Correia Perfil em “V” BX39</c:v>
                </c:pt>
                <c:pt idx="47">
                  <c:v>Rolamento SKF 6204-ZZ</c:v>
                </c:pt>
                <c:pt idx="48">
                  <c:v>Retentor 50 x 70 x 10 - 5269 - 00946 BR</c:v>
                </c:pt>
              </c:strCache>
            </c:strRef>
          </c:cat>
          <c:val>
            <c:numRef>
              <c:f>'ANEXO XV_CURVA ABC-PEÇAS'!$H$3:$H$51</c:f>
              <c:numCache>
                <c:formatCode>_("R$"* #,##0.00_);_("R$"* \(#,##0.00\);_("R$"* "-"??_);_(@_)</c:formatCode>
                <c:ptCount val="49"/>
                <c:pt idx="0">
                  <c:v>12691.827701249998</c:v>
                </c:pt>
                <c:pt idx="1">
                  <c:v>12104.370999999999</c:v>
                </c:pt>
                <c:pt idx="2">
                  <c:v>8298.0419999999995</c:v>
                </c:pt>
                <c:pt idx="3">
                  <c:v>6501.5440567000005</c:v>
                </c:pt>
                <c:pt idx="4">
                  <c:v>6343.0306482000005</c:v>
                </c:pt>
                <c:pt idx="5">
                  <c:v>4750.650185090909</c:v>
                </c:pt>
                <c:pt idx="6">
                  <c:v>4103.577593</c:v>
                </c:pt>
                <c:pt idx="7">
                  <c:v>2798.2790637499998</c:v>
                </c:pt>
                <c:pt idx="8">
                  <c:v>2017.9357224999999</c:v>
                </c:pt>
                <c:pt idx="9">
                  <c:v>2012.5482088461542</c:v>
                </c:pt>
                <c:pt idx="10">
                  <c:v>1374.6202252500002</c:v>
                </c:pt>
                <c:pt idx="11">
                  <c:v>947.62170960000003</c:v>
                </c:pt>
                <c:pt idx="12">
                  <c:v>770.03626739999993</c:v>
                </c:pt>
                <c:pt idx="13">
                  <c:v>717.47465799999998</c:v>
                </c:pt>
                <c:pt idx="14">
                  <c:v>625.37210333333337</c:v>
                </c:pt>
                <c:pt idx="15">
                  <c:v>539.49512000000004</c:v>
                </c:pt>
                <c:pt idx="16">
                  <c:v>519.32116833333339</c:v>
                </c:pt>
                <c:pt idx="17">
                  <c:v>519.18653933333337</c:v>
                </c:pt>
                <c:pt idx="18">
                  <c:v>427.71225333333336</c:v>
                </c:pt>
                <c:pt idx="19">
                  <c:v>414.01110080000007</c:v>
                </c:pt>
                <c:pt idx="20">
                  <c:v>382.05262400000004</c:v>
                </c:pt>
                <c:pt idx="21">
                  <c:v>345.14795933333335</c:v>
                </c:pt>
                <c:pt idx="22">
                  <c:v>343.97464719999994</c:v>
                </c:pt>
                <c:pt idx="23">
                  <c:v>282.85144933333333</c:v>
                </c:pt>
                <c:pt idx="24">
                  <c:v>277.89465433333339</c:v>
                </c:pt>
                <c:pt idx="25">
                  <c:v>217.11374049999998</c:v>
                </c:pt>
                <c:pt idx="26">
                  <c:v>214.19779874999995</c:v>
                </c:pt>
                <c:pt idx="27">
                  <c:v>211.220662</c:v>
                </c:pt>
                <c:pt idx="28">
                  <c:v>196.45063680000001</c:v>
                </c:pt>
                <c:pt idx="29">
                  <c:v>187.45252400000004</c:v>
                </c:pt>
                <c:pt idx="30">
                  <c:v>181.07192533333335</c:v>
                </c:pt>
                <c:pt idx="31">
                  <c:v>180.04384933333336</c:v>
                </c:pt>
                <c:pt idx="32">
                  <c:v>175.46809519999999</c:v>
                </c:pt>
                <c:pt idx="33">
                  <c:v>168.1434616666667</c:v>
                </c:pt>
                <c:pt idx="34">
                  <c:v>166.41193457142856</c:v>
                </c:pt>
                <c:pt idx="35">
                  <c:v>162.01988200000002</c:v>
                </c:pt>
                <c:pt idx="36">
                  <c:v>156.98557333333332</c:v>
                </c:pt>
                <c:pt idx="37">
                  <c:v>152.07365466666667</c:v>
                </c:pt>
                <c:pt idx="38">
                  <c:v>131.14496466666668</c:v>
                </c:pt>
                <c:pt idx="39">
                  <c:v>117.40872700000001</c:v>
                </c:pt>
                <c:pt idx="40">
                  <c:v>106.98109900000001</c:v>
                </c:pt>
                <c:pt idx="41">
                  <c:v>106.89134633333332</c:v>
                </c:pt>
                <c:pt idx="42">
                  <c:v>97.577467333333345</c:v>
                </c:pt>
                <c:pt idx="43">
                  <c:v>96.059831333333335</c:v>
                </c:pt>
                <c:pt idx="44">
                  <c:v>75.363682333333344</c:v>
                </c:pt>
                <c:pt idx="45">
                  <c:v>72.597668333333331</c:v>
                </c:pt>
                <c:pt idx="46">
                  <c:v>71.871487666666667</c:v>
                </c:pt>
                <c:pt idx="47">
                  <c:v>59.567212999999995</c:v>
                </c:pt>
                <c:pt idx="48">
                  <c:v>46.381730333333337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39-470B-AEA0-650215AC6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6208512"/>
        <c:axId val="396223072"/>
      </c:barChart>
      <c:lineChart>
        <c:grouping val="standard"/>
        <c:varyColors val="0"/>
        <c:ser>
          <c:idx val="1"/>
          <c:order val="1"/>
          <c:tx>
            <c:strRef>
              <c:f>'ANEXO XV_CURVA ABC-PEÇAS'!$J$2</c:f>
              <c:strCache>
                <c:ptCount val="1"/>
                <c:pt idx="0">
                  <c:v>% ACUMULADA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'ANEXO XV_CURVA ABC-PEÇAS'!$B$3:$B$51</c:f>
              <c:strCache>
                <c:ptCount val="49"/>
                <c:pt idx="0">
                  <c:v>Inversor de Frequência SIEMENS SINAMICS V20 p/ motor 30 cv</c:v>
                </c:pt>
                <c:pt idx="1">
                  <c:v>Gerenciadora Sistema Talent SCS Tcom-Tmaneger</c:v>
                </c:pt>
                <c:pt idx="2">
                  <c:v>Controladora Sistema Talent SCS Tcontrol 1107</c:v>
                </c:pt>
                <c:pt idx="3">
                  <c:v>Manta Filtrante em fibra sintética – mínimo classe M5</c:v>
                </c:pt>
                <c:pt idx="4">
                  <c:v>Inversor de Frequência WEG CFW 500 p/ motor 5,0 cv</c:v>
                </c:pt>
                <c:pt idx="5">
                  <c:v>Inversor de Frequência SIEMENS SINAMICS V20 p/ motor 4,0 cv</c:v>
                </c:pt>
                <c:pt idx="6">
                  <c:v>Atuador Proporcional BELIMO ARB24-SR 20 N.m 24 VAC/DC</c:v>
                </c:pt>
                <c:pt idx="7">
                  <c:v>Soft Start SIMIENS SIRIUS 3RW4027, 17 a 32 A.</c:v>
                </c:pt>
                <c:pt idx="8">
                  <c:v>Válvula Solenóide 2/2 Vias N. Fechada 3/4 220 V</c:v>
                </c:pt>
                <c:pt idx="9">
                  <c:v>Soft Start SIMIENS SIRIUS 3RW4024, 5 a 12,5 A.</c:v>
                </c:pt>
                <c:pt idx="10">
                  <c:v>Difusor de Ar quadrado 4 vias c/ registro simples T4 (ref. TROX)</c:v>
                </c:pt>
                <c:pt idx="11">
                  <c:v>Relé FF Trifásico SIMIENS 3UG07</c:v>
                </c:pt>
                <c:pt idx="12">
                  <c:v>Caixa Plenum p/ difusor quadrado T4 c/ bocal 200 mm (8 pol)</c:v>
                </c:pt>
                <c:pt idx="13">
                  <c:v>Selo Mecânico T21 1.3/4" BUNA</c:v>
                </c:pt>
                <c:pt idx="14">
                  <c:v>Relé Térmico de Sobrecarga SIEMENS 3US50</c:v>
                </c:pt>
                <c:pt idx="15">
                  <c:v>Rolamento SKF 6308 C3</c:v>
                </c:pt>
                <c:pt idx="16">
                  <c:v>Rolamento SKF 6206-ZZ</c:v>
                </c:pt>
                <c:pt idx="17">
                  <c:v>Rolamento SKF 6310 C3</c:v>
                </c:pt>
                <c:pt idx="18">
                  <c:v>Rolamento SKF 6207-ZZ</c:v>
                </c:pt>
                <c:pt idx="19">
                  <c:v>Contator SIEMENS 3TS29</c:v>
                </c:pt>
                <c:pt idx="20">
                  <c:v>Acoplamento Elástico AE/AG-112</c:v>
                </c:pt>
                <c:pt idx="21">
                  <c:v>Relé Térmico de Sobrecarga SIEMENS 3UA50</c:v>
                </c:pt>
                <c:pt idx="22">
                  <c:v>Duto Flexível Aluminizado c/ isolamento 200 mm (8 pol) rolo c/ 6 m</c:v>
                </c:pt>
                <c:pt idx="23">
                  <c:v>Correia Perfil em “V” BX46</c:v>
                </c:pt>
                <c:pt idx="24">
                  <c:v>Acoplamento Elástico AE/AG-97</c:v>
                </c:pt>
                <c:pt idx="25">
                  <c:v>Contator SIEMENS 3TS30</c:v>
                </c:pt>
                <c:pt idx="26">
                  <c:v>Colarinho para Duto Flexível c/ Registro - 200 mm (8 pol)</c:v>
                </c:pt>
                <c:pt idx="27">
                  <c:v>Programador Horário COEL BWT40HR</c:v>
                </c:pt>
                <c:pt idx="28">
                  <c:v>Relé FF Trifásico ALTRONIC 220/380 V</c:v>
                </c:pt>
                <c:pt idx="29">
                  <c:v>Rolamento SKF 6205-ZZ</c:v>
                </c:pt>
                <c:pt idx="30">
                  <c:v>Relé Térmico de Sobrecarga SIEMENS 3US55</c:v>
                </c:pt>
                <c:pt idx="31">
                  <c:v>Retentor 40 x 55 x 8 - 02391 - 01707 BRG</c:v>
                </c:pt>
                <c:pt idx="32">
                  <c:v>Relé Auxiliar SCHRACK RT424730 10 A/250 V</c:v>
                </c:pt>
                <c:pt idx="33">
                  <c:v>Acoplamento Elástico AE/AG-82</c:v>
                </c:pt>
                <c:pt idx="34">
                  <c:v>Protetor DPS EMBRATEC 275 V 20 kA</c:v>
                </c:pt>
                <c:pt idx="35">
                  <c:v>Correia Perfil em “V” BX73</c:v>
                </c:pt>
                <c:pt idx="36">
                  <c:v>Correia Perfil em “V” BX41</c:v>
                </c:pt>
                <c:pt idx="37">
                  <c:v>Correia Perfil em “V” BX42</c:v>
                </c:pt>
                <c:pt idx="38">
                  <c:v>Correia Perfil em “V” BX50</c:v>
                </c:pt>
                <c:pt idx="39">
                  <c:v>Contator SIEMENS 3TF41</c:v>
                </c:pt>
                <c:pt idx="40">
                  <c:v>Correia Perfil em “V” A85</c:v>
                </c:pt>
                <c:pt idx="41">
                  <c:v>Temporizador JNG JK9261-B</c:v>
                </c:pt>
                <c:pt idx="42">
                  <c:v>Correia Perfil em “V” A92</c:v>
                </c:pt>
                <c:pt idx="43">
                  <c:v>Protetor DPS CLAMPER VCL SLIM 460V 45 kA</c:v>
                </c:pt>
                <c:pt idx="44">
                  <c:v>Correia Perfil em “V” BX52</c:v>
                </c:pt>
                <c:pt idx="45">
                  <c:v>Correia Perfil em “V” BX51</c:v>
                </c:pt>
                <c:pt idx="46">
                  <c:v>Correia Perfil em “V” BX39</c:v>
                </c:pt>
                <c:pt idx="47">
                  <c:v>Rolamento SKF 6204-ZZ</c:v>
                </c:pt>
                <c:pt idx="48">
                  <c:v>Retentor 50 x 70 x 10 - 5269 - 00946 BR</c:v>
                </c:pt>
              </c:strCache>
            </c:strRef>
          </c:cat>
          <c:val>
            <c:numRef>
              <c:f>'ANEXO XV_CURVA ABC-PEÇAS'!$J$3:$J$51</c:f>
              <c:numCache>
                <c:formatCode>0.0%</c:formatCode>
                <c:ptCount val="49"/>
                <c:pt idx="0">
                  <c:v>0.17277412286430044</c:v>
                </c:pt>
                <c:pt idx="1">
                  <c:v>0.33755118504763781</c:v>
                </c:pt>
                <c:pt idx="2">
                  <c:v>0.4505126088699864</c:v>
                </c:pt>
                <c:pt idx="3">
                  <c:v>0.53901826763726668</c:v>
                </c:pt>
                <c:pt idx="4">
                  <c:v>0.6253660799729317</c:v>
                </c:pt>
                <c:pt idx="5">
                  <c:v>0.69003678289173753</c:v>
                </c:pt>
                <c:pt idx="6">
                  <c:v>0.74589887272820332</c:v>
                </c:pt>
                <c:pt idx="7">
                  <c:v>0.78399190567422461</c:v>
                </c:pt>
                <c:pt idx="8">
                  <c:v>0.81146210796960705</c:v>
                </c:pt>
                <c:pt idx="9">
                  <c:v>0.83885896992600339</c:v>
                </c:pt>
                <c:pt idx="10">
                  <c:v>0.85757170455174248</c:v>
                </c:pt>
                <c:pt idx="11">
                  <c:v>0.87047169922053114</c:v>
                </c:pt>
                <c:pt idx="12">
                  <c:v>0.8809542194536597</c:v>
                </c:pt>
                <c:pt idx="13">
                  <c:v>0.89072121737005161</c:v>
                </c:pt>
                <c:pt idx="14">
                  <c:v>0.89923442123324127</c:v>
                </c:pt>
                <c:pt idx="15">
                  <c:v>0.90657857987939039</c:v>
                </c:pt>
                <c:pt idx="16">
                  <c:v>0.91364811008856728</c:v>
                </c:pt>
                <c:pt idx="17">
                  <c:v>0.92071580759027805</c:v>
                </c:pt>
                <c:pt idx="18">
                  <c:v>0.92653826367362857</c:v>
                </c:pt>
                <c:pt idx="19">
                  <c:v>0.9321742056735155</c:v>
                </c:pt>
                <c:pt idx="20">
                  <c:v>0.93737509624289372</c:v>
                </c:pt>
                <c:pt idx="21">
                  <c:v>0.94207360282018893</c:v>
                </c:pt>
                <c:pt idx="22">
                  <c:v>0.94675613707423367</c:v>
                </c:pt>
                <c:pt idx="23">
                  <c:v>0.95060659992401297</c:v>
                </c:pt>
                <c:pt idx="24">
                  <c:v>0.95438958581708422</c:v>
                </c:pt>
                <c:pt idx="25">
                  <c:v>0.95734515982578117</c:v>
                </c:pt>
                <c:pt idx="26">
                  <c:v>0.96026103905685911</c:v>
                </c:pt>
                <c:pt idx="27">
                  <c:v>0.96313639046146982</c:v>
                </c:pt>
                <c:pt idx="28">
                  <c:v>0.96581067719606761</c:v>
                </c:pt>
                <c:pt idx="29">
                  <c:v>0.96836247242801909</c:v>
                </c:pt>
                <c:pt idx="30">
                  <c:v>0.97082740843339332</c:v>
                </c:pt>
                <c:pt idx="31">
                  <c:v>0.97327834921811696</c:v>
                </c:pt>
                <c:pt idx="32">
                  <c:v>0.97566700016362762</c:v>
                </c:pt>
                <c:pt idx="33">
                  <c:v>0.97795594071566205</c:v>
                </c:pt>
                <c:pt idx="34">
                  <c:v>0.98022130995219037</c:v>
                </c:pt>
                <c:pt idx="35">
                  <c:v>0.98242689008281026</c:v>
                </c:pt>
                <c:pt idx="36">
                  <c:v>0.98456393806151432</c:v>
                </c:pt>
                <c:pt idx="37">
                  <c:v>0.98663411998599904</c:v>
                </c:pt>
                <c:pt idx="38">
                  <c:v>0.98841939920438315</c:v>
                </c:pt>
                <c:pt idx="39">
                  <c:v>0.99001768672463064</c:v>
                </c:pt>
                <c:pt idx="40">
                  <c:v>0.99147402272113672</c:v>
                </c:pt>
                <c:pt idx="41">
                  <c:v>0.99292913691266538</c:v>
                </c:pt>
                <c:pt idx="42">
                  <c:v>0.99425746106949087</c:v>
                </c:pt>
                <c:pt idx="43">
                  <c:v>0.99556512561487975</c:v>
                </c:pt>
                <c:pt idx="44">
                  <c:v>0.99659105303979134</c:v>
                </c:pt>
                <c:pt idx="45">
                  <c:v>0.99757932665676219</c:v>
                </c:pt>
                <c:pt idx="46">
                  <c:v>0.99855771476073385</c:v>
                </c:pt>
                <c:pt idx="47">
                  <c:v>0.99936860450961784</c:v>
                </c:pt>
                <c:pt idx="48">
                  <c:v>0.99999999999999944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39-470B-AEA0-650215AC6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6218496"/>
        <c:axId val="396220160"/>
      </c:lineChart>
      <c:catAx>
        <c:axId val="396208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6223072"/>
        <c:crosses val="autoZero"/>
        <c:auto val="1"/>
        <c:lblAlgn val="ctr"/>
        <c:lblOffset val="100"/>
        <c:noMultiLvlLbl val="0"/>
      </c:catAx>
      <c:valAx>
        <c:axId val="396223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6208512"/>
        <c:crosses val="autoZero"/>
        <c:crossBetween val="between"/>
      </c:valAx>
      <c:valAx>
        <c:axId val="39622016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6218496"/>
        <c:crosses val="max"/>
        <c:crossBetween val="between"/>
      </c:valAx>
      <c:catAx>
        <c:axId val="396218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962201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7</xdr:row>
      <xdr:rowOff>95250</xdr:rowOff>
    </xdr:from>
    <xdr:to>
      <xdr:col>3</xdr:col>
      <xdr:colOff>1352551</xdr:colOff>
      <xdr:row>30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8820A0F-9542-4EA6-9547-715FB53B24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161924</xdr:colOff>
      <xdr:row>4</xdr:row>
      <xdr:rowOff>61911</xdr:rowOff>
    </xdr:from>
    <xdr:to>
      <xdr:col>25</xdr:col>
      <xdr:colOff>495299</xdr:colOff>
      <xdr:row>49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A782078-F5EC-45C5-B354-E03F076BD1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ilberto de Oliveira Maximo" id="{ACC591E5-41B5-4774-B892-F50911B3CB29}" userId="S::gilberto.maximo@cgu.gov.br::54361949-fca1-499d-979f-9a9df253716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6" dT="2020-07-22T21:03:40.58" personId="{ACC591E5-41B5-4774-B892-F50911B3CB29}" id="{AF95AECE-2EED-4188-99D4-463106269C41}">
    <text>Esses percentuais de 13º e Férias foram definidos para coincidirem com os valores que serão recolhidos mensalmente para a Conta Vinculada</text>
  </threadedComment>
  <threadedComment ref="D41" dT="2020-07-22T21:02:39.01" personId="{ACC591E5-41B5-4774-B892-F50911B3CB29}" id="{A7FD09B3-6A05-4CF8-AC26-863AEC5F04DA}">
    <text>Com exceção do item C (SAT) que varia de empresa para empresa,  todos os percentuais do  Submódulo 2.2 são fixos, definidos em lei.</text>
  </threadedComment>
  <threadedComment ref="A65" dT="2020-07-22T21:00:46.94" personId="{ACC591E5-41B5-4774-B892-F50911B3CB29}" id="{A8BE5155-449A-4212-9535-940C75ED9DA7}">
    <text>Todo este módulo é de preenchimento discricionário da empresa. Para efeitos de estimativa, foram utilizados os valores que costumam ser cotados nas planilhas de serviços com mão-de-obra na CGU.</text>
  </threadedComment>
  <threadedComment ref="C69" dT="2020-07-22T20:59:09.90" personId="{ACC591E5-41B5-4774-B892-F50911B3CB29}" id="{56F30700-E1BE-4034-A379-1A388B65F01D}">
    <text>Valor estimado pela empresa. A soma dos percentuais das Multas do FGTS sobre o API e sobre o APT deve resultar em 4% (valor a ser recolhido mensalmente pela Conta Vinculada)</text>
  </threadedComment>
  <threadedComment ref="C72" dT="2020-07-22T20:59:51.91" personId="{ACC591E5-41B5-4774-B892-F50911B3CB29}" id="{D1F925BF-06DF-473E-9BDF-2F9FB57D1F26}">
    <text>Valor estimado pela empresa. A soma dos percentuais das Multas do FGTS sobre o API e sobre o APT deve resultar em 4% (valor a ser recolhido mensalmente pela Conta Vinculada)</text>
  </threadedComment>
  <threadedComment ref="A75" dT="2020-07-22T21:08:38.94" personId="{ACC591E5-41B5-4774-B892-F50911B3CB29}" id="{86947629-5FF3-4D4E-885C-006274081D6E}">
    <text>Módulo de preenchimento discricionário da licitante. Percentuais estimados conforme a média aplicada no DF</text>
  </threadedComment>
  <threadedComment ref="A91" dT="2020-07-24T18:48:31.66" personId="{ACC591E5-41B5-4774-B892-F50911B3CB29}" id="{C006BA80-8FFC-4B73-A4D3-5F43F3E00BFB}">
    <text>Cotações feitas pela área técnica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35" dT="2020-07-22T21:03:40.58" personId="{ACC591E5-41B5-4774-B892-F50911B3CB29}" id="{93645C17-951F-4693-9E83-56DA53FAC0D0}">
    <text>Esses percentuais de 13º e Férias foram definidos para coincidirem com os valores que serão recolhidos mensalmente para a Conta Vinculada</text>
  </threadedComment>
  <threadedComment ref="D40" dT="2020-07-22T21:02:39.01" personId="{ACC591E5-41B5-4774-B892-F50911B3CB29}" id="{67C06FC1-610B-4356-929F-42BA4BFFE1D5}">
    <text>Com exceção do item C (SAT) que varia de empresa para empresa,  todos os percentuais do  Submódulo 2.2 são fixos, definidos em lei.</text>
  </threadedComment>
  <threadedComment ref="A64" dT="2020-07-22T21:00:46.94" personId="{ACC591E5-41B5-4774-B892-F50911B3CB29}" id="{2075FEA9-116B-4AAA-9528-1ECD9CA65297}">
    <text>Todo este módulo é de preenchimento discricionário da empresa. Para efeitos de estimativa, foram utilizados os valores que costumam ser cotados nas planilhas de serviços com mão-de-obra na CGU.</text>
  </threadedComment>
  <threadedComment ref="C68" dT="2020-07-22T20:59:09.90" personId="{ACC591E5-41B5-4774-B892-F50911B3CB29}" id="{878962F0-231B-4DA0-9EC6-97E3F09B605B}">
    <text>Valor estimado pela empresa. A soma dos percentuais das Multas do FGTS sobre o API e sobre o APT deve resultar em 4% (valor a ser recolhido mensalmente pela Conta Vinculada)</text>
  </threadedComment>
  <threadedComment ref="C71" dT="2020-07-22T20:59:51.91" personId="{ACC591E5-41B5-4774-B892-F50911B3CB29}" id="{AC84162B-03F0-4B7E-AC7F-0387397EEFEA}">
    <text>Valor estimado pela empresa. A soma dos percentuais das Multas do FGTS sobre o API e sobre o APT deve resultar em 4% (valor a ser recolhido mensalmente pela Conta Vinculada)</text>
  </threadedComment>
  <threadedComment ref="A74" dT="2020-07-22T21:08:38.94" personId="{ACC591E5-41B5-4774-B892-F50911B3CB29}" id="{C051B038-2F6C-454E-8BD2-E814341E745F}">
    <text>Módulo de preenchimento discricionário da licitante. Percentuais estimados conforme a média aplicada no DF</text>
  </threadedComment>
  <threadedComment ref="A90" dT="2020-07-24T18:48:31.66" personId="{ACC591E5-41B5-4774-B892-F50911B3CB29}" id="{E383EBFE-377A-4A92-A07C-589083AB4BEC}">
    <text>Cotações feitas pela área técnica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36" dT="2020-07-22T21:03:40.58" personId="{ACC591E5-41B5-4774-B892-F50911B3CB29}" id="{754D7DBA-C363-4466-8216-B0C45D3CE7AA}">
    <text>Esses percentuais de 13º e Férias foram definidos para coincidirem com os valores que serão recolhidos mensalmente para a Conta Vinculada</text>
  </threadedComment>
  <threadedComment ref="D41" dT="2020-07-22T21:02:39.01" personId="{ACC591E5-41B5-4774-B892-F50911B3CB29}" id="{4E262C1F-A08E-4689-9F3D-1B94B47E0994}">
    <text>Com exceção do item C (SAT) que varia de empresa para empresa,  todos os percentuais do  Submódulo 2.2 são fixos, definidos em lei.</text>
  </threadedComment>
  <threadedComment ref="A65" dT="2020-07-22T21:00:46.94" personId="{ACC591E5-41B5-4774-B892-F50911B3CB29}" id="{E293ACB2-A2FE-4A89-BA50-E5081059FD91}">
    <text>Todo este módulo é de preenchimento discricionário da empresa. Para efeitos de estimativa, foram utilizados os valores que costumam ser cotados nas planilhas de serviços com mão-de-obra na CGU.</text>
  </threadedComment>
  <threadedComment ref="C69" dT="2020-07-22T20:59:09.90" personId="{ACC591E5-41B5-4774-B892-F50911B3CB29}" id="{43BC7A25-C26A-44DC-8C7B-F05C96836C2D}">
    <text>Valor estimado pela empresa. A soma dos percentuais das Multas do FGTS sobre o API e sobre o APT deve resultar em 4% (valor a ser recolhido mensalmente pela Conta Vinculada)</text>
  </threadedComment>
  <threadedComment ref="C72" dT="2020-07-22T20:59:51.91" personId="{ACC591E5-41B5-4774-B892-F50911B3CB29}" id="{580109E0-FB0C-4A5F-AC64-28F3B32F7C18}">
    <text>Valor estimado pela empresa. A soma dos percentuais das Multas do FGTS sobre o API e sobre o APT deve resultar em 4% (valor a ser recolhido mensalmente pela Conta Vinculada)</text>
  </threadedComment>
  <threadedComment ref="A75" dT="2020-07-22T21:08:38.94" personId="{ACC591E5-41B5-4774-B892-F50911B3CB29}" id="{87C01732-0E65-49D9-84C1-ACB2C7212D52}">
    <text>Módulo de preenchimento discricionário da licitante. Percentuais estimados conforme a média aplicada no DF</text>
  </threadedComment>
  <threadedComment ref="A91" dT="2020-07-24T18:48:31.66" personId="{ACC591E5-41B5-4774-B892-F50911B3CB29}" id="{312BF96E-1207-4310-9BF3-59F5511DE6BD}">
    <text>Cotações feitas pela área técnica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A36" dT="2020-07-22T21:03:40.58" personId="{ACC591E5-41B5-4774-B892-F50911B3CB29}" id="{876F4878-3C6B-4AC5-9EDB-DF4E1789A10F}">
    <text>Esses percentuais de 13º e Férias foram definidos para coincidirem com os valores que serão recolhidos mensalmente para a Conta Vinculada</text>
  </threadedComment>
  <threadedComment ref="D41" dT="2020-07-22T21:02:39.01" personId="{ACC591E5-41B5-4774-B892-F50911B3CB29}" id="{3A25056D-B0E6-460E-8C38-A63FE8735C7B}">
    <text>Com exceção do item C (SAT) que varia de empresa para empresa,  todos os percentuais do  Submódulo 2.2 são fixos, definidos em lei.</text>
  </threadedComment>
  <threadedComment ref="A65" dT="2020-07-22T21:00:46.94" personId="{ACC591E5-41B5-4774-B892-F50911B3CB29}" id="{830F1E93-5B6E-408C-9A1C-453B31430BAE}">
    <text>Todo este módulo é de preenchimento discricionário da empresa. Para efeitos de estimativa, foram utilizados os valores que costumam ser cotados nas planilhas de serviços com mão-de-obra na CGU.</text>
  </threadedComment>
  <threadedComment ref="C69" dT="2020-07-22T20:59:09.90" personId="{ACC591E5-41B5-4774-B892-F50911B3CB29}" id="{10CBFC18-86E8-48C8-A614-B9EFF72BD139}">
    <text>Valor estimado pela empresa. A soma dos percentuais das Multas do FGTS sobre o API e sobre o APT deve resultar em 4% (valor a ser recolhido mensalmente pela Conta Vinculada)</text>
  </threadedComment>
  <threadedComment ref="C72" dT="2020-07-22T20:59:51.91" personId="{ACC591E5-41B5-4774-B892-F50911B3CB29}" id="{F9B8778E-A89B-4BA3-9AA3-1AA7E2DF5B25}">
    <text>Valor estimado pela empresa. A soma dos percentuais das Multas do FGTS sobre o API e sobre o APT deve resultar em 4% (valor a ser recolhido mensalmente pela Conta Vinculada)</text>
  </threadedComment>
  <threadedComment ref="A75" dT="2020-07-22T21:08:38.94" personId="{ACC591E5-41B5-4774-B892-F50911B3CB29}" id="{10528661-F1C1-4037-8277-EBF8E64AE656}">
    <text>Módulo de preenchimento discricionário da licitante. Percentuais estimados conforme a média aplicada no DF</text>
  </threadedComment>
  <threadedComment ref="A91" dT="2020-07-24T18:48:31.66" personId="{ACC591E5-41B5-4774-B892-F50911B3CB29}" id="{520A0ADF-E152-4F77-8576-E7927471F9EC}">
    <text>Cotações feitas pela área técnica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Relationship Id="rId4" Type="http://schemas.microsoft.com/office/2017/10/relationships/threadedComment" Target="../threadedComments/threadedComment4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EF571-F582-4DF9-9947-B3A6891F85FB}">
  <sheetPr>
    <tabColor theme="8" tint="-0.499984740745262"/>
    <pageSetUpPr fitToPage="1"/>
  </sheetPr>
  <dimension ref="A1:E45"/>
  <sheetViews>
    <sheetView showGridLines="0" tabSelected="1" zoomScaleNormal="100" workbookViewId="0">
      <selection activeCell="E24" sqref="E24:E30"/>
    </sheetView>
  </sheetViews>
  <sheetFormatPr defaultColWidth="9.140625" defaultRowHeight="14.25" x14ac:dyDescent="0.2"/>
  <cols>
    <col min="1" max="1" width="82.42578125" style="24" customWidth="1"/>
    <col min="2" max="2" width="16.42578125" style="24" bestFit="1" customWidth="1"/>
    <col min="3" max="3" width="14.7109375" style="24" bestFit="1" customWidth="1"/>
    <col min="4" max="4" width="19.42578125" style="21" customWidth="1"/>
    <col min="5" max="5" width="15.42578125" style="13" bestFit="1" customWidth="1"/>
    <col min="6" max="16384" width="9.140625" style="13"/>
  </cols>
  <sheetData>
    <row r="1" spans="1:5" ht="18" x14ac:dyDescent="0.2">
      <c r="A1" s="229" t="s">
        <v>444</v>
      </c>
      <c r="B1" s="229"/>
      <c r="C1" s="229"/>
      <c r="D1" s="229"/>
    </row>
    <row r="2" spans="1:5" ht="15.75" x14ac:dyDescent="0.2">
      <c r="A2" s="230" t="s">
        <v>0</v>
      </c>
      <c r="B2" s="230"/>
      <c r="C2" s="230"/>
      <c r="D2" s="230"/>
    </row>
    <row r="3" spans="1:5" ht="15" x14ac:dyDescent="0.2">
      <c r="A3" s="231" t="s">
        <v>1</v>
      </c>
      <c r="B3" s="232"/>
      <c r="C3" s="232"/>
      <c r="D3" s="233"/>
    </row>
    <row r="4" spans="1:5" ht="25.5" x14ac:dyDescent="0.2">
      <c r="A4" s="152"/>
      <c r="B4" s="153" t="s">
        <v>2</v>
      </c>
      <c r="C4" s="153" t="s">
        <v>3</v>
      </c>
      <c r="D4" s="154" t="s">
        <v>4</v>
      </c>
    </row>
    <row r="5" spans="1:5" x14ac:dyDescent="0.2">
      <c r="A5" s="146" t="s">
        <v>460</v>
      </c>
      <c r="B5" s="155">
        <f>'ANEXO X_TÉC. REGRIGERAÇÃO'!D120</f>
        <v>10757.823740477583</v>
      </c>
      <c r="C5" s="147">
        <v>2</v>
      </c>
      <c r="D5" s="155">
        <f>ROUND(B5*C5,2)</f>
        <v>21515.65</v>
      </c>
      <c r="E5" s="14"/>
    </row>
    <row r="6" spans="1:5" x14ac:dyDescent="0.2">
      <c r="A6" s="146" t="s">
        <v>5</v>
      </c>
      <c r="B6" s="146"/>
      <c r="C6" s="146"/>
      <c r="D6" s="155">
        <f>ROUND('ANEXO VII_SERVIÇOS_ESPECIALIZAD'!G6,2)</f>
        <v>11806.49</v>
      </c>
      <c r="E6" s="14"/>
    </row>
    <row r="7" spans="1:5" x14ac:dyDescent="0.2">
      <c r="A7" s="222" t="s">
        <v>6</v>
      </c>
      <c r="B7" s="223"/>
      <c r="C7" s="224"/>
      <c r="D7" s="156">
        <f>SUM(D5:D6)</f>
        <v>33322.14</v>
      </c>
    </row>
    <row r="8" spans="1:5" ht="15" x14ac:dyDescent="0.25">
      <c r="A8"/>
      <c r="B8"/>
      <c r="C8"/>
      <c r="D8"/>
    </row>
    <row r="9" spans="1:5" ht="15.75" customHeight="1" x14ac:dyDescent="0.2">
      <c r="A9" s="230" t="s">
        <v>455</v>
      </c>
      <c r="B9" s="230"/>
      <c r="C9" s="230"/>
      <c r="D9" s="230"/>
    </row>
    <row r="10" spans="1:5" ht="15" x14ac:dyDescent="0.2">
      <c r="A10" s="231" t="s">
        <v>7</v>
      </c>
      <c r="B10" s="232"/>
      <c r="C10" s="232"/>
      <c r="D10" s="233"/>
    </row>
    <row r="11" spans="1:5" ht="25.5" x14ac:dyDescent="0.2">
      <c r="A11" s="225" t="s">
        <v>8</v>
      </c>
      <c r="B11" s="226"/>
      <c r="C11" s="148" t="s">
        <v>9</v>
      </c>
      <c r="D11" s="149" t="s">
        <v>10</v>
      </c>
    </row>
    <row r="12" spans="1:5" x14ac:dyDescent="0.2">
      <c r="A12" s="227"/>
      <c r="B12" s="228"/>
      <c r="C12" s="157">
        <f>'ANEXO V_MÃO_DE_OBRA '!F11</f>
        <v>144.24288267134938</v>
      </c>
      <c r="D12" s="158">
        <f>ROUND(8*C12,2)</f>
        <v>1153.94</v>
      </c>
    </row>
    <row r="13" spans="1:5" ht="25.5" x14ac:dyDescent="0.2">
      <c r="A13" s="225" t="s">
        <v>11</v>
      </c>
      <c r="B13" s="226"/>
      <c r="C13" s="148" t="s">
        <v>9</v>
      </c>
      <c r="D13" s="149" t="s">
        <v>12</v>
      </c>
    </row>
    <row r="14" spans="1:5" x14ac:dyDescent="0.2">
      <c r="A14" s="227"/>
      <c r="B14" s="228"/>
      <c r="C14" s="157">
        <f>'ANEXO V_MÃO_DE_OBRA '!F12</f>
        <v>61.123998525440811</v>
      </c>
      <c r="D14" s="158">
        <f>ROUND(48*C14,2)</f>
        <v>2933.95</v>
      </c>
    </row>
    <row r="15" spans="1:5" ht="25.5" x14ac:dyDescent="0.2">
      <c r="A15" s="225" t="s">
        <v>13</v>
      </c>
      <c r="B15" s="226"/>
      <c r="C15" s="148" t="s">
        <v>9</v>
      </c>
      <c r="D15" s="149" t="s">
        <v>12</v>
      </c>
    </row>
    <row r="16" spans="1:5" x14ac:dyDescent="0.2">
      <c r="A16" s="227"/>
      <c r="B16" s="228"/>
      <c r="C16" s="157">
        <f>'ANEXO V_MÃO_DE_OBRA '!F13</f>
        <v>47.807086878035541</v>
      </c>
      <c r="D16" s="158">
        <f>ROUND(48*C16,2)</f>
        <v>2294.7399999999998</v>
      </c>
    </row>
    <row r="17" spans="1:5" ht="25.5" x14ac:dyDescent="0.2">
      <c r="A17" s="225" t="s">
        <v>14</v>
      </c>
      <c r="B17" s="226"/>
      <c r="C17" s="148" t="s">
        <v>9</v>
      </c>
      <c r="D17" s="149" t="s">
        <v>15</v>
      </c>
    </row>
    <row r="18" spans="1:5" x14ac:dyDescent="0.2">
      <c r="A18" s="227"/>
      <c r="B18" s="228"/>
      <c r="C18" s="157">
        <f>'ANEXO V_MÃO_DE_OBRA '!F14</f>
        <v>35.458408349660935</v>
      </c>
      <c r="D18" s="158">
        <f>ROUND(32*C18,2)</f>
        <v>1134.67</v>
      </c>
    </row>
    <row r="19" spans="1:5" ht="33.75" customHeight="1" x14ac:dyDescent="0.2">
      <c r="A19" s="225" t="s">
        <v>16</v>
      </c>
      <c r="B19" s="226"/>
      <c r="C19" s="234" t="s">
        <v>17</v>
      </c>
      <c r="D19" s="234"/>
    </row>
    <row r="20" spans="1:5" ht="15" customHeight="1" x14ac:dyDescent="0.2">
      <c r="A20" s="227"/>
      <c r="B20" s="228"/>
      <c r="C20" s="150"/>
      <c r="D20" s="151">
        <f>ROUND('ANEXO VIII_PEÇAS_COMPONENTES'!H53,2)</f>
        <v>6121.59</v>
      </c>
    </row>
    <row r="21" spans="1:5" ht="14.25" customHeight="1" x14ac:dyDescent="0.2">
      <c r="A21" s="222" t="s">
        <v>6</v>
      </c>
      <c r="B21" s="223"/>
      <c r="C21" s="224"/>
      <c r="D21" s="156">
        <f>D12+D14+D16+D18+D20</f>
        <v>13638.89</v>
      </c>
    </row>
    <row r="22" spans="1:5" ht="15" customHeight="1" x14ac:dyDescent="0.2">
      <c r="A22" s="145"/>
      <c r="B22" s="145"/>
      <c r="C22" s="145"/>
      <c r="D22" s="145"/>
    </row>
    <row r="23" spans="1:5" ht="15.75" x14ac:dyDescent="0.2">
      <c r="A23" s="235" t="s">
        <v>18</v>
      </c>
      <c r="B23" s="235"/>
      <c r="C23" s="235"/>
      <c r="D23" s="235"/>
    </row>
    <row r="24" spans="1:5" ht="15" customHeight="1" x14ac:dyDescent="0.2">
      <c r="A24" s="244" t="s">
        <v>461</v>
      </c>
      <c r="B24" s="245"/>
      <c r="C24" s="246"/>
      <c r="D24" s="155">
        <f>D5</f>
        <v>21515.65</v>
      </c>
      <c r="E24" s="221"/>
    </row>
    <row r="25" spans="1:5" ht="15" customHeight="1" x14ac:dyDescent="0.2">
      <c r="A25" s="244" t="s">
        <v>448</v>
      </c>
      <c r="B25" s="245"/>
      <c r="C25" s="246"/>
      <c r="D25" s="155">
        <f>D6</f>
        <v>11806.49</v>
      </c>
      <c r="E25" s="221"/>
    </row>
    <row r="26" spans="1:5" ht="15" customHeight="1" x14ac:dyDescent="0.2">
      <c r="A26" s="236" t="s">
        <v>458</v>
      </c>
      <c r="B26" s="236"/>
      <c r="C26" s="236"/>
      <c r="D26" s="214">
        <f>D24+D25</f>
        <v>33322.14</v>
      </c>
      <c r="E26" s="221"/>
    </row>
    <row r="27" spans="1:5" ht="15" customHeight="1" x14ac:dyDescent="0.2">
      <c r="A27" s="244" t="s">
        <v>456</v>
      </c>
      <c r="B27" s="245"/>
      <c r="C27" s="246"/>
      <c r="D27" s="155">
        <f>D12+D14+D16+D18</f>
        <v>7517.2999999999993</v>
      </c>
      <c r="E27" s="221"/>
    </row>
    <row r="28" spans="1:5" ht="15" customHeight="1" x14ac:dyDescent="0.2">
      <c r="A28" s="244" t="s">
        <v>462</v>
      </c>
      <c r="B28" s="245"/>
      <c r="C28" s="246"/>
      <c r="D28" s="155">
        <f>D20</f>
        <v>6121.59</v>
      </c>
      <c r="E28" s="221"/>
    </row>
    <row r="29" spans="1:5" x14ac:dyDescent="0.2">
      <c r="A29" s="236" t="s">
        <v>457</v>
      </c>
      <c r="B29" s="236"/>
      <c r="C29" s="236" t="e">
        <f>D12+#REF!+D20</f>
        <v>#REF!</v>
      </c>
      <c r="D29" s="214">
        <f>D21</f>
        <v>13638.89</v>
      </c>
      <c r="E29" s="221"/>
    </row>
    <row r="30" spans="1:5" x14ac:dyDescent="0.2">
      <c r="A30" s="237" t="s">
        <v>459</v>
      </c>
      <c r="B30" s="237"/>
      <c r="C30" s="237"/>
      <c r="D30" s="156">
        <f>D26+D29</f>
        <v>46961.03</v>
      </c>
      <c r="E30" s="221"/>
    </row>
    <row r="31" spans="1:5" x14ac:dyDescent="0.2">
      <c r="A31" s="145"/>
      <c r="B31" s="145"/>
      <c r="C31" s="145"/>
      <c r="D31" s="145"/>
    </row>
    <row r="32" spans="1:5" ht="15.75" x14ac:dyDescent="0.2">
      <c r="A32" s="235" t="s">
        <v>19</v>
      </c>
      <c r="B32" s="235"/>
      <c r="C32" s="235"/>
      <c r="D32" s="235"/>
    </row>
    <row r="33" spans="1:5" x14ac:dyDescent="0.2">
      <c r="A33" s="244" t="s">
        <v>20</v>
      </c>
      <c r="B33" s="245"/>
      <c r="C33" s="246"/>
      <c r="D33" s="155">
        <f>('ANEXO X_TÉC. REGRIGERAÇÃO'!D102)*2</f>
        <v>1677.2425195380958</v>
      </c>
    </row>
    <row r="34" spans="1:5" x14ac:dyDescent="0.2">
      <c r="A34" s="164" t="s">
        <v>21</v>
      </c>
      <c r="B34" s="165"/>
      <c r="C34" s="166"/>
      <c r="D34" s="155">
        <f>'ANEXO XI_SUPERV. ENG. MECÂNICO'!E108+'ANEXO X_TÉC. REGRIGERAÇÃO'!E110+'ANEXO XII_TÉC. ELETRICISTA'!E111+'ANEXO XIII_AJUDANTE'!E110</f>
        <v>541.78172844453559</v>
      </c>
    </row>
    <row r="35" spans="1:5" x14ac:dyDescent="0.2">
      <c r="A35" s="247" t="s">
        <v>6</v>
      </c>
      <c r="B35" s="247"/>
      <c r="C35" s="247"/>
      <c r="D35" s="173">
        <f>D33+D34</f>
        <v>2219.0242479826316</v>
      </c>
      <c r="E35" s="174">
        <f>D35/D30</f>
        <v>4.7252461199906212E-2</v>
      </c>
    </row>
    <row r="36" spans="1:5" ht="15" customHeight="1" x14ac:dyDescent="0.2">
      <c r="A36" s="248" t="s">
        <v>465</v>
      </c>
      <c r="B36" s="249"/>
      <c r="C36" s="250"/>
      <c r="D36" s="172">
        <f>D35*12</f>
        <v>26628.290975791577</v>
      </c>
    </row>
    <row r="37" spans="1:5" ht="15" x14ac:dyDescent="0.25">
      <c r="A37"/>
      <c r="B37"/>
      <c r="C37"/>
      <c r="D37"/>
    </row>
    <row r="38" spans="1:5" ht="32.25" customHeight="1" thickBot="1" x14ac:dyDescent="0.25">
      <c r="A38" s="240" t="s">
        <v>466</v>
      </c>
      <c r="B38" s="241"/>
      <c r="C38" s="242">
        <f>12*D30</f>
        <v>563532.36</v>
      </c>
      <c r="D38" s="243"/>
    </row>
    <row r="39" spans="1:5" ht="15" customHeight="1" x14ac:dyDescent="0.25">
      <c r="A39"/>
      <c r="B39"/>
      <c r="C39" s="238" t="s">
        <v>22</v>
      </c>
      <c r="D39" s="238"/>
    </row>
    <row r="40" spans="1:5" ht="15" customHeight="1" x14ac:dyDescent="0.2">
      <c r="A40" s="13"/>
      <c r="B40" s="13"/>
      <c r="C40" s="239"/>
      <c r="D40" s="239"/>
    </row>
    <row r="41" spans="1:5" x14ac:dyDescent="0.2">
      <c r="A41" s="13"/>
      <c r="B41" s="13"/>
      <c r="C41" s="13"/>
      <c r="D41" s="13"/>
    </row>
    <row r="43" spans="1:5" x14ac:dyDescent="0.2">
      <c r="D43" s="35"/>
    </row>
    <row r="44" spans="1:5" x14ac:dyDescent="0.2">
      <c r="D44" s="35"/>
    </row>
    <row r="45" spans="1:5" x14ac:dyDescent="0.2">
      <c r="D45" s="35"/>
    </row>
  </sheetData>
  <mergeCells count="28">
    <mergeCell ref="A23:D23"/>
    <mergeCell ref="A29:C29"/>
    <mergeCell ref="A30:C30"/>
    <mergeCell ref="C39:D40"/>
    <mergeCell ref="A38:B38"/>
    <mergeCell ref="C38:D38"/>
    <mergeCell ref="A32:D32"/>
    <mergeCell ref="A33:C33"/>
    <mergeCell ref="A35:C35"/>
    <mergeCell ref="A36:C36"/>
    <mergeCell ref="A24:C24"/>
    <mergeCell ref="A25:C25"/>
    <mergeCell ref="A26:C26"/>
    <mergeCell ref="A27:C27"/>
    <mergeCell ref="A28:C28"/>
    <mergeCell ref="A1:D1"/>
    <mergeCell ref="A2:D2"/>
    <mergeCell ref="A3:D3"/>
    <mergeCell ref="A9:D9"/>
    <mergeCell ref="C19:D19"/>
    <mergeCell ref="A10:D10"/>
    <mergeCell ref="A7:C7"/>
    <mergeCell ref="A21:C21"/>
    <mergeCell ref="A11:B12"/>
    <mergeCell ref="A13:B14"/>
    <mergeCell ref="A15:B16"/>
    <mergeCell ref="A17:B18"/>
    <mergeCell ref="A19:B2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02F62-83B1-4F5A-9105-272953C89611}">
  <sheetPr>
    <tabColor theme="5" tint="0.79998168889431442"/>
    <pageSetUpPr fitToPage="1"/>
  </sheetPr>
  <dimension ref="A1:E125"/>
  <sheetViews>
    <sheetView showGridLines="0" workbookViewId="0">
      <selection activeCell="D16" sqref="D16"/>
    </sheetView>
  </sheetViews>
  <sheetFormatPr defaultColWidth="8.85546875" defaultRowHeight="14.25" x14ac:dyDescent="0.25"/>
  <cols>
    <col min="1" max="1" width="3.85546875" style="58" customWidth="1"/>
    <col min="2" max="2" width="70.7109375" style="67" customWidth="1"/>
    <col min="3" max="3" width="14.7109375" style="58" customWidth="1"/>
    <col min="4" max="4" width="23.7109375" style="136" customWidth="1"/>
    <col min="5" max="5" width="100" style="49" customWidth="1"/>
    <col min="6" max="222" width="8.85546875" style="7"/>
    <col min="223" max="223" width="1.85546875" style="7" customWidth="1"/>
    <col min="224" max="224" width="7.28515625" style="7" customWidth="1"/>
    <col min="225" max="225" width="9.85546875" style="7" customWidth="1"/>
    <col min="226" max="226" width="12.7109375" style="7" customWidth="1"/>
    <col min="227" max="227" width="11.140625" style="7" customWidth="1"/>
    <col min="228" max="228" width="10.85546875" style="7" customWidth="1"/>
    <col min="229" max="229" width="11.42578125" style="7" customWidth="1"/>
    <col min="230" max="230" width="13.42578125" style="7" customWidth="1"/>
    <col min="231" max="231" width="11.140625" style="7" customWidth="1"/>
    <col min="232" max="232" width="11.28515625" style="7" bestFit="1" customWidth="1"/>
    <col min="233" max="233" width="11.42578125" style="7" customWidth="1"/>
    <col min="234" max="234" width="8.85546875" style="7" customWidth="1"/>
    <col min="235" max="235" width="9.85546875" style="7" bestFit="1" customWidth="1"/>
    <col min="236" max="236" width="8.85546875" style="7"/>
    <col min="237" max="237" width="9.42578125" style="7" bestFit="1" customWidth="1"/>
    <col min="238" max="478" width="8.85546875" style="7"/>
    <col min="479" max="479" width="1.85546875" style="7" customWidth="1"/>
    <col min="480" max="480" width="7.28515625" style="7" customWidth="1"/>
    <col min="481" max="481" width="9.85546875" style="7" customWidth="1"/>
    <col min="482" max="482" width="12.7109375" style="7" customWidth="1"/>
    <col min="483" max="483" width="11.140625" style="7" customWidth="1"/>
    <col min="484" max="484" width="10.85546875" style="7" customWidth="1"/>
    <col min="485" max="485" width="11.42578125" style="7" customWidth="1"/>
    <col min="486" max="486" width="13.42578125" style="7" customWidth="1"/>
    <col min="487" max="487" width="11.140625" style="7" customWidth="1"/>
    <col min="488" max="488" width="11.28515625" style="7" bestFit="1" customWidth="1"/>
    <col min="489" max="489" width="11.42578125" style="7" customWidth="1"/>
    <col min="490" max="490" width="8.85546875" style="7" customWidth="1"/>
    <col min="491" max="491" width="9.85546875" style="7" bestFit="1" customWidth="1"/>
    <col min="492" max="492" width="8.85546875" style="7"/>
    <col min="493" max="493" width="9.42578125" style="7" bestFit="1" customWidth="1"/>
    <col min="494" max="734" width="8.85546875" style="7"/>
    <col min="735" max="735" width="1.85546875" style="7" customWidth="1"/>
    <col min="736" max="736" width="7.28515625" style="7" customWidth="1"/>
    <col min="737" max="737" width="9.85546875" style="7" customWidth="1"/>
    <col min="738" max="738" width="12.7109375" style="7" customWidth="1"/>
    <col min="739" max="739" width="11.140625" style="7" customWidth="1"/>
    <col min="740" max="740" width="10.85546875" style="7" customWidth="1"/>
    <col min="741" max="741" width="11.42578125" style="7" customWidth="1"/>
    <col min="742" max="742" width="13.42578125" style="7" customWidth="1"/>
    <col min="743" max="743" width="11.140625" style="7" customWidth="1"/>
    <col min="744" max="744" width="11.28515625" style="7" bestFit="1" customWidth="1"/>
    <col min="745" max="745" width="11.42578125" style="7" customWidth="1"/>
    <col min="746" max="746" width="8.85546875" style="7" customWidth="1"/>
    <col min="747" max="747" width="9.85546875" style="7" bestFit="1" customWidth="1"/>
    <col min="748" max="748" width="8.85546875" style="7"/>
    <col min="749" max="749" width="9.42578125" style="7" bestFit="1" customWidth="1"/>
    <col min="750" max="990" width="8.85546875" style="7"/>
    <col min="991" max="991" width="1.85546875" style="7" customWidth="1"/>
    <col min="992" max="992" width="7.28515625" style="7" customWidth="1"/>
    <col min="993" max="993" width="9.85546875" style="7" customWidth="1"/>
    <col min="994" max="994" width="12.7109375" style="7" customWidth="1"/>
    <col min="995" max="995" width="11.140625" style="7" customWidth="1"/>
    <col min="996" max="996" width="10.85546875" style="7" customWidth="1"/>
    <col min="997" max="997" width="11.42578125" style="7" customWidth="1"/>
    <col min="998" max="998" width="13.42578125" style="7" customWidth="1"/>
    <col min="999" max="999" width="11.140625" style="7" customWidth="1"/>
    <col min="1000" max="1000" width="11.28515625" style="7" bestFit="1" customWidth="1"/>
    <col min="1001" max="1001" width="11.42578125" style="7" customWidth="1"/>
    <col min="1002" max="1002" width="8.85546875" style="7" customWidth="1"/>
    <col min="1003" max="1003" width="9.85546875" style="7" bestFit="1" customWidth="1"/>
    <col min="1004" max="1004" width="8.85546875" style="7"/>
    <col min="1005" max="1005" width="9.42578125" style="7" bestFit="1" customWidth="1"/>
    <col min="1006" max="1246" width="8.85546875" style="7"/>
    <col min="1247" max="1247" width="1.85546875" style="7" customWidth="1"/>
    <col min="1248" max="1248" width="7.28515625" style="7" customWidth="1"/>
    <col min="1249" max="1249" width="9.85546875" style="7" customWidth="1"/>
    <col min="1250" max="1250" width="12.7109375" style="7" customWidth="1"/>
    <col min="1251" max="1251" width="11.140625" style="7" customWidth="1"/>
    <col min="1252" max="1252" width="10.85546875" style="7" customWidth="1"/>
    <col min="1253" max="1253" width="11.42578125" style="7" customWidth="1"/>
    <col min="1254" max="1254" width="13.42578125" style="7" customWidth="1"/>
    <col min="1255" max="1255" width="11.140625" style="7" customWidth="1"/>
    <col min="1256" max="1256" width="11.28515625" style="7" bestFit="1" customWidth="1"/>
    <col min="1257" max="1257" width="11.42578125" style="7" customWidth="1"/>
    <col min="1258" max="1258" width="8.85546875" style="7" customWidth="1"/>
    <col min="1259" max="1259" width="9.85546875" style="7" bestFit="1" customWidth="1"/>
    <col min="1260" max="1260" width="8.85546875" style="7"/>
    <col min="1261" max="1261" width="9.42578125" style="7" bestFit="1" customWidth="1"/>
    <col min="1262" max="1502" width="8.85546875" style="7"/>
    <col min="1503" max="1503" width="1.85546875" style="7" customWidth="1"/>
    <col min="1504" max="1504" width="7.28515625" style="7" customWidth="1"/>
    <col min="1505" max="1505" width="9.85546875" style="7" customWidth="1"/>
    <col min="1506" max="1506" width="12.7109375" style="7" customWidth="1"/>
    <col min="1507" max="1507" width="11.140625" style="7" customWidth="1"/>
    <col min="1508" max="1508" width="10.85546875" style="7" customWidth="1"/>
    <col min="1509" max="1509" width="11.42578125" style="7" customWidth="1"/>
    <col min="1510" max="1510" width="13.42578125" style="7" customWidth="1"/>
    <col min="1511" max="1511" width="11.140625" style="7" customWidth="1"/>
    <col min="1512" max="1512" width="11.28515625" style="7" bestFit="1" customWidth="1"/>
    <col min="1513" max="1513" width="11.42578125" style="7" customWidth="1"/>
    <col min="1514" max="1514" width="8.85546875" style="7" customWidth="1"/>
    <col min="1515" max="1515" width="9.85546875" style="7" bestFit="1" customWidth="1"/>
    <col min="1516" max="1516" width="8.85546875" style="7"/>
    <col min="1517" max="1517" width="9.42578125" style="7" bestFit="1" customWidth="1"/>
    <col min="1518" max="1758" width="8.85546875" style="7"/>
    <col min="1759" max="1759" width="1.85546875" style="7" customWidth="1"/>
    <col min="1760" max="1760" width="7.28515625" style="7" customWidth="1"/>
    <col min="1761" max="1761" width="9.85546875" style="7" customWidth="1"/>
    <col min="1762" max="1762" width="12.7109375" style="7" customWidth="1"/>
    <col min="1763" max="1763" width="11.140625" style="7" customWidth="1"/>
    <col min="1764" max="1764" width="10.85546875" style="7" customWidth="1"/>
    <col min="1765" max="1765" width="11.42578125" style="7" customWidth="1"/>
    <col min="1766" max="1766" width="13.42578125" style="7" customWidth="1"/>
    <col min="1767" max="1767" width="11.140625" style="7" customWidth="1"/>
    <col min="1768" max="1768" width="11.28515625" style="7" bestFit="1" customWidth="1"/>
    <col min="1769" max="1769" width="11.42578125" style="7" customWidth="1"/>
    <col min="1770" max="1770" width="8.85546875" style="7" customWidth="1"/>
    <col min="1771" max="1771" width="9.85546875" style="7" bestFit="1" customWidth="1"/>
    <col min="1772" max="1772" width="8.85546875" style="7"/>
    <col min="1773" max="1773" width="9.42578125" style="7" bestFit="1" customWidth="1"/>
    <col min="1774" max="2014" width="8.85546875" style="7"/>
    <col min="2015" max="2015" width="1.85546875" style="7" customWidth="1"/>
    <col min="2016" max="2016" width="7.28515625" style="7" customWidth="1"/>
    <col min="2017" max="2017" width="9.85546875" style="7" customWidth="1"/>
    <col min="2018" max="2018" width="12.7109375" style="7" customWidth="1"/>
    <col min="2019" max="2019" width="11.140625" style="7" customWidth="1"/>
    <col min="2020" max="2020" width="10.85546875" style="7" customWidth="1"/>
    <col min="2021" max="2021" width="11.42578125" style="7" customWidth="1"/>
    <col min="2022" max="2022" width="13.42578125" style="7" customWidth="1"/>
    <col min="2023" max="2023" width="11.140625" style="7" customWidth="1"/>
    <col min="2024" max="2024" width="11.28515625" style="7" bestFit="1" customWidth="1"/>
    <col min="2025" max="2025" width="11.42578125" style="7" customWidth="1"/>
    <col min="2026" max="2026" width="8.85546875" style="7" customWidth="1"/>
    <col min="2027" max="2027" width="9.85546875" style="7" bestFit="1" customWidth="1"/>
    <col min="2028" max="2028" width="8.85546875" style="7"/>
    <col min="2029" max="2029" width="9.42578125" style="7" bestFit="1" customWidth="1"/>
    <col min="2030" max="2270" width="8.85546875" style="7"/>
    <col min="2271" max="2271" width="1.85546875" style="7" customWidth="1"/>
    <col min="2272" max="2272" width="7.28515625" style="7" customWidth="1"/>
    <col min="2273" max="2273" width="9.85546875" style="7" customWidth="1"/>
    <col min="2274" max="2274" width="12.7109375" style="7" customWidth="1"/>
    <col min="2275" max="2275" width="11.140625" style="7" customWidth="1"/>
    <col min="2276" max="2276" width="10.85546875" style="7" customWidth="1"/>
    <col min="2277" max="2277" width="11.42578125" style="7" customWidth="1"/>
    <col min="2278" max="2278" width="13.42578125" style="7" customWidth="1"/>
    <col min="2279" max="2279" width="11.140625" style="7" customWidth="1"/>
    <col min="2280" max="2280" width="11.28515625" style="7" bestFit="1" customWidth="1"/>
    <col min="2281" max="2281" width="11.42578125" style="7" customWidth="1"/>
    <col min="2282" max="2282" width="8.85546875" style="7" customWidth="1"/>
    <col min="2283" max="2283" width="9.85546875" style="7" bestFit="1" customWidth="1"/>
    <col min="2284" max="2284" width="8.85546875" style="7"/>
    <col min="2285" max="2285" width="9.42578125" style="7" bestFit="1" customWidth="1"/>
    <col min="2286" max="2526" width="8.85546875" style="7"/>
    <col min="2527" max="2527" width="1.85546875" style="7" customWidth="1"/>
    <col min="2528" max="2528" width="7.28515625" style="7" customWidth="1"/>
    <col min="2529" max="2529" width="9.85546875" style="7" customWidth="1"/>
    <col min="2530" max="2530" width="12.7109375" style="7" customWidth="1"/>
    <col min="2531" max="2531" width="11.140625" style="7" customWidth="1"/>
    <col min="2532" max="2532" width="10.85546875" style="7" customWidth="1"/>
    <col min="2533" max="2533" width="11.42578125" style="7" customWidth="1"/>
    <col min="2534" max="2534" width="13.42578125" style="7" customWidth="1"/>
    <col min="2535" max="2535" width="11.140625" style="7" customWidth="1"/>
    <col min="2536" max="2536" width="11.28515625" style="7" bestFit="1" customWidth="1"/>
    <col min="2537" max="2537" width="11.42578125" style="7" customWidth="1"/>
    <col min="2538" max="2538" width="8.85546875" style="7" customWidth="1"/>
    <col min="2539" max="2539" width="9.85546875" style="7" bestFit="1" customWidth="1"/>
    <col min="2540" max="2540" width="8.85546875" style="7"/>
    <col min="2541" max="2541" width="9.42578125" style="7" bestFit="1" customWidth="1"/>
    <col min="2542" max="2782" width="8.85546875" style="7"/>
    <col min="2783" max="2783" width="1.85546875" style="7" customWidth="1"/>
    <col min="2784" max="2784" width="7.28515625" style="7" customWidth="1"/>
    <col min="2785" max="2785" width="9.85546875" style="7" customWidth="1"/>
    <col min="2786" max="2786" width="12.7109375" style="7" customWidth="1"/>
    <col min="2787" max="2787" width="11.140625" style="7" customWidth="1"/>
    <col min="2788" max="2788" width="10.85546875" style="7" customWidth="1"/>
    <col min="2789" max="2789" width="11.42578125" style="7" customWidth="1"/>
    <col min="2790" max="2790" width="13.42578125" style="7" customWidth="1"/>
    <col min="2791" max="2791" width="11.140625" style="7" customWidth="1"/>
    <col min="2792" max="2792" width="11.28515625" style="7" bestFit="1" customWidth="1"/>
    <col min="2793" max="2793" width="11.42578125" style="7" customWidth="1"/>
    <col min="2794" max="2794" width="8.85546875" style="7" customWidth="1"/>
    <col min="2795" max="2795" width="9.85546875" style="7" bestFit="1" customWidth="1"/>
    <col min="2796" max="2796" width="8.85546875" style="7"/>
    <col min="2797" max="2797" width="9.42578125" style="7" bestFit="1" customWidth="1"/>
    <col min="2798" max="3038" width="8.85546875" style="7"/>
    <col min="3039" max="3039" width="1.85546875" style="7" customWidth="1"/>
    <col min="3040" max="3040" width="7.28515625" style="7" customWidth="1"/>
    <col min="3041" max="3041" width="9.85546875" style="7" customWidth="1"/>
    <col min="3042" max="3042" width="12.7109375" style="7" customWidth="1"/>
    <col min="3043" max="3043" width="11.140625" style="7" customWidth="1"/>
    <col min="3044" max="3044" width="10.85546875" style="7" customWidth="1"/>
    <col min="3045" max="3045" width="11.42578125" style="7" customWidth="1"/>
    <col min="3046" max="3046" width="13.42578125" style="7" customWidth="1"/>
    <col min="3047" max="3047" width="11.140625" style="7" customWidth="1"/>
    <col min="3048" max="3048" width="11.28515625" style="7" bestFit="1" customWidth="1"/>
    <col min="3049" max="3049" width="11.42578125" style="7" customWidth="1"/>
    <col min="3050" max="3050" width="8.85546875" style="7" customWidth="1"/>
    <col min="3051" max="3051" width="9.85546875" style="7" bestFit="1" customWidth="1"/>
    <col min="3052" max="3052" width="8.85546875" style="7"/>
    <col min="3053" max="3053" width="9.42578125" style="7" bestFit="1" customWidth="1"/>
    <col min="3054" max="3294" width="8.85546875" style="7"/>
    <col min="3295" max="3295" width="1.85546875" style="7" customWidth="1"/>
    <col min="3296" max="3296" width="7.28515625" style="7" customWidth="1"/>
    <col min="3297" max="3297" width="9.85546875" style="7" customWidth="1"/>
    <col min="3298" max="3298" width="12.7109375" style="7" customWidth="1"/>
    <col min="3299" max="3299" width="11.140625" style="7" customWidth="1"/>
    <col min="3300" max="3300" width="10.85546875" style="7" customWidth="1"/>
    <col min="3301" max="3301" width="11.42578125" style="7" customWidth="1"/>
    <col min="3302" max="3302" width="13.42578125" style="7" customWidth="1"/>
    <col min="3303" max="3303" width="11.140625" style="7" customWidth="1"/>
    <col min="3304" max="3304" width="11.28515625" style="7" bestFit="1" customWidth="1"/>
    <col min="3305" max="3305" width="11.42578125" style="7" customWidth="1"/>
    <col min="3306" max="3306" width="8.85546875" style="7" customWidth="1"/>
    <col min="3307" max="3307" width="9.85546875" style="7" bestFit="1" customWidth="1"/>
    <col min="3308" max="3308" width="8.85546875" style="7"/>
    <col min="3309" max="3309" width="9.42578125" style="7" bestFit="1" customWidth="1"/>
    <col min="3310" max="3550" width="8.85546875" style="7"/>
    <col min="3551" max="3551" width="1.85546875" style="7" customWidth="1"/>
    <col min="3552" max="3552" width="7.28515625" style="7" customWidth="1"/>
    <col min="3553" max="3553" width="9.85546875" style="7" customWidth="1"/>
    <col min="3554" max="3554" width="12.7109375" style="7" customWidth="1"/>
    <col min="3555" max="3555" width="11.140625" style="7" customWidth="1"/>
    <col min="3556" max="3556" width="10.85546875" style="7" customWidth="1"/>
    <col min="3557" max="3557" width="11.42578125" style="7" customWidth="1"/>
    <col min="3558" max="3558" width="13.42578125" style="7" customWidth="1"/>
    <col min="3559" max="3559" width="11.140625" style="7" customWidth="1"/>
    <col min="3560" max="3560" width="11.28515625" style="7" bestFit="1" customWidth="1"/>
    <col min="3561" max="3561" width="11.42578125" style="7" customWidth="1"/>
    <col min="3562" max="3562" width="8.85546875" style="7" customWidth="1"/>
    <col min="3563" max="3563" width="9.85546875" style="7" bestFit="1" customWidth="1"/>
    <col min="3564" max="3564" width="8.85546875" style="7"/>
    <col min="3565" max="3565" width="9.42578125" style="7" bestFit="1" customWidth="1"/>
    <col min="3566" max="3806" width="8.85546875" style="7"/>
    <col min="3807" max="3807" width="1.85546875" style="7" customWidth="1"/>
    <col min="3808" max="3808" width="7.28515625" style="7" customWidth="1"/>
    <col min="3809" max="3809" width="9.85546875" style="7" customWidth="1"/>
    <col min="3810" max="3810" width="12.7109375" style="7" customWidth="1"/>
    <col min="3811" max="3811" width="11.140625" style="7" customWidth="1"/>
    <col min="3812" max="3812" width="10.85546875" style="7" customWidth="1"/>
    <col min="3813" max="3813" width="11.42578125" style="7" customWidth="1"/>
    <col min="3814" max="3814" width="13.42578125" style="7" customWidth="1"/>
    <col min="3815" max="3815" width="11.140625" style="7" customWidth="1"/>
    <col min="3816" max="3816" width="11.28515625" style="7" bestFit="1" customWidth="1"/>
    <col min="3817" max="3817" width="11.42578125" style="7" customWidth="1"/>
    <col min="3818" max="3818" width="8.85546875" style="7" customWidth="1"/>
    <col min="3819" max="3819" width="9.85546875" style="7" bestFit="1" customWidth="1"/>
    <col min="3820" max="3820" width="8.85546875" style="7"/>
    <col min="3821" max="3821" width="9.42578125" style="7" bestFit="1" customWidth="1"/>
    <col min="3822" max="4062" width="8.85546875" style="7"/>
    <col min="4063" max="4063" width="1.85546875" style="7" customWidth="1"/>
    <col min="4064" max="4064" width="7.28515625" style="7" customWidth="1"/>
    <col min="4065" max="4065" width="9.85546875" style="7" customWidth="1"/>
    <col min="4066" max="4066" width="12.7109375" style="7" customWidth="1"/>
    <col min="4067" max="4067" width="11.140625" style="7" customWidth="1"/>
    <col min="4068" max="4068" width="10.85546875" style="7" customWidth="1"/>
    <col min="4069" max="4069" width="11.42578125" style="7" customWidth="1"/>
    <col min="4070" max="4070" width="13.42578125" style="7" customWidth="1"/>
    <col min="4071" max="4071" width="11.140625" style="7" customWidth="1"/>
    <col min="4072" max="4072" width="11.28515625" style="7" bestFit="1" customWidth="1"/>
    <col min="4073" max="4073" width="11.42578125" style="7" customWidth="1"/>
    <col min="4074" max="4074" width="8.85546875" style="7" customWidth="1"/>
    <col min="4075" max="4075" width="9.85546875" style="7" bestFit="1" customWidth="1"/>
    <col min="4076" max="4076" width="8.85546875" style="7"/>
    <col min="4077" max="4077" width="9.42578125" style="7" bestFit="1" customWidth="1"/>
    <col min="4078" max="4318" width="8.85546875" style="7"/>
    <col min="4319" max="4319" width="1.85546875" style="7" customWidth="1"/>
    <col min="4320" max="4320" width="7.28515625" style="7" customWidth="1"/>
    <col min="4321" max="4321" width="9.85546875" style="7" customWidth="1"/>
    <col min="4322" max="4322" width="12.7109375" style="7" customWidth="1"/>
    <col min="4323" max="4323" width="11.140625" style="7" customWidth="1"/>
    <col min="4324" max="4324" width="10.85546875" style="7" customWidth="1"/>
    <col min="4325" max="4325" width="11.42578125" style="7" customWidth="1"/>
    <col min="4326" max="4326" width="13.42578125" style="7" customWidth="1"/>
    <col min="4327" max="4327" width="11.140625" style="7" customWidth="1"/>
    <col min="4328" max="4328" width="11.28515625" style="7" bestFit="1" customWidth="1"/>
    <col min="4329" max="4329" width="11.42578125" style="7" customWidth="1"/>
    <col min="4330" max="4330" width="8.85546875" style="7" customWidth="1"/>
    <col min="4331" max="4331" width="9.85546875" style="7" bestFit="1" customWidth="1"/>
    <col min="4332" max="4332" width="8.85546875" style="7"/>
    <col min="4333" max="4333" width="9.42578125" style="7" bestFit="1" customWidth="1"/>
    <col min="4334" max="4574" width="8.85546875" style="7"/>
    <col min="4575" max="4575" width="1.85546875" style="7" customWidth="1"/>
    <col min="4576" max="4576" width="7.28515625" style="7" customWidth="1"/>
    <col min="4577" max="4577" width="9.85546875" style="7" customWidth="1"/>
    <col min="4578" max="4578" width="12.7109375" style="7" customWidth="1"/>
    <col min="4579" max="4579" width="11.140625" style="7" customWidth="1"/>
    <col min="4580" max="4580" width="10.85546875" style="7" customWidth="1"/>
    <col min="4581" max="4581" width="11.42578125" style="7" customWidth="1"/>
    <col min="4582" max="4582" width="13.42578125" style="7" customWidth="1"/>
    <col min="4583" max="4583" width="11.140625" style="7" customWidth="1"/>
    <col min="4584" max="4584" width="11.28515625" style="7" bestFit="1" customWidth="1"/>
    <col min="4585" max="4585" width="11.42578125" style="7" customWidth="1"/>
    <col min="4586" max="4586" width="8.85546875" style="7" customWidth="1"/>
    <col min="4587" max="4587" width="9.85546875" style="7" bestFit="1" customWidth="1"/>
    <col min="4588" max="4588" width="8.85546875" style="7"/>
    <col min="4589" max="4589" width="9.42578125" style="7" bestFit="1" customWidth="1"/>
    <col min="4590" max="4830" width="8.85546875" style="7"/>
    <col min="4831" max="4831" width="1.85546875" style="7" customWidth="1"/>
    <col min="4832" max="4832" width="7.28515625" style="7" customWidth="1"/>
    <col min="4833" max="4833" width="9.85546875" style="7" customWidth="1"/>
    <col min="4834" max="4834" width="12.7109375" style="7" customWidth="1"/>
    <col min="4835" max="4835" width="11.140625" style="7" customWidth="1"/>
    <col min="4836" max="4836" width="10.85546875" style="7" customWidth="1"/>
    <col min="4837" max="4837" width="11.42578125" style="7" customWidth="1"/>
    <col min="4838" max="4838" width="13.42578125" style="7" customWidth="1"/>
    <col min="4839" max="4839" width="11.140625" style="7" customWidth="1"/>
    <col min="4840" max="4840" width="11.28515625" style="7" bestFit="1" customWidth="1"/>
    <col min="4841" max="4841" width="11.42578125" style="7" customWidth="1"/>
    <col min="4842" max="4842" width="8.85546875" style="7" customWidth="1"/>
    <col min="4843" max="4843" width="9.85546875" style="7" bestFit="1" customWidth="1"/>
    <col min="4844" max="4844" width="8.85546875" style="7"/>
    <col min="4845" max="4845" width="9.42578125" style="7" bestFit="1" customWidth="1"/>
    <col min="4846" max="5086" width="8.85546875" style="7"/>
    <col min="5087" max="5087" width="1.85546875" style="7" customWidth="1"/>
    <col min="5088" max="5088" width="7.28515625" style="7" customWidth="1"/>
    <col min="5089" max="5089" width="9.85546875" style="7" customWidth="1"/>
    <col min="5090" max="5090" width="12.7109375" style="7" customWidth="1"/>
    <col min="5091" max="5091" width="11.140625" style="7" customWidth="1"/>
    <col min="5092" max="5092" width="10.85546875" style="7" customWidth="1"/>
    <col min="5093" max="5093" width="11.42578125" style="7" customWidth="1"/>
    <col min="5094" max="5094" width="13.42578125" style="7" customWidth="1"/>
    <col min="5095" max="5095" width="11.140625" style="7" customWidth="1"/>
    <col min="5096" max="5096" width="11.28515625" style="7" bestFit="1" customWidth="1"/>
    <col min="5097" max="5097" width="11.42578125" style="7" customWidth="1"/>
    <col min="5098" max="5098" width="8.85546875" style="7" customWidth="1"/>
    <col min="5099" max="5099" width="9.85546875" style="7" bestFit="1" customWidth="1"/>
    <col min="5100" max="5100" width="8.85546875" style="7"/>
    <col min="5101" max="5101" width="9.42578125" style="7" bestFit="1" customWidth="1"/>
    <col min="5102" max="5342" width="8.85546875" style="7"/>
    <col min="5343" max="5343" width="1.85546875" style="7" customWidth="1"/>
    <col min="5344" max="5344" width="7.28515625" style="7" customWidth="1"/>
    <col min="5345" max="5345" width="9.85546875" style="7" customWidth="1"/>
    <col min="5346" max="5346" width="12.7109375" style="7" customWidth="1"/>
    <col min="5347" max="5347" width="11.140625" style="7" customWidth="1"/>
    <col min="5348" max="5348" width="10.85546875" style="7" customWidth="1"/>
    <col min="5349" max="5349" width="11.42578125" style="7" customWidth="1"/>
    <col min="5350" max="5350" width="13.42578125" style="7" customWidth="1"/>
    <col min="5351" max="5351" width="11.140625" style="7" customWidth="1"/>
    <col min="5352" max="5352" width="11.28515625" style="7" bestFit="1" customWidth="1"/>
    <col min="5353" max="5353" width="11.42578125" style="7" customWidth="1"/>
    <col min="5354" max="5354" width="8.85546875" style="7" customWidth="1"/>
    <col min="5355" max="5355" width="9.85546875" style="7" bestFit="1" customWidth="1"/>
    <col min="5356" max="5356" width="8.85546875" style="7"/>
    <col min="5357" max="5357" width="9.42578125" style="7" bestFit="1" customWidth="1"/>
    <col min="5358" max="5598" width="8.85546875" style="7"/>
    <col min="5599" max="5599" width="1.85546875" style="7" customWidth="1"/>
    <col min="5600" max="5600" width="7.28515625" style="7" customWidth="1"/>
    <col min="5601" max="5601" width="9.85546875" style="7" customWidth="1"/>
    <col min="5602" max="5602" width="12.7109375" style="7" customWidth="1"/>
    <col min="5603" max="5603" width="11.140625" style="7" customWidth="1"/>
    <col min="5604" max="5604" width="10.85546875" style="7" customWidth="1"/>
    <col min="5605" max="5605" width="11.42578125" style="7" customWidth="1"/>
    <col min="5606" max="5606" width="13.42578125" style="7" customWidth="1"/>
    <col min="5607" max="5607" width="11.140625" style="7" customWidth="1"/>
    <col min="5608" max="5608" width="11.28515625" style="7" bestFit="1" customWidth="1"/>
    <col min="5609" max="5609" width="11.42578125" style="7" customWidth="1"/>
    <col min="5610" max="5610" width="8.85546875" style="7" customWidth="1"/>
    <col min="5611" max="5611" width="9.85546875" style="7" bestFit="1" customWidth="1"/>
    <col min="5612" max="5612" width="8.85546875" style="7"/>
    <col min="5613" max="5613" width="9.42578125" style="7" bestFit="1" customWidth="1"/>
    <col min="5614" max="5854" width="8.85546875" style="7"/>
    <col min="5855" max="5855" width="1.85546875" style="7" customWidth="1"/>
    <col min="5856" max="5856" width="7.28515625" style="7" customWidth="1"/>
    <col min="5857" max="5857" width="9.85546875" style="7" customWidth="1"/>
    <col min="5858" max="5858" width="12.7109375" style="7" customWidth="1"/>
    <col min="5859" max="5859" width="11.140625" style="7" customWidth="1"/>
    <col min="5860" max="5860" width="10.85546875" style="7" customWidth="1"/>
    <col min="5861" max="5861" width="11.42578125" style="7" customWidth="1"/>
    <col min="5862" max="5862" width="13.42578125" style="7" customWidth="1"/>
    <col min="5863" max="5863" width="11.140625" style="7" customWidth="1"/>
    <col min="5864" max="5864" width="11.28515625" style="7" bestFit="1" customWidth="1"/>
    <col min="5865" max="5865" width="11.42578125" style="7" customWidth="1"/>
    <col min="5866" max="5866" width="8.85546875" style="7" customWidth="1"/>
    <col min="5867" max="5867" width="9.85546875" style="7" bestFit="1" customWidth="1"/>
    <col min="5868" max="5868" width="8.85546875" style="7"/>
    <col min="5869" max="5869" width="9.42578125" style="7" bestFit="1" customWidth="1"/>
    <col min="5870" max="6110" width="8.85546875" style="7"/>
    <col min="6111" max="6111" width="1.85546875" style="7" customWidth="1"/>
    <col min="6112" max="6112" width="7.28515625" style="7" customWidth="1"/>
    <col min="6113" max="6113" width="9.85546875" style="7" customWidth="1"/>
    <col min="6114" max="6114" width="12.7109375" style="7" customWidth="1"/>
    <col min="6115" max="6115" width="11.140625" style="7" customWidth="1"/>
    <col min="6116" max="6116" width="10.85546875" style="7" customWidth="1"/>
    <col min="6117" max="6117" width="11.42578125" style="7" customWidth="1"/>
    <col min="6118" max="6118" width="13.42578125" style="7" customWidth="1"/>
    <col min="6119" max="6119" width="11.140625" style="7" customWidth="1"/>
    <col min="6120" max="6120" width="11.28515625" style="7" bestFit="1" customWidth="1"/>
    <col min="6121" max="6121" width="11.42578125" style="7" customWidth="1"/>
    <col min="6122" max="6122" width="8.85546875" style="7" customWidth="1"/>
    <col min="6123" max="6123" width="9.85546875" style="7" bestFit="1" customWidth="1"/>
    <col min="6124" max="6124" width="8.85546875" style="7"/>
    <col min="6125" max="6125" width="9.42578125" style="7" bestFit="1" customWidth="1"/>
    <col min="6126" max="6366" width="8.85546875" style="7"/>
    <col min="6367" max="6367" width="1.85546875" style="7" customWidth="1"/>
    <col min="6368" max="6368" width="7.28515625" style="7" customWidth="1"/>
    <col min="6369" max="6369" width="9.85546875" style="7" customWidth="1"/>
    <col min="6370" max="6370" width="12.7109375" style="7" customWidth="1"/>
    <col min="6371" max="6371" width="11.140625" style="7" customWidth="1"/>
    <col min="6372" max="6372" width="10.85546875" style="7" customWidth="1"/>
    <col min="6373" max="6373" width="11.42578125" style="7" customWidth="1"/>
    <col min="6374" max="6374" width="13.42578125" style="7" customWidth="1"/>
    <col min="6375" max="6375" width="11.140625" style="7" customWidth="1"/>
    <col min="6376" max="6376" width="11.28515625" style="7" bestFit="1" customWidth="1"/>
    <col min="6377" max="6377" width="11.42578125" style="7" customWidth="1"/>
    <col min="6378" max="6378" width="8.85546875" style="7" customWidth="1"/>
    <col min="6379" max="6379" width="9.85546875" style="7" bestFit="1" customWidth="1"/>
    <col min="6380" max="6380" width="8.85546875" style="7"/>
    <col min="6381" max="6381" width="9.42578125" style="7" bestFit="1" customWidth="1"/>
    <col min="6382" max="6622" width="8.85546875" style="7"/>
    <col min="6623" max="6623" width="1.85546875" style="7" customWidth="1"/>
    <col min="6624" max="6624" width="7.28515625" style="7" customWidth="1"/>
    <col min="6625" max="6625" width="9.85546875" style="7" customWidth="1"/>
    <col min="6626" max="6626" width="12.7109375" style="7" customWidth="1"/>
    <col min="6627" max="6627" width="11.140625" style="7" customWidth="1"/>
    <col min="6628" max="6628" width="10.85546875" style="7" customWidth="1"/>
    <col min="6629" max="6629" width="11.42578125" style="7" customWidth="1"/>
    <col min="6630" max="6630" width="13.42578125" style="7" customWidth="1"/>
    <col min="6631" max="6631" width="11.140625" style="7" customWidth="1"/>
    <col min="6632" max="6632" width="11.28515625" style="7" bestFit="1" customWidth="1"/>
    <col min="6633" max="6633" width="11.42578125" style="7" customWidth="1"/>
    <col min="6634" max="6634" width="8.85546875" style="7" customWidth="1"/>
    <col min="6635" max="6635" width="9.85546875" style="7" bestFit="1" customWidth="1"/>
    <col min="6636" max="6636" width="8.85546875" style="7"/>
    <col min="6637" max="6637" width="9.42578125" style="7" bestFit="1" customWidth="1"/>
    <col min="6638" max="6878" width="8.85546875" style="7"/>
    <col min="6879" max="6879" width="1.85546875" style="7" customWidth="1"/>
    <col min="6880" max="6880" width="7.28515625" style="7" customWidth="1"/>
    <col min="6881" max="6881" width="9.85546875" style="7" customWidth="1"/>
    <col min="6882" max="6882" width="12.7109375" style="7" customWidth="1"/>
    <col min="6883" max="6883" width="11.140625" style="7" customWidth="1"/>
    <col min="6884" max="6884" width="10.85546875" style="7" customWidth="1"/>
    <col min="6885" max="6885" width="11.42578125" style="7" customWidth="1"/>
    <col min="6886" max="6886" width="13.42578125" style="7" customWidth="1"/>
    <col min="6887" max="6887" width="11.140625" style="7" customWidth="1"/>
    <col min="6888" max="6888" width="11.28515625" style="7" bestFit="1" customWidth="1"/>
    <col min="6889" max="6889" width="11.42578125" style="7" customWidth="1"/>
    <col min="6890" max="6890" width="8.85546875" style="7" customWidth="1"/>
    <col min="6891" max="6891" width="9.85546875" style="7" bestFit="1" customWidth="1"/>
    <col min="6892" max="6892" width="8.85546875" style="7"/>
    <col min="6893" max="6893" width="9.42578125" style="7" bestFit="1" customWidth="1"/>
    <col min="6894" max="7134" width="8.85546875" style="7"/>
    <col min="7135" max="7135" width="1.85546875" style="7" customWidth="1"/>
    <col min="7136" max="7136" width="7.28515625" style="7" customWidth="1"/>
    <col min="7137" max="7137" width="9.85546875" style="7" customWidth="1"/>
    <col min="7138" max="7138" width="12.7109375" style="7" customWidth="1"/>
    <col min="7139" max="7139" width="11.140625" style="7" customWidth="1"/>
    <col min="7140" max="7140" width="10.85546875" style="7" customWidth="1"/>
    <col min="7141" max="7141" width="11.42578125" style="7" customWidth="1"/>
    <col min="7142" max="7142" width="13.42578125" style="7" customWidth="1"/>
    <col min="7143" max="7143" width="11.140625" style="7" customWidth="1"/>
    <col min="7144" max="7144" width="11.28515625" style="7" bestFit="1" customWidth="1"/>
    <col min="7145" max="7145" width="11.42578125" style="7" customWidth="1"/>
    <col min="7146" max="7146" width="8.85546875" style="7" customWidth="1"/>
    <col min="7147" max="7147" width="9.85546875" style="7" bestFit="1" customWidth="1"/>
    <col min="7148" max="7148" width="8.85546875" style="7"/>
    <col min="7149" max="7149" width="9.42578125" style="7" bestFit="1" customWidth="1"/>
    <col min="7150" max="7390" width="8.85546875" style="7"/>
    <col min="7391" max="7391" width="1.85546875" style="7" customWidth="1"/>
    <col min="7392" max="7392" width="7.28515625" style="7" customWidth="1"/>
    <col min="7393" max="7393" width="9.85546875" style="7" customWidth="1"/>
    <col min="7394" max="7394" width="12.7109375" style="7" customWidth="1"/>
    <col min="7395" max="7395" width="11.140625" style="7" customWidth="1"/>
    <col min="7396" max="7396" width="10.85546875" style="7" customWidth="1"/>
    <col min="7397" max="7397" width="11.42578125" style="7" customWidth="1"/>
    <col min="7398" max="7398" width="13.42578125" style="7" customWidth="1"/>
    <col min="7399" max="7399" width="11.140625" style="7" customWidth="1"/>
    <col min="7400" max="7400" width="11.28515625" style="7" bestFit="1" customWidth="1"/>
    <col min="7401" max="7401" width="11.42578125" style="7" customWidth="1"/>
    <col min="7402" max="7402" width="8.85546875" style="7" customWidth="1"/>
    <col min="7403" max="7403" width="9.85546875" style="7" bestFit="1" customWidth="1"/>
    <col min="7404" max="7404" width="8.85546875" style="7"/>
    <col min="7405" max="7405" width="9.42578125" style="7" bestFit="1" customWidth="1"/>
    <col min="7406" max="7646" width="8.85546875" style="7"/>
    <col min="7647" max="7647" width="1.85546875" style="7" customWidth="1"/>
    <col min="7648" max="7648" width="7.28515625" style="7" customWidth="1"/>
    <col min="7649" max="7649" width="9.85546875" style="7" customWidth="1"/>
    <col min="7650" max="7650" width="12.7109375" style="7" customWidth="1"/>
    <col min="7651" max="7651" width="11.140625" style="7" customWidth="1"/>
    <col min="7652" max="7652" width="10.85546875" style="7" customWidth="1"/>
    <col min="7653" max="7653" width="11.42578125" style="7" customWidth="1"/>
    <col min="7654" max="7654" width="13.42578125" style="7" customWidth="1"/>
    <col min="7655" max="7655" width="11.140625" style="7" customWidth="1"/>
    <col min="7656" max="7656" width="11.28515625" style="7" bestFit="1" customWidth="1"/>
    <col min="7657" max="7657" width="11.42578125" style="7" customWidth="1"/>
    <col min="7658" max="7658" width="8.85546875" style="7" customWidth="1"/>
    <col min="7659" max="7659" width="9.85546875" style="7" bestFit="1" customWidth="1"/>
    <col min="7660" max="7660" width="8.85546875" style="7"/>
    <col min="7661" max="7661" width="9.42578125" style="7" bestFit="1" customWidth="1"/>
    <col min="7662" max="7902" width="8.85546875" style="7"/>
    <col min="7903" max="7903" width="1.85546875" style="7" customWidth="1"/>
    <col min="7904" max="7904" width="7.28515625" style="7" customWidth="1"/>
    <col min="7905" max="7905" width="9.85546875" style="7" customWidth="1"/>
    <col min="7906" max="7906" width="12.7109375" style="7" customWidth="1"/>
    <col min="7907" max="7907" width="11.140625" style="7" customWidth="1"/>
    <col min="7908" max="7908" width="10.85546875" style="7" customWidth="1"/>
    <col min="7909" max="7909" width="11.42578125" style="7" customWidth="1"/>
    <col min="7910" max="7910" width="13.42578125" style="7" customWidth="1"/>
    <col min="7911" max="7911" width="11.140625" style="7" customWidth="1"/>
    <col min="7912" max="7912" width="11.28515625" style="7" bestFit="1" customWidth="1"/>
    <col min="7913" max="7913" width="11.42578125" style="7" customWidth="1"/>
    <col min="7914" max="7914" width="8.85546875" style="7" customWidth="1"/>
    <col min="7915" max="7915" width="9.85546875" style="7" bestFit="1" customWidth="1"/>
    <col min="7916" max="7916" width="8.85546875" style="7"/>
    <col min="7917" max="7917" width="9.42578125" style="7" bestFit="1" customWidth="1"/>
    <col min="7918" max="8158" width="8.85546875" style="7"/>
    <col min="8159" max="8159" width="1.85546875" style="7" customWidth="1"/>
    <col min="8160" max="8160" width="7.28515625" style="7" customWidth="1"/>
    <col min="8161" max="8161" width="9.85546875" style="7" customWidth="1"/>
    <col min="8162" max="8162" width="12.7109375" style="7" customWidth="1"/>
    <col min="8163" max="8163" width="11.140625" style="7" customWidth="1"/>
    <col min="8164" max="8164" width="10.85546875" style="7" customWidth="1"/>
    <col min="8165" max="8165" width="11.42578125" style="7" customWidth="1"/>
    <col min="8166" max="8166" width="13.42578125" style="7" customWidth="1"/>
    <col min="8167" max="8167" width="11.140625" style="7" customWidth="1"/>
    <col min="8168" max="8168" width="11.28515625" style="7" bestFit="1" customWidth="1"/>
    <col min="8169" max="8169" width="11.42578125" style="7" customWidth="1"/>
    <col min="8170" max="8170" width="8.85546875" style="7" customWidth="1"/>
    <col min="8171" max="8171" width="9.85546875" style="7" bestFit="1" customWidth="1"/>
    <col min="8172" max="8172" width="8.85546875" style="7"/>
    <col min="8173" max="8173" width="9.42578125" style="7" bestFit="1" customWidth="1"/>
    <col min="8174" max="8414" width="8.85546875" style="7"/>
    <col min="8415" max="8415" width="1.85546875" style="7" customWidth="1"/>
    <col min="8416" max="8416" width="7.28515625" style="7" customWidth="1"/>
    <col min="8417" max="8417" width="9.85546875" style="7" customWidth="1"/>
    <col min="8418" max="8418" width="12.7109375" style="7" customWidth="1"/>
    <col min="8419" max="8419" width="11.140625" style="7" customWidth="1"/>
    <col min="8420" max="8420" width="10.85546875" style="7" customWidth="1"/>
    <col min="8421" max="8421" width="11.42578125" style="7" customWidth="1"/>
    <col min="8422" max="8422" width="13.42578125" style="7" customWidth="1"/>
    <col min="8423" max="8423" width="11.140625" style="7" customWidth="1"/>
    <col min="8424" max="8424" width="11.28515625" style="7" bestFit="1" customWidth="1"/>
    <col min="8425" max="8425" width="11.42578125" style="7" customWidth="1"/>
    <col min="8426" max="8426" width="8.85546875" style="7" customWidth="1"/>
    <col min="8427" max="8427" width="9.85546875" style="7" bestFit="1" customWidth="1"/>
    <col min="8428" max="8428" width="8.85546875" style="7"/>
    <col min="8429" max="8429" width="9.42578125" style="7" bestFit="1" customWidth="1"/>
    <col min="8430" max="8670" width="8.85546875" style="7"/>
    <col min="8671" max="8671" width="1.85546875" style="7" customWidth="1"/>
    <col min="8672" max="8672" width="7.28515625" style="7" customWidth="1"/>
    <col min="8673" max="8673" width="9.85546875" style="7" customWidth="1"/>
    <col min="8674" max="8674" width="12.7109375" style="7" customWidth="1"/>
    <col min="8675" max="8675" width="11.140625" style="7" customWidth="1"/>
    <col min="8676" max="8676" width="10.85546875" style="7" customWidth="1"/>
    <col min="8677" max="8677" width="11.42578125" style="7" customWidth="1"/>
    <col min="8678" max="8678" width="13.42578125" style="7" customWidth="1"/>
    <col min="8679" max="8679" width="11.140625" style="7" customWidth="1"/>
    <col min="8680" max="8680" width="11.28515625" style="7" bestFit="1" customWidth="1"/>
    <col min="8681" max="8681" width="11.42578125" style="7" customWidth="1"/>
    <col min="8682" max="8682" width="8.85546875" style="7" customWidth="1"/>
    <col min="8683" max="8683" width="9.85546875" style="7" bestFit="1" customWidth="1"/>
    <col min="8684" max="8684" width="8.85546875" style="7"/>
    <col min="8685" max="8685" width="9.42578125" style="7" bestFit="1" customWidth="1"/>
    <col min="8686" max="8926" width="8.85546875" style="7"/>
    <col min="8927" max="8927" width="1.85546875" style="7" customWidth="1"/>
    <col min="8928" max="8928" width="7.28515625" style="7" customWidth="1"/>
    <col min="8929" max="8929" width="9.85546875" style="7" customWidth="1"/>
    <col min="8930" max="8930" width="12.7109375" style="7" customWidth="1"/>
    <col min="8931" max="8931" width="11.140625" style="7" customWidth="1"/>
    <col min="8932" max="8932" width="10.85546875" style="7" customWidth="1"/>
    <col min="8933" max="8933" width="11.42578125" style="7" customWidth="1"/>
    <col min="8934" max="8934" width="13.42578125" style="7" customWidth="1"/>
    <col min="8935" max="8935" width="11.140625" style="7" customWidth="1"/>
    <col min="8936" max="8936" width="11.28515625" style="7" bestFit="1" customWidth="1"/>
    <col min="8937" max="8937" width="11.42578125" style="7" customWidth="1"/>
    <col min="8938" max="8938" width="8.85546875" style="7" customWidth="1"/>
    <col min="8939" max="8939" width="9.85546875" style="7" bestFit="1" customWidth="1"/>
    <col min="8940" max="8940" width="8.85546875" style="7"/>
    <col min="8941" max="8941" width="9.42578125" style="7" bestFit="1" customWidth="1"/>
    <col min="8942" max="9182" width="8.85546875" style="7"/>
    <col min="9183" max="9183" width="1.85546875" style="7" customWidth="1"/>
    <col min="9184" max="9184" width="7.28515625" style="7" customWidth="1"/>
    <col min="9185" max="9185" width="9.85546875" style="7" customWidth="1"/>
    <col min="9186" max="9186" width="12.7109375" style="7" customWidth="1"/>
    <col min="9187" max="9187" width="11.140625" style="7" customWidth="1"/>
    <col min="9188" max="9188" width="10.85546875" style="7" customWidth="1"/>
    <col min="9189" max="9189" width="11.42578125" style="7" customWidth="1"/>
    <col min="9190" max="9190" width="13.42578125" style="7" customWidth="1"/>
    <col min="9191" max="9191" width="11.140625" style="7" customWidth="1"/>
    <col min="9192" max="9192" width="11.28515625" style="7" bestFit="1" customWidth="1"/>
    <col min="9193" max="9193" width="11.42578125" style="7" customWidth="1"/>
    <col min="9194" max="9194" width="8.85546875" style="7" customWidth="1"/>
    <col min="9195" max="9195" width="9.85546875" style="7" bestFit="1" customWidth="1"/>
    <col min="9196" max="9196" width="8.85546875" style="7"/>
    <col min="9197" max="9197" width="9.42578125" style="7" bestFit="1" customWidth="1"/>
    <col min="9198" max="9438" width="8.85546875" style="7"/>
    <col min="9439" max="9439" width="1.85546875" style="7" customWidth="1"/>
    <col min="9440" max="9440" width="7.28515625" style="7" customWidth="1"/>
    <col min="9441" max="9441" width="9.85546875" style="7" customWidth="1"/>
    <col min="9442" max="9442" width="12.7109375" style="7" customWidth="1"/>
    <col min="9443" max="9443" width="11.140625" style="7" customWidth="1"/>
    <col min="9444" max="9444" width="10.85546875" style="7" customWidth="1"/>
    <col min="9445" max="9445" width="11.42578125" style="7" customWidth="1"/>
    <col min="9446" max="9446" width="13.42578125" style="7" customWidth="1"/>
    <col min="9447" max="9447" width="11.140625" style="7" customWidth="1"/>
    <col min="9448" max="9448" width="11.28515625" style="7" bestFit="1" customWidth="1"/>
    <col min="9449" max="9449" width="11.42578125" style="7" customWidth="1"/>
    <col min="9450" max="9450" width="8.85546875" style="7" customWidth="1"/>
    <col min="9451" max="9451" width="9.85546875" style="7" bestFit="1" customWidth="1"/>
    <col min="9452" max="9452" width="8.85546875" style="7"/>
    <col min="9453" max="9453" width="9.42578125" style="7" bestFit="1" customWidth="1"/>
    <col min="9454" max="9694" width="8.85546875" style="7"/>
    <col min="9695" max="9695" width="1.85546875" style="7" customWidth="1"/>
    <col min="9696" max="9696" width="7.28515625" style="7" customWidth="1"/>
    <col min="9697" max="9697" width="9.85546875" style="7" customWidth="1"/>
    <col min="9698" max="9698" width="12.7109375" style="7" customWidth="1"/>
    <col min="9699" max="9699" width="11.140625" style="7" customWidth="1"/>
    <col min="9700" max="9700" width="10.85546875" style="7" customWidth="1"/>
    <col min="9701" max="9701" width="11.42578125" style="7" customWidth="1"/>
    <col min="9702" max="9702" width="13.42578125" style="7" customWidth="1"/>
    <col min="9703" max="9703" width="11.140625" style="7" customWidth="1"/>
    <col min="9704" max="9704" width="11.28515625" style="7" bestFit="1" customWidth="1"/>
    <col min="9705" max="9705" width="11.42578125" style="7" customWidth="1"/>
    <col min="9706" max="9706" width="8.85546875" style="7" customWidth="1"/>
    <col min="9707" max="9707" width="9.85546875" style="7" bestFit="1" customWidth="1"/>
    <col min="9708" max="9708" width="8.85546875" style="7"/>
    <col min="9709" max="9709" width="9.42578125" style="7" bestFit="1" customWidth="1"/>
    <col min="9710" max="9950" width="8.85546875" style="7"/>
    <col min="9951" max="9951" width="1.85546875" style="7" customWidth="1"/>
    <col min="9952" max="9952" width="7.28515625" style="7" customWidth="1"/>
    <col min="9953" max="9953" width="9.85546875" style="7" customWidth="1"/>
    <col min="9954" max="9954" width="12.7109375" style="7" customWidth="1"/>
    <col min="9955" max="9955" width="11.140625" style="7" customWidth="1"/>
    <col min="9956" max="9956" width="10.85546875" style="7" customWidth="1"/>
    <col min="9957" max="9957" width="11.42578125" style="7" customWidth="1"/>
    <col min="9958" max="9958" width="13.42578125" style="7" customWidth="1"/>
    <col min="9959" max="9959" width="11.140625" style="7" customWidth="1"/>
    <col min="9960" max="9960" width="11.28515625" style="7" bestFit="1" customWidth="1"/>
    <col min="9961" max="9961" width="11.42578125" style="7" customWidth="1"/>
    <col min="9962" max="9962" width="8.85546875" style="7" customWidth="1"/>
    <col min="9963" max="9963" width="9.85546875" style="7" bestFit="1" customWidth="1"/>
    <col min="9964" max="9964" width="8.85546875" style="7"/>
    <col min="9965" max="9965" width="9.42578125" style="7" bestFit="1" customWidth="1"/>
    <col min="9966" max="10206" width="8.85546875" style="7"/>
    <col min="10207" max="10207" width="1.85546875" style="7" customWidth="1"/>
    <col min="10208" max="10208" width="7.28515625" style="7" customWidth="1"/>
    <col min="10209" max="10209" width="9.85546875" style="7" customWidth="1"/>
    <col min="10210" max="10210" width="12.7109375" style="7" customWidth="1"/>
    <col min="10211" max="10211" width="11.140625" style="7" customWidth="1"/>
    <col min="10212" max="10212" width="10.85546875" style="7" customWidth="1"/>
    <col min="10213" max="10213" width="11.42578125" style="7" customWidth="1"/>
    <col min="10214" max="10214" width="13.42578125" style="7" customWidth="1"/>
    <col min="10215" max="10215" width="11.140625" style="7" customWidth="1"/>
    <col min="10216" max="10216" width="11.28515625" style="7" bestFit="1" customWidth="1"/>
    <col min="10217" max="10217" width="11.42578125" style="7" customWidth="1"/>
    <col min="10218" max="10218" width="8.85546875" style="7" customWidth="1"/>
    <col min="10219" max="10219" width="9.85546875" style="7" bestFit="1" customWidth="1"/>
    <col min="10220" max="10220" width="8.85546875" style="7"/>
    <col min="10221" max="10221" width="9.42578125" style="7" bestFit="1" customWidth="1"/>
    <col min="10222" max="10462" width="8.85546875" style="7"/>
    <col min="10463" max="10463" width="1.85546875" style="7" customWidth="1"/>
    <col min="10464" max="10464" width="7.28515625" style="7" customWidth="1"/>
    <col min="10465" max="10465" width="9.85546875" style="7" customWidth="1"/>
    <col min="10466" max="10466" width="12.7109375" style="7" customWidth="1"/>
    <col min="10467" max="10467" width="11.140625" style="7" customWidth="1"/>
    <col min="10468" max="10468" width="10.85546875" style="7" customWidth="1"/>
    <col min="10469" max="10469" width="11.42578125" style="7" customWidth="1"/>
    <col min="10470" max="10470" width="13.42578125" style="7" customWidth="1"/>
    <col min="10471" max="10471" width="11.140625" style="7" customWidth="1"/>
    <col min="10472" max="10472" width="11.28515625" style="7" bestFit="1" customWidth="1"/>
    <col min="10473" max="10473" width="11.42578125" style="7" customWidth="1"/>
    <col min="10474" max="10474" width="8.85546875" style="7" customWidth="1"/>
    <col min="10475" max="10475" width="9.85546875" style="7" bestFit="1" customWidth="1"/>
    <col min="10476" max="10476" width="8.85546875" style="7"/>
    <col min="10477" max="10477" width="9.42578125" style="7" bestFit="1" customWidth="1"/>
    <col min="10478" max="10718" width="8.85546875" style="7"/>
    <col min="10719" max="10719" width="1.85546875" style="7" customWidth="1"/>
    <col min="10720" max="10720" width="7.28515625" style="7" customWidth="1"/>
    <col min="10721" max="10721" width="9.85546875" style="7" customWidth="1"/>
    <col min="10722" max="10722" width="12.7109375" style="7" customWidth="1"/>
    <col min="10723" max="10723" width="11.140625" style="7" customWidth="1"/>
    <col min="10724" max="10724" width="10.85546875" style="7" customWidth="1"/>
    <col min="10725" max="10725" width="11.42578125" style="7" customWidth="1"/>
    <col min="10726" max="10726" width="13.42578125" style="7" customWidth="1"/>
    <col min="10727" max="10727" width="11.140625" style="7" customWidth="1"/>
    <col min="10728" max="10728" width="11.28515625" style="7" bestFit="1" customWidth="1"/>
    <col min="10729" max="10729" width="11.42578125" style="7" customWidth="1"/>
    <col min="10730" max="10730" width="8.85546875" style="7" customWidth="1"/>
    <col min="10731" max="10731" width="9.85546875" style="7" bestFit="1" customWidth="1"/>
    <col min="10732" max="10732" width="8.85546875" style="7"/>
    <col min="10733" max="10733" width="9.42578125" style="7" bestFit="1" customWidth="1"/>
    <col min="10734" max="10974" width="8.85546875" style="7"/>
    <col min="10975" max="10975" width="1.85546875" style="7" customWidth="1"/>
    <col min="10976" max="10976" width="7.28515625" style="7" customWidth="1"/>
    <col min="10977" max="10977" width="9.85546875" style="7" customWidth="1"/>
    <col min="10978" max="10978" width="12.7109375" style="7" customWidth="1"/>
    <col min="10979" max="10979" width="11.140625" style="7" customWidth="1"/>
    <col min="10980" max="10980" width="10.85546875" style="7" customWidth="1"/>
    <col min="10981" max="10981" width="11.42578125" style="7" customWidth="1"/>
    <col min="10982" max="10982" width="13.42578125" style="7" customWidth="1"/>
    <col min="10983" max="10983" width="11.140625" style="7" customWidth="1"/>
    <col min="10984" max="10984" width="11.28515625" style="7" bestFit="1" customWidth="1"/>
    <col min="10985" max="10985" width="11.42578125" style="7" customWidth="1"/>
    <col min="10986" max="10986" width="8.85546875" style="7" customWidth="1"/>
    <col min="10987" max="10987" width="9.85546875" style="7" bestFit="1" customWidth="1"/>
    <col min="10988" max="10988" width="8.85546875" style="7"/>
    <col min="10989" max="10989" width="9.42578125" style="7" bestFit="1" customWidth="1"/>
    <col min="10990" max="11230" width="8.85546875" style="7"/>
    <col min="11231" max="11231" width="1.85546875" style="7" customWidth="1"/>
    <col min="11232" max="11232" width="7.28515625" style="7" customWidth="1"/>
    <col min="11233" max="11233" width="9.85546875" style="7" customWidth="1"/>
    <col min="11234" max="11234" width="12.7109375" style="7" customWidth="1"/>
    <col min="11235" max="11235" width="11.140625" style="7" customWidth="1"/>
    <col min="11236" max="11236" width="10.85546875" style="7" customWidth="1"/>
    <col min="11237" max="11237" width="11.42578125" style="7" customWidth="1"/>
    <col min="11238" max="11238" width="13.42578125" style="7" customWidth="1"/>
    <col min="11239" max="11239" width="11.140625" style="7" customWidth="1"/>
    <col min="11240" max="11240" width="11.28515625" style="7" bestFit="1" customWidth="1"/>
    <col min="11241" max="11241" width="11.42578125" style="7" customWidth="1"/>
    <col min="11242" max="11242" width="8.85546875" style="7" customWidth="1"/>
    <col min="11243" max="11243" width="9.85546875" style="7" bestFit="1" customWidth="1"/>
    <col min="11244" max="11244" width="8.85546875" style="7"/>
    <col min="11245" max="11245" width="9.42578125" style="7" bestFit="1" customWidth="1"/>
    <col min="11246" max="11486" width="8.85546875" style="7"/>
    <col min="11487" max="11487" width="1.85546875" style="7" customWidth="1"/>
    <col min="11488" max="11488" width="7.28515625" style="7" customWidth="1"/>
    <col min="11489" max="11489" width="9.85546875" style="7" customWidth="1"/>
    <col min="11490" max="11490" width="12.7109375" style="7" customWidth="1"/>
    <col min="11491" max="11491" width="11.140625" style="7" customWidth="1"/>
    <col min="11492" max="11492" width="10.85546875" style="7" customWidth="1"/>
    <col min="11493" max="11493" width="11.42578125" style="7" customWidth="1"/>
    <col min="11494" max="11494" width="13.42578125" style="7" customWidth="1"/>
    <col min="11495" max="11495" width="11.140625" style="7" customWidth="1"/>
    <col min="11496" max="11496" width="11.28515625" style="7" bestFit="1" customWidth="1"/>
    <col min="11497" max="11497" width="11.42578125" style="7" customWidth="1"/>
    <col min="11498" max="11498" width="8.85546875" style="7" customWidth="1"/>
    <col min="11499" max="11499" width="9.85546875" style="7" bestFit="1" customWidth="1"/>
    <col min="11500" max="11500" width="8.85546875" style="7"/>
    <col min="11501" max="11501" width="9.42578125" style="7" bestFit="1" customWidth="1"/>
    <col min="11502" max="11742" width="8.85546875" style="7"/>
    <col min="11743" max="11743" width="1.85546875" style="7" customWidth="1"/>
    <col min="11744" max="11744" width="7.28515625" style="7" customWidth="1"/>
    <col min="11745" max="11745" width="9.85546875" style="7" customWidth="1"/>
    <col min="11746" max="11746" width="12.7109375" style="7" customWidth="1"/>
    <col min="11747" max="11747" width="11.140625" style="7" customWidth="1"/>
    <col min="11748" max="11748" width="10.85546875" style="7" customWidth="1"/>
    <col min="11749" max="11749" width="11.42578125" style="7" customWidth="1"/>
    <col min="11750" max="11750" width="13.42578125" style="7" customWidth="1"/>
    <col min="11751" max="11751" width="11.140625" style="7" customWidth="1"/>
    <col min="11752" max="11752" width="11.28515625" style="7" bestFit="1" customWidth="1"/>
    <col min="11753" max="11753" width="11.42578125" style="7" customWidth="1"/>
    <col min="11754" max="11754" width="8.85546875" style="7" customWidth="1"/>
    <col min="11755" max="11755" width="9.85546875" style="7" bestFit="1" customWidth="1"/>
    <col min="11756" max="11756" width="8.85546875" style="7"/>
    <col min="11757" max="11757" width="9.42578125" style="7" bestFit="1" customWidth="1"/>
    <col min="11758" max="11998" width="8.85546875" style="7"/>
    <col min="11999" max="11999" width="1.85546875" style="7" customWidth="1"/>
    <col min="12000" max="12000" width="7.28515625" style="7" customWidth="1"/>
    <col min="12001" max="12001" width="9.85546875" style="7" customWidth="1"/>
    <col min="12002" max="12002" width="12.7109375" style="7" customWidth="1"/>
    <col min="12003" max="12003" width="11.140625" style="7" customWidth="1"/>
    <col min="12004" max="12004" width="10.85546875" style="7" customWidth="1"/>
    <col min="12005" max="12005" width="11.42578125" style="7" customWidth="1"/>
    <col min="12006" max="12006" width="13.42578125" style="7" customWidth="1"/>
    <col min="12007" max="12007" width="11.140625" style="7" customWidth="1"/>
    <col min="12008" max="12008" width="11.28515625" style="7" bestFit="1" customWidth="1"/>
    <col min="12009" max="12009" width="11.42578125" style="7" customWidth="1"/>
    <col min="12010" max="12010" width="8.85546875" style="7" customWidth="1"/>
    <col min="12011" max="12011" width="9.85546875" style="7" bestFit="1" customWidth="1"/>
    <col min="12012" max="12012" width="8.85546875" style="7"/>
    <col min="12013" max="12013" width="9.42578125" style="7" bestFit="1" customWidth="1"/>
    <col min="12014" max="12254" width="8.85546875" style="7"/>
    <col min="12255" max="12255" width="1.85546875" style="7" customWidth="1"/>
    <col min="12256" max="12256" width="7.28515625" style="7" customWidth="1"/>
    <col min="12257" max="12257" width="9.85546875" style="7" customWidth="1"/>
    <col min="12258" max="12258" width="12.7109375" style="7" customWidth="1"/>
    <col min="12259" max="12259" width="11.140625" style="7" customWidth="1"/>
    <col min="12260" max="12260" width="10.85546875" style="7" customWidth="1"/>
    <col min="12261" max="12261" width="11.42578125" style="7" customWidth="1"/>
    <col min="12262" max="12262" width="13.42578125" style="7" customWidth="1"/>
    <col min="12263" max="12263" width="11.140625" style="7" customWidth="1"/>
    <col min="12264" max="12264" width="11.28515625" style="7" bestFit="1" customWidth="1"/>
    <col min="12265" max="12265" width="11.42578125" style="7" customWidth="1"/>
    <col min="12266" max="12266" width="8.85546875" style="7" customWidth="1"/>
    <col min="12267" max="12267" width="9.85546875" style="7" bestFit="1" customWidth="1"/>
    <col min="12268" max="12268" width="8.85546875" style="7"/>
    <col min="12269" max="12269" width="9.42578125" style="7" bestFit="1" customWidth="1"/>
    <col min="12270" max="12510" width="8.85546875" style="7"/>
    <col min="12511" max="12511" width="1.85546875" style="7" customWidth="1"/>
    <col min="12512" max="12512" width="7.28515625" style="7" customWidth="1"/>
    <col min="12513" max="12513" width="9.85546875" style="7" customWidth="1"/>
    <col min="12514" max="12514" width="12.7109375" style="7" customWidth="1"/>
    <col min="12515" max="12515" width="11.140625" style="7" customWidth="1"/>
    <col min="12516" max="12516" width="10.85546875" style="7" customWidth="1"/>
    <col min="12517" max="12517" width="11.42578125" style="7" customWidth="1"/>
    <col min="12518" max="12518" width="13.42578125" style="7" customWidth="1"/>
    <col min="12519" max="12519" width="11.140625" style="7" customWidth="1"/>
    <col min="12520" max="12520" width="11.28515625" style="7" bestFit="1" customWidth="1"/>
    <col min="12521" max="12521" width="11.42578125" style="7" customWidth="1"/>
    <col min="12522" max="12522" width="8.85546875" style="7" customWidth="1"/>
    <col min="12523" max="12523" width="9.85546875" style="7" bestFit="1" customWidth="1"/>
    <col min="12524" max="12524" width="8.85546875" style="7"/>
    <col min="12525" max="12525" width="9.42578125" style="7" bestFit="1" customWidth="1"/>
    <col min="12526" max="12766" width="8.85546875" style="7"/>
    <col min="12767" max="12767" width="1.85546875" style="7" customWidth="1"/>
    <col min="12768" max="12768" width="7.28515625" style="7" customWidth="1"/>
    <col min="12769" max="12769" width="9.85546875" style="7" customWidth="1"/>
    <col min="12770" max="12770" width="12.7109375" style="7" customWidth="1"/>
    <col min="12771" max="12771" width="11.140625" style="7" customWidth="1"/>
    <col min="12772" max="12772" width="10.85546875" style="7" customWidth="1"/>
    <col min="12773" max="12773" width="11.42578125" style="7" customWidth="1"/>
    <col min="12774" max="12774" width="13.42578125" style="7" customWidth="1"/>
    <col min="12775" max="12775" width="11.140625" style="7" customWidth="1"/>
    <col min="12776" max="12776" width="11.28515625" style="7" bestFit="1" customWidth="1"/>
    <col min="12777" max="12777" width="11.42578125" style="7" customWidth="1"/>
    <col min="12778" max="12778" width="8.85546875" style="7" customWidth="1"/>
    <col min="12779" max="12779" width="9.85546875" style="7" bestFit="1" customWidth="1"/>
    <col min="12780" max="12780" width="8.85546875" style="7"/>
    <col min="12781" max="12781" width="9.42578125" style="7" bestFit="1" customWidth="1"/>
    <col min="12782" max="13022" width="8.85546875" style="7"/>
    <col min="13023" max="13023" width="1.85546875" style="7" customWidth="1"/>
    <col min="13024" max="13024" width="7.28515625" style="7" customWidth="1"/>
    <col min="13025" max="13025" width="9.85546875" style="7" customWidth="1"/>
    <col min="13026" max="13026" width="12.7109375" style="7" customWidth="1"/>
    <col min="13027" max="13027" width="11.140625" style="7" customWidth="1"/>
    <col min="13028" max="13028" width="10.85546875" style="7" customWidth="1"/>
    <col min="13029" max="13029" width="11.42578125" style="7" customWidth="1"/>
    <col min="13030" max="13030" width="13.42578125" style="7" customWidth="1"/>
    <col min="13031" max="13031" width="11.140625" style="7" customWidth="1"/>
    <col min="13032" max="13032" width="11.28515625" style="7" bestFit="1" customWidth="1"/>
    <col min="13033" max="13033" width="11.42578125" style="7" customWidth="1"/>
    <col min="13034" max="13034" width="8.85546875" style="7" customWidth="1"/>
    <col min="13035" max="13035" width="9.85546875" style="7" bestFit="1" customWidth="1"/>
    <col min="13036" max="13036" width="8.85546875" style="7"/>
    <col min="13037" max="13037" width="9.42578125" style="7" bestFit="1" customWidth="1"/>
    <col min="13038" max="13278" width="8.85546875" style="7"/>
    <col min="13279" max="13279" width="1.85546875" style="7" customWidth="1"/>
    <col min="13280" max="13280" width="7.28515625" style="7" customWidth="1"/>
    <col min="13281" max="13281" width="9.85546875" style="7" customWidth="1"/>
    <col min="13282" max="13282" width="12.7109375" style="7" customWidth="1"/>
    <col min="13283" max="13283" width="11.140625" style="7" customWidth="1"/>
    <col min="13284" max="13284" width="10.85546875" style="7" customWidth="1"/>
    <col min="13285" max="13285" width="11.42578125" style="7" customWidth="1"/>
    <col min="13286" max="13286" width="13.42578125" style="7" customWidth="1"/>
    <col min="13287" max="13287" width="11.140625" style="7" customWidth="1"/>
    <col min="13288" max="13288" width="11.28515625" style="7" bestFit="1" customWidth="1"/>
    <col min="13289" max="13289" width="11.42578125" style="7" customWidth="1"/>
    <col min="13290" max="13290" width="8.85546875" style="7" customWidth="1"/>
    <col min="13291" max="13291" width="9.85546875" style="7" bestFit="1" customWidth="1"/>
    <col min="13292" max="13292" width="8.85546875" style="7"/>
    <col min="13293" max="13293" width="9.42578125" style="7" bestFit="1" customWidth="1"/>
    <col min="13294" max="13534" width="8.85546875" style="7"/>
    <col min="13535" max="13535" width="1.85546875" style="7" customWidth="1"/>
    <col min="13536" max="13536" width="7.28515625" style="7" customWidth="1"/>
    <col min="13537" max="13537" width="9.85546875" style="7" customWidth="1"/>
    <col min="13538" max="13538" width="12.7109375" style="7" customWidth="1"/>
    <col min="13539" max="13539" width="11.140625" style="7" customWidth="1"/>
    <col min="13540" max="13540" width="10.85546875" style="7" customWidth="1"/>
    <col min="13541" max="13541" width="11.42578125" style="7" customWidth="1"/>
    <col min="13542" max="13542" width="13.42578125" style="7" customWidth="1"/>
    <col min="13543" max="13543" width="11.140625" style="7" customWidth="1"/>
    <col min="13544" max="13544" width="11.28515625" style="7" bestFit="1" customWidth="1"/>
    <col min="13545" max="13545" width="11.42578125" style="7" customWidth="1"/>
    <col min="13546" max="13546" width="8.85546875" style="7" customWidth="1"/>
    <col min="13547" max="13547" width="9.85546875" style="7" bestFit="1" customWidth="1"/>
    <col min="13548" max="13548" width="8.85546875" style="7"/>
    <col min="13549" max="13549" width="9.42578125" style="7" bestFit="1" customWidth="1"/>
    <col min="13550" max="13790" width="8.85546875" style="7"/>
    <col min="13791" max="13791" width="1.85546875" style="7" customWidth="1"/>
    <col min="13792" max="13792" width="7.28515625" style="7" customWidth="1"/>
    <col min="13793" max="13793" width="9.85546875" style="7" customWidth="1"/>
    <col min="13794" max="13794" width="12.7109375" style="7" customWidth="1"/>
    <col min="13795" max="13795" width="11.140625" style="7" customWidth="1"/>
    <col min="13796" max="13796" width="10.85546875" style="7" customWidth="1"/>
    <col min="13797" max="13797" width="11.42578125" style="7" customWidth="1"/>
    <col min="13798" max="13798" width="13.42578125" style="7" customWidth="1"/>
    <col min="13799" max="13799" width="11.140625" style="7" customWidth="1"/>
    <col min="13800" max="13800" width="11.28515625" style="7" bestFit="1" customWidth="1"/>
    <col min="13801" max="13801" width="11.42578125" style="7" customWidth="1"/>
    <col min="13802" max="13802" width="8.85546875" style="7" customWidth="1"/>
    <col min="13803" max="13803" width="9.85546875" style="7" bestFit="1" customWidth="1"/>
    <col min="13804" max="13804" width="8.85546875" style="7"/>
    <col min="13805" max="13805" width="9.42578125" style="7" bestFit="1" customWidth="1"/>
    <col min="13806" max="14046" width="8.85546875" style="7"/>
    <col min="14047" max="14047" width="1.85546875" style="7" customWidth="1"/>
    <col min="14048" max="14048" width="7.28515625" style="7" customWidth="1"/>
    <col min="14049" max="14049" width="9.85546875" style="7" customWidth="1"/>
    <col min="14050" max="14050" width="12.7109375" style="7" customWidth="1"/>
    <col min="14051" max="14051" width="11.140625" style="7" customWidth="1"/>
    <col min="14052" max="14052" width="10.85546875" style="7" customWidth="1"/>
    <col min="14053" max="14053" width="11.42578125" style="7" customWidth="1"/>
    <col min="14054" max="14054" width="13.42578125" style="7" customWidth="1"/>
    <col min="14055" max="14055" width="11.140625" style="7" customWidth="1"/>
    <col min="14056" max="14056" width="11.28515625" style="7" bestFit="1" customWidth="1"/>
    <col min="14057" max="14057" width="11.42578125" style="7" customWidth="1"/>
    <col min="14058" max="14058" width="8.85546875" style="7" customWidth="1"/>
    <col min="14059" max="14059" width="9.85546875" style="7" bestFit="1" customWidth="1"/>
    <col min="14060" max="14060" width="8.85546875" style="7"/>
    <col min="14061" max="14061" width="9.42578125" style="7" bestFit="1" customWidth="1"/>
    <col min="14062" max="14302" width="8.85546875" style="7"/>
    <col min="14303" max="14303" width="1.85546875" style="7" customWidth="1"/>
    <col min="14304" max="14304" width="7.28515625" style="7" customWidth="1"/>
    <col min="14305" max="14305" width="9.85546875" style="7" customWidth="1"/>
    <col min="14306" max="14306" width="12.7109375" style="7" customWidth="1"/>
    <col min="14307" max="14307" width="11.140625" style="7" customWidth="1"/>
    <col min="14308" max="14308" width="10.85546875" style="7" customWidth="1"/>
    <col min="14309" max="14309" width="11.42578125" style="7" customWidth="1"/>
    <col min="14310" max="14310" width="13.42578125" style="7" customWidth="1"/>
    <col min="14311" max="14311" width="11.140625" style="7" customWidth="1"/>
    <col min="14312" max="14312" width="11.28515625" style="7" bestFit="1" customWidth="1"/>
    <col min="14313" max="14313" width="11.42578125" style="7" customWidth="1"/>
    <col min="14314" max="14314" width="8.85546875" style="7" customWidth="1"/>
    <col min="14315" max="14315" width="9.85546875" style="7" bestFit="1" customWidth="1"/>
    <col min="14316" max="14316" width="8.85546875" style="7"/>
    <col min="14317" max="14317" width="9.42578125" style="7" bestFit="1" customWidth="1"/>
    <col min="14318" max="14558" width="8.85546875" style="7"/>
    <col min="14559" max="14559" width="1.85546875" style="7" customWidth="1"/>
    <col min="14560" max="14560" width="7.28515625" style="7" customWidth="1"/>
    <col min="14561" max="14561" width="9.85546875" style="7" customWidth="1"/>
    <col min="14562" max="14562" width="12.7109375" style="7" customWidth="1"/>
    <col min="14563" max="14563" width="11.140625" style="7" customWidth="1"/>
    <col min="14564" max="14564" width="10.85546875" style="7" customWidth="1"/>
    <col min="14565" max="14565" width="11.42578125" style="7" customWidth="1"/>
    <col min="14566" max="14566" width="13.42578125" style="7" customWidth="1"/>
    <col min="14567" max="14567" width="11.140625" style="7" customWidth="1"/>
    <col min="14568" max="14568" width="11.28515625" style="7" bestFit="1" customWidth="1"/>
    <col min="14569" max="14569" width="11.42578125" style="7" customWidth="1"/>
    <col min="14570" max="14570" width="8.85546875" style="7" customWidth="1"/>
    <col min="14571" max="14571" width="9.85546875" style="7" bestFit="1" customWidth="1"/>
    <col min="14572" max="14572" width="8.85546875" style="7"/>
    <col min="14573" max="14573" width="9.42578125" style="7" bestFit="1" customWidth="1"/>
    <col min="14574" max="14814" width="8.85546875" style="7"/>
    <col min="14815" max="14815" width="1.85546875" style="7" customWidth="1"/>
    <col min="14816" max="14816" width="7.28515625" style="7" customWidth="1"/>
    <col min="14817" max="14817" width="9.85546875" style="7" customWidth="1"/>
    <col min="14818" max="14818" width="12.7109375" style="7" customWidth="1"/>
    <col min="14819" max="14819" width="11.140625" style="7" customWidth="1"/>
    <col min="14820" max="14820" width="10.85546875" style="7" customWidth="1"/>
    <col min="14821" max="14821" width="11.42578125" style="7" customWidth="1"/>
    <col min="14822" max="14822" width="13.42578125" style="7" customWidth="1"/>
    <col min="14823" max="14823" width="11.140625" style="7" customWidth="1"/>
    <col min="14824" max="14824" width="11.28515625" style="7" bestFit="1" customWidth="1"/>
    <col min="14825" max="14825" width="11.42578125" style="7" customWidth="1"/>
    <col min="14826" max="14826" width="8.85546875" style="7" customWidth="1"/>
    <col min="14827" max="14827" width="9.85546875" style="7" bestFit="1" customWidth="1"/>
    <col min="14828" max="14828" width="8.85546875" style="7"/>
    <col min="14829" max="14829" width="9.42578125" style="7" bestFit="1" customWidth="1"/>
    <col min="14830" max="15070" width="8.85546875" style="7"/>
    <col min="15071" max="15071" width="1.85546875" style="7" customWidth="1"/>
    <col min="15072" max="15072" width="7.28515625" style="7" customWidth="1"/>
    <col min="15073" max="15073" width="9.85546875" style="7" customWidth="1"/>
    <col min="15074" max="15074" width="12.7109375" style="7" customWidth="1"/>
    <col min="15075" max="15075" width="11.140625" style="7" customWidth="1"/>
    <col min="15076" max="15076" width="10.85546875" style="7" customWidth="1"/>
    <col min="15077" max="15077" width="11.42578125" style="7" customWidth="1"/>
    <col min="15078" max="15078" width="13.42578125" style="7" customWidth="1"/>
    <col min="15079" max="15079" width="11.140625" style="7" customWidth="1"/>
    <col min="15080" max="15080" width="11.28515625" style="7" bestFit="1" customWidth="1"/>
    <col min="15081" max="15081" width="11.42578125" style="7" customWidth="1"/>
    <col min="15082" max="15082" width="8.85546875" style="7" customWidth="1"/>
    <col min="15083" max="15083" width="9.85546875" style="7" bestFit="1" customWidth="1"/>
    <col min="15084" max="15084" width="8.85546875" style="7"/>
    <col min="15085" max="15085" width="9.42578125" style="7" bestFit="1" customWidth="1"/>
    <col min="15086" max="15326" width="8.85546875" style="7"/>
    <col min="15327" max="15327" width="1.85546875" style="7" customWidth="1"/>
    <col min="15328" max="15328" width="7.28515625" style="7" customWidth="1"/>
    <col min="15329" max="15329" width="9.85546875" style="7" customWidth="1"/>
    <col min="15330" max="15330" width="12.7109375" style="7" customWidth="1"/>
    <col min="15331" max="15331" width="11.140625" style="7" customWidth="1"/>
    <col min="15332" max="15332" width="10.85546875" style="7" customWidth="1"/>
    <col min="15333" max="15333" width="11.42578125" style="7" customWidth="1"/>
    <col min="15334" max="15334" width="13.42578125" style="7" customWidth="1"/>
    <col min="15335" max="15335" width="11.140625" style="7" customWidth="1"/>
    <col min="15336" max="15336" width="11.28515625" style="7" bestFit="1" customWidth="1"/>
    <col min="15337" max="15337" width="11.42578125" style="7" customWidth="1"/>
    <col min="15338" max="15338" width="8.85546875" style="7" customWidth="1"/>
    <col min="15339" max="15339" width="9.85546875" style="7" bestFit="1" customWidth="1"/>
    <col min="15340" max="15340" width="8.85546875" style="7"/>
    <col min="15341" max="15341" width="9.42578125" style="7" bestFit="1" customWidth="1"/>
    <col min="15342" max="15582" width="8.85546875" style="7"/>
    <col min="15583" max="15583" width="1.85546875" style="7" customWidth="1"/>
    <col min="15584" max="15584" width="7.28515625" style="7" customWidth="1"/>
    <col min="15585" max="15585" width="9.85546875" style="7" customWidth="1"/>
    <col min="15586" max="15586" width="12.7109375" style="7" customWidth="1"/>
    <col min="15587" max="15587" width="11.140625" style="7" customWidth="1"/>
    <col min="15588" max="15588" width="10.85546875" style="7" customWidth="1"/>
    <col min="15589" max="15589" width="11.42578125" style="7" customWidth="1"/>
    <col min="15590" max="15590" width="13.42578125" style="7" customWidth="1"/>
    <col min="15591" max="15591" width="11.140625" style="7" customWidth="1"/>
    <col min="15592" max="15592" width="11.28515625" style="7" bestFit="1" customWidth="1"/>
    <col min="15593" max="15593" width="11.42578125" style="7" customWidth="1"/>
    <col min="15594" max="15594" width="8.85546875" style="7" customWidth="1"/>
    <col min="15595" max="15595" width="9.85546875" style="7" bestFit="1" customWidth="1"/>
    <col min="15596" max="15596" width="8.85546875" style="7"/>
    <col min="15597" max="15597" width="9.42578125" style="7" bestFit="1" customWidth="1"/>
    <col min="15598" max="15838" width="8.85546875" style="7"/>
    <col min="15839" max="15839" width="1.85546875" style="7" customWidth="1"/>
    <col min="15840" max="15840" width="7.28515625" style="7" customWidth="1"/>
    <col min="15841" max="15841" width="9.85546875" style="7" customWidth="1"/>
    <col min="15842" max="15842" width="12.7109375" style="7" customWidth="1"/>
    <col min="15843" max="15843" width="11.140625" style="7" customWidth="1"/>
    <col min="15844" max="15844" width="10.85546875" style="7" customWidth="1"/>
    <col min="15845" max="15845" width="11.42578125" style="7" customWidth="1"/>
    <col min="15846" max="15846" width="13.42578125" style="7" customWidth="1"/>
    <col min="15847" max="15847" width="11.140625" style="7" customWidth="1"/>
    <col min="15848" max="15848" width="11.28515625" style="7" bestFit="1" customWidth="1"/>
    <col min="15849" max="15849" width="11.42578125" style="7" customWidth="1"/>
    <col min="15850" max="15850" width="8.85546875" style="7" customWidth="1"/>
    <col min="15851" max="15851" width="9.85546875" style="7" bestFit="1" customWidth="1"/>
    <col min="15852" max="15852" width="8.85546875" style="7"/>
    <col min="15853" max="15853" width="9.42578125" style="7" bestFit="1" customWidth="1"/>
    <col min="15854" max="16094" width="8.85546875" style="7"/>
    <col min="16095" max="16095" width="1.85546875" style="7" customWidth="1"/>
    <col min="16096" max="16096" width="7.28515625" style="7" customWidth="1"/>
    <col min="16097" max="16097" width="9.85546875" style="7" customWidth="1"/>
    <col min="16098" max="16098" width="12.7109375" style="7" customWidth="1"/>
    <col min="16099" max="16099" width="11.140625" style="7" customWidth="1"/>
    <col min="16100" max="16100" width="10.85546875" style="7" customWidth="1"/>
    <col min="16101" max="16101" width="11.42578125" style="7" customWidth="1"/>
    <col min="16102" max="16102" width="13.42578125" style="7" customWidth="1"/>
    <col min="16103" max="16103" width="11.140625" style="7" customWidth="1"/>
    <col min="16104" max="16104" width="11.28515625" style="7" bestFit="1" customWidth="1"/>
    <col min="16105" max="16105" width="11.42578125" style="7" customWidth="1"/>
    <col min="16106" max="16106" width="8.85546875" style="7" customWidth="1"/>
    <col min="16107" max="16107" width="9.85546875" style="7" bestFit="1" customWidth="1"/>
    <col min="16108" max="16108" width="8.85546875" style="7"/>
    <col min="16109" max="16109" width="9.42578125" style="7" bestFit="1" customWidth="1"/>
    <col min="16110" max="16384" width="8.85546875" style="7"/>
  </cols>
  <sheetData>
    <row r="1" spans="1:5" ht="15" customHeight="1" thickBot="1" x14ac:dyDescent="0.3">
      <c r="A1" s="335" t="s">
        <v>250</v>
      </c>
      <c r="B1" s="336"/>
      <c r="C1" s="336"/>
      <c r="D1" s="337"/>
    </row>
    <row r="2" spans="1:5" ht="15" customHeight="1" x14ac:dyDescent="0.25">
      <c r="A2" s="338" t="s">
        <v>251</v>
      </c>
      <c r="B2" s="338"/>
      <c r="C2" s="338"/>
      <c r="D2" s="338"/>
    </row>
    <row r="3" spans="1:5" ht="15" customHeight="1" x14ac:dyDescent="0.25">
      <c r="A3" s="338" t="s">
        <v>252</v>
      </c>
      <c r="B3" s="338"/>
      <c r="C3" s="338"/>
      <c r="D3" s="338"/>
    </row>
    <row r="4" spans="1:5" ht="15" customHeight="1" thickBot="1" x14ac:dyDescent="0.3">
      <c r="A4" s="339"/>
      <c r="B4" s="339"/>
      <c r="C4" s="339"/>
      <c r="D4" s="339"/>
    </row>
    <row r="5" spans="1:5" ht="15" customHeight="1" thickBot="1" x14ac:dyDescent="0.3">
      <c r="A5" s="335" t="s">
        <v>253</v>
      </c>
      <c r="B5" s="336"/>
      <c r="C5" s="336"/>
      <c r="D5" s="337"/>
    </row>
    <row r="6" spans="1:5" ht="15" customHeight="1" thickBot="1" x14ac:dyDescent="0.3">
      <c r="A6" s="343" t="s">
        <v>254</v>
      </c>
      <c r="B6" s="344"/>
      <c r="C6" s="345"/>
      <c r="D6" s="346"/>
    </row>
    <row r="7" spans="1:5" ht="15" customHeight="1" x14ac:dyDescent="0.25">
      <c r="A7" s="50" t="s">
        <v>255</v>
      </c>
      <c r="B7" s="51" t="s">
        <v>256</v>
      </c>
      <c r="C7" s="347" t="s">
        <v>257</v>
      </c>
      <c r="D7" s="348"/>
    </row>
    <row r="8" spans="1:5" ht="15" customHeight="1" x14ac:dyDescent="0.25">
      <c r="A8" s="52" t="s">
        <v>258</v>
      </c>
      <c r="B8" s="53" t="s">
        <v>259</v>
      </c>
      <c r="C8" s="349"/>
      <c r="D8" s="350"/>
    </row>
    <row r="9" spans="1:5" ht="15" customHeight="1" x14ac:dyDescent="0.25">
      <c r="A9" s="52" t="s">
        <v>260</v>
      </c>
      <c r="B9" s="53" t="s">
        <v>261</v>
      </c>
      <c r="C9" s="349"/>
      <c r="D9" s="350"/>
    </row>
    <row r="10" spans="1:5" ht="15" customHeight="1" thickBot="1" x14ac:dyDescent="0.3">
      <c r="A10" s="54" t="s">
        <v>262</v>
      </c>
      <c r="B10" s="55" t="s">
        <v>263</v>
      </c>
      <c r="C10" s="351"/>
      <c r="D10" s="352"/>
    </row>
    <row r="11" spans="1:5" ht="15" customHeight="1" thickBot="1" x14ac:dyDescent="0.3">
      <c r="A11" s="56"/>
      <c r="B11" s="57"/>
      <c r="D11" s="59"/>
    </row>
    <row r="12" spans="1:5" ht="15" customHeight="1" thickBot="1" x14ac:dyDescent="0.3">
      <c r="A12" s="343" t="s">
        <v>264</v>
      </c>
      <c r="B12" s="344"/>
      <c r="C12" s="344"/>
      <c r="D12" s="353"/>
    </row>
    <row r="13" spans="1:5" ht="15" customHeight="1" x14ac:dyDescent="0.25">
      <c r="A13" s="50" t="s">
        <v>265</v>
      </c>
      <c r="B13" s="51" t="s">
        <v>266</v>
      </c>
      <c r="C13" s="340"/>
      <c r="D13" s="341"/>
    </row>
    <row r="14" spans="1:5" ht="15" customHeight="1" x14ac:dyDescent="0.25">
      <c r="A14" s="52" t="s">
        <v>267</v>
      </c>
      <c r="B14" s="342" t="s">
        <v>268</v>
      </c>
      <c r="C14" s="342"/>
      <c r="D14" s="60" t="s">
        <v>269</v>
      </c>
    </row>
    <row r="15" spans="1:5" ht="15" customHeight="1" x14ac:dyDescent="0.25">
      <c r="A15" s="52" t="s">
        <v>270</v>
      </c>
      <c r="B15" s="53" t="s">
        <v>271</v>
      </c>
      <c r="C15" s="61" t="s">
        <v>272</v>
      </c>
      <c r="D15" s="60" t="s">
        <v>468</v>
      </c>
      <c r="E15" s="62"/>
    </row>
    <row r="16" spans="1:5" ht="28.5" x14ac:dyDescent="0.25">
      <c r="A16" s="52" t="s">
        <v>273</v>
      </c>
      <c r="B16" s="342" t="s">
        <v>274</v>
      </c>
      <c r="C16" s="342"/>
      <c r="D16" s="63" t="s">
        <v>419</v>
      </c>
    </row>
    <row r="17" spans="1:5" ht="15" customHeight="1" x14ac:dyDescent="0.25">
      <c r="A17" s="52" t="s">
        <v>275</v>
      </c>
      <c r="B17" s="342" t="s">
        <v>276</v>
      </c>
      <c r="C17" s="342"/>
      <c r="D17" s="60" t="s">
        <v>277</v>
      </c>
    </row>
    <row r="18" spans="1:5" ht="15" customHeight="1" thickBot="1" x14ac:dyDescent="0.3">
      <c r="A18" s="54" t="s">
        <v>278</v>
      </c>
      <c r="B18" s="64" t="s">
        <v>279</v>
      </c>
      <c r="C18" s="65" t="s">
        <v>280</v>
      </c>
      <c r="D18" s="66">
        <v>1302</v>
      </c>
    </row>
    <row r="19" spans="1:5" ht="15" customHeight="1" thickBot="1" x14ac:dyDescent="0.3">
      <c r="D19" s="68"/>
    </row>
    <row r="20" spans="1:5" ht="15" customHeight="1" thickBot="1" x14ac:dyDescent="0.3">
      <c r="A20" s="323" t="s">
        <v>281</v>
      </c>
      <c r="B20" s="324"/>
      <c r="C20" s="324"/>
      <c r="D20" s="325"/>
      <c r="E20" s="69" t="s">
        <v>235</v>
      </c>
    </row>
    <row r="21" spans="1:5" ht="30" x14ac:dyDescent="0.25">
      <c r="A21" s="50" t="s">
        <v>282</v>
      </c>
      <c r="B21" s="326" t="s">
        <v>283</v>
      </c>
      <c r="C21" s="326"/>
      <c r="D21" s="70" t="s">
        <v>441</v>
      </c>
    </row>
    <row r="22" spans="1:5" ht="15" customHeight="1" x14ac:dyDescent="0.25">
      <c r="A22" s="52" t="s">
        <v>285</v>
      </c>
      <c r="B22" s="327" t="s">
        <v>286</v>
      </c>
      <c r="C22" s="327"/>
      <c r="D22" s="71" t="s">
        <v>442</v>
      </c>
    </row>
    <row r="23" spans="1:5" ht="15" customHeight="1" x14ac:dyDescent="0.25">
      <c r="A23" s="52" t="s">
        <v>288</v>
      </c>
      <c r="B23" s="327" t="s">
        <v>289</v>
      </c>
      <c r="C23" s="327"/>
      <c r="D23" s="72">
        <v>1515.92</v>
      </c>
      <c r="E23" s="73" t="s">
        <v>435</v>
      </c>
    </row>
    <row r="24" spans="1:5" ht="15" customHeight="1" x14ac:dyDescent="0.25">
      <c r="A24" s="52" t="s">
        <v>291</v>
      </c>
      <c r="B24" s="327" t="s">
        <v>292</v>
      </c>
      <c r="C24" s="327"/>
      <c r="D24" s="74" t="s">
        <v>436</v>
      </c>
      <c r="E24" s="73" t="s">
        <v>437</v>
      </c>
    </row>
    <row r="25" spans="1:5" ht="15" customHeight="1" x14ac:dyDescent="0.25">
      <c r="A25" s="52" t="s">
        <v>295</v>
      </c>
      <c r="B25" s="327" t="s">
        <v>296</v>
      </c>
      <c r="C25" s="327"/>
      <c r="D25" s="75">
        <v>44945</v>
      </c>
    </row>
    <row r="26" spans="1:5" ht="15" customHeight="1" x14ac:dyDescent="0.25">
      <c r="A26" s="52" t="s">
        <v>297</v>
      </c>
      <c r="B26" s="327" t="s">
        <v>298</v>
      </c>
      <c r="C26" s="327"/>
      <c r="D26" s="76">
        <v>44927</v>
      </c>
    </row>
    <row r="27" spans="1:5" ht="15" customHeight="1" x14ac:dyDescent="0.25">
      <c r="A27" s="52" t="s">
        <v>299</v>
      </c>
      <c r="B27" s="327" t="s">
        <v>300</v>
      </c>
      <c r="C27" s="328"/>
      <c r="D27" s="76" t="s">
        <v>301</v>
      </c>
      <c r="E27" s="73" t="s">
        <v>438</v>
      </c>
    </row>
    <row r="28" spans="1:5" ht="15" customHeight="1" thickBot="1" x14ac:dyDescent="0.3">
      <c r="A28" s="54" t="s">
        <v>303</v>
      </c>
      <c r="B28" s="329" t="s">
        <v>304</v>
      </c>
      <c r="C28" s="330"/>
      <c r="D28" s="77">
        <v>1</v>
      </c>
      <c r="E28" s="62"/>
    </row>
    <row r="29" spans="1:5" ht="15" customHeight="1" thickBot="1" x14ac:dyDescent="0.3">
      <c r="A29" s="78"/>
      <c r="B29" s="79"/>
      <c r="C29" s="79"/>
      <c r="D29" s="80"/>
    </row>
    <row r="30" spans="1:5" ht="15" customHeight="1" x14ac:dyDescent="0.25">
      <c r="A30" s="302" t="s">
        <v>305</v>
      </c>
      <c r="B30" s="303"/>
      <c r="C30" s="303"/>
      <c r="D30" s="304"/>
    </row>
    <row r="31" spans="1:5" ht="15" customHeight="1" x14ac:dyDescent="0.25">
      <c r="A31" s="315" t="s">
        <v>306</v>
      </c>
      <c r="B31" s="316"/>
      <c r="C31" s="331"/>
      <c r="D31" s="81" t="s">
        <v>307</v>
      </c>
    </row>
    <row r="32" spans="1:5" ht="15" customHeight="1" x14ac:dyDescent="0.25">
      <c r="A32" s="52" t="s">
        <v>308</v>
      </c>
      <c r="B32" s="332" t="s">
        <v>309</v>
      </c>
      <c r="C32" s="332"/>
      <c r="D32" s="82">
        <f>D23</f>
        <v>1515.92</v>
      </c>
      <c r="E32" s="73"/>
    </row>
    <row r="33" spans="1:5" ht="15" customHeight="1" x14ac:dyDescent="0.25">
      <c r="A33" s="52" t="s">
        <v>424</v>
      </c>
      <c r="B33" s="92" t="s">
        <v>425</v>
      </c>
      <c r="C33" s="137">
        <v>0.3</v>
      </c>
      <c r="D33" s="82">
        <f>D32*C33</f>
        <v>454.77600000000001</v>
      </c>
      <c r="E33" s="73"/>
    </row>
    <row r="34" spans="1:5" ht="15" customHeight="1" thickBot="1" x14ac:dyDescent="0.3">
      <c r="A34" s="333" t="s">
        <v>310</v>
      </c>
      <c r="B34" s="334"/>
      <c r="C34" s="334"/>
      <c r="D34" s="83">
        <f>SUM(D32:D33)</f>
        <v>1970.6960000000001</v>
      </c>
      <c r="E34" s="84"/>
    </row>
    <row r="35" spans="1:5" ht="15" customHeight="1" thickBot="1" x14ac:dyDescent="0.3">
      <c r="A35" s="67"/>
      <c r="C35" s="67"/>
      <c r="D35" s="67"/>
    </row>
    <row r="36" spans="1:5" ht="15" customHeight="1" x14ac:dyDescent="0.25">
      <c r="A36" s="302" t="s">
        <v>311</v>
      </c>
      <c r="B36" s="303"/>
      <c r="C36" s="303"/>
      <c r="D36" s="304"/>
    </row>
    <row r="37" spans="1:5" ht="15" customHeight="1" x14ac:dyDescent="0.25">
      <c r="A37" s="305" t="s">
        <v>312</v>
      </c>
      <c r="B37" s="306"/>
      <c r="C37" s="85" t="s">
        <v>313</v>
      </c>
      <c r="D37" s="86" t="s">
        <v>314</v>
      </c>
    </row>
    <row r="38" spans="1:5" ht="15" customHeight="1" x14ac:dyDescent="0.25">
      <c r="A38" s="52" t="s">
        <v>308</v>
      </c>
      <c r="B38" s="87" t="s">
        <v>315</v>
      </c>
      <c r="C38" s="88">
        <v>8.3299999999999999E-2</v>
      </c>
      <c r="D38" s="89">
        <f>(D34)*($C$38)</f>
        <v>164.1589768</v>
      </c>
      <c r="E38" s="49" t="s">
        <v>316</v>
      </c>
    </row>
    <row r="39" spans="1:5" ht="28.5" customHeight="1" x14ac:dyDescent="0.25">
      <c r="A39" s="52" t="s">
        <v>317</v>
      </c>
      <c r="B39" s="87" t="s">
        <v>318</v>
      </c>
      <c r="C39" s="88">
        <v>0.121</v>
      </c>
      <c r="D39" s="89">
        <f>(D34)*($C$39)</f>
        <v>238.454216</v>
      </c>
      <c r="E39" s="84" t="s">
        <v>319</v>
      </c>
    </row>
    <row r="40" spans="1:5" ht="15" customHeight="1" x14ac:dyDescent="0.25">
      <c r="A40" s="321" t="s">
        <v>320</v>
      </c>
      <c r="B40" s="322"/>
      <c r="C40" s="90">
        <f>SUM(C38:C39)</f>
        <v>0.20429999999999998</v>
      </c>
      <c r="D40" s="91">
        <f>SUM(D38:D39)</f>
        <v>402.61319279999998</v>
      </c>
    </row>
    <row r="41" spans="1:5" ht="15" customHeight="1" x14ac:dyDescent="0.25">
      <c r="A41" s="305" t="s">
        <v>321</v>
      </c>
      <c r="B41" s="306"/>
      <c r="C41" s="85" t="s">
        <v>313</v>
      </c>
      <c r="D41" s="81" t="s">
        <v>314</v>
      </c>
    </row>
    <row r="42" spans="1:5" ht="15" customHeight="1" x14ac:dyDescent="0.25">
      <c r="A42" s="52" t="s">
        <v>308</v>
      </c>
      <c r="B42" s="92" t="s">
        <v>322</v>
      </c>
      <c r="C42" s="88">
        <v>0.2</v>
      </c>
      <c r="D42" s="89">
        <f t="shared" ref="D42:D49" si="0">($D$34+$D$40)*(C42)</f>
        <v>474.66183856000009</v>
      </c>
    </row>
    <row r="43" spans="1:5" ht="15" customHeight="1" x14ac:dyDescent="0.25">
      <c r="A43" s="52" t="s">
        <v>317</v>
      </c>
      <c r="B43" s="92" t="s">
        <v>323</v>
      </c>
      <c r="C43" s="88">
        <v>2.5000000000000001E-2</v>
      </c>
      <c r="D43" s="89">
        <f t="shared" si="0"/>
        <v>59.332729820000012</v>
      </c>
    </row>
    <row r="44" spans="1:5" ht="31.5" customHeight="1" x14ac:dyDescent="0.25">
      <c r="A44" s="52" t="s">
        <v>324</v>
      </c>
      <c r="B44" s="92" t="s">
        <v>325</v>
      </c>
      <c r="C44" s="88">
        <v>0.06</v>
      </c>
      <c r="D44" s="89">
        <f t="shared" si="0"/>
        <v>142.39855156800002</v>
      </c>
      <c r="E44" s="49" t="s">
        <v>326</v>
      </c>
    </row>
    <row r="45" spans="1:5" ht="15" customHeight="1" x14ac:dyDescent="0.25">
      <c r="A45" s="52" t="s">
        <v>327</v>
      </c>
      <c r="B45" s="92" t="s">
        <v>328</v>
      </c>
      <c r="C45" s="88">
        <v>1.4999999999999999E-2</v>
      </c>
      <c r="D45" s="89">
        <f t="shared" si="0"/>
        <v>35.599637892000004</v>
      </c>
    </row>
    <row r="46" spans="1:5" ht="15" customHeight="1" x14ac:dyDescent="0.25">
      <c r="A46" s="52" t="s">
        <v>329</v>
      </c>
      <c r="B46" s="92" t="s">
        <v>330</v>
      </c>
      <c r="C46" s="88">
        <v>0.01</v>
      </c>
      <c r="D46" s="89">
        <f t="shared" si="0"/>
        <v>23.733091928000004</v>
      </c>
    </row>
    <row r="47" spans="1:5" ht="15" customHeight="1" x14ac:dyDescent="0.25">
      <c r="A47" s="52" t="s">
        <v>331</v>
      </c>
      <c r="B47" s="93" t="s">
        <v>332</v>
      </c>
      <c r="C47" s="88">
        <v>6.0000000000000001E-3</v>
      </c>
      <c r="D47" s="89">
        <f t="shared" si="0"/>
        <v>14.239855156800003</v>
      </c>
    </row>
    <row r="48" spans="1:5" ht="15" customHeight="1" x14ac:dyDescent="0.25">
      <c r="A48" s="52" t="s">
        <v>333</v>
      </c>
      <c r="B48" s="92" t="s">
        <v>334</v>
      </c>
      <c r="C48" s="88">
        <v>2E-3</v>
      </c>
      <c r="D48" s="89">
        <f t="shared" si="0"/>
        <v>4.7466183856000006</v>
      </c>
    </row>
    <row r="49" spans="1:5" ht="15" customHeight="1" x14ac:dyDescent="0.25">
      <c r="A49" s="52" t="s">
        <v>335</v>
      </c>
      <c r="B49" s="92" t="s">
        <v>336</v>
      </c>
      <c r="C49" s="88">
        <v>0.08</v>
      </c>
      <c r="D49" s="89">
        <f t="shared" si="0"/>
        <v>189.86473542400003</v>
      </c>
      <c r="E49" s="84"/>
    </row>
    <row r="50" spans="1:5" ht="15" customHeight="1" x14ac:dyDescent="0.25">
      <c r="A50" s="321" t="s">
        <v>337</v>
      </c>
      <c r="B50" s="322"/>
      <c r="C50" s="90">
        <f>SUM(C42:C49)</f>
        <v>0.39800000000000008</v>
      </c>
      <c r="D50" s="91">
        <f>SUM(D42:D49)</f>
        <v>944.57705873440023</v>
      </c>
    </row>
    <row r="51" spans="1:5" ht="15" customHeight="1" x14ac:dyDescent="0.25">
      <c r="A51" s="305" t="s">
        <v>338</v>
      </c>
      <c r="B51" s="306"/>
      <c r="C51" s="94" t="s">
        <v>339</v>
      </c>
      <c r="D51" s="81" t="s">
        <v>314</v>
      </c>
    </row>
    <row r="52" spans="1:5" ht="15" customHeight="1" x14ac:dyDescent="0.25">
      <c r="A52" s="52" t="s">
        <v>308</v>
      </c>
      <c r="B52" s="95" t="s">
        <v>340</v>
      </c>
      <c r="C52" s="96">
        <v>11</v>
      </c>
      <c r="D52" s="97">
        <f>IF((C52*22)-(D32*6%)&gt;0,(C52*22)-(D32*6%),0)</f>
        <v>151.04480000000001</v>
      </c>
      <c r="E52" s="73" t="s">
        <v>439</v>
      </c>
    </row>
    <row r="53" spans="1:5" ht="15" customHeight="1" x14ac:dyDescent="0.25">
      <c r="A53" s="52" t="s">
        <v>317</v>
      </c>
      <c r="B53" s="95" t="s">
        <v>342</v>
      </c>
      <c r="C53" s="98">
        <v>40.5</v>
      </c>
      <c r="D53" s="89">
        <f>(C53)*22</f>
        <v>891</v>
      </c>
      <c r="E53" s="73" t="s">
        <v>440</v>
      </c>
    </row>
    <row r="54" spans="1:5" ht="15" customHeight="1" x14ac:dyDescent="0.25">
      <c r="A54" s="317" t="s">
        <v>344</v>
      </c>
      <c r="B54" s="318"/>
      <c r="C54" s="99"/>
      <c r="D54" s="91">
        <f>SUM(D52:D53)</f>
        <v>1042.0448000000001</v>
      </c>
    </row>
    <row r="55" spans="1:5" ht="15" customHeight="1" x14ac:dyDescent="0.25">
      <c r="A55" s="315" t="s">
        <v>345</v>
      </c>
      <c r="B55" s="316"/>
      <c r="C55" s="85" t="s">
        <v>346</v>
      </c>
      <c r="D55" s="81" t="s">
        <v>314</v>
      </c>
    </row>
    <row r="56" spans="1:5" ht="15" customHeight="1" x14ac:dyDescent="0.25">
      <c r="A56" s="52" t="s">
        <v>308</v>
      </c>
      <c r="B56" s="87" t="s">
        <v>347</v>
      </c>
      <c r="C56" s="100"/>
      <c r="D56" s="101">
        <f>(D34/220)*150%*0.5*C56</f>
        <v>0</v>
      </c>
      <c r="E56" s="49" t="s">
        <v>348</v>
      </c>
    </row>
    <row r="57" spans="1:5" ht="15" customHeight="1" thickBot="1" x14ac:dyDescent="0.3">
      <c r="A57" s="299" t="s">
        <v>349</v>
      </c>
      <c r="B57" s="300"/>
      <c r="C57" s="102"/>
      <c r="D57" s="103">
        <f>SUM(D56)</f>
        <v>0</v>
      </c>
    </row>
    <row r="58" spans="1:5" ht="15" customHeight="1" x14ac:dyDescent="0.25">
      <c r="A58" s="305" t="s">
        <v>350</v>
      </c>
      <c r="B58" s="306"/>
      <c r="C58" s="306"/>
      <c r="D58" s="319"/>
    </row>
    <row r="59" spans="1:5" ht="15" customHeight="1" x14ac:dyDescent="0.2">
      <c r="A59" s="104" t="s">
        <v>351</v>
      </c>
      <c r="B59" s="320" t="s">
        <v>352</v>
      </c>
      <c r="C59" s="320"/>
      <c r="D59" s="82">
        <f>(D40)</f>
        <v>402.61319279999998</v>
      </c>
    </row>
    <row r="60" spans="1:5" ht="15" customHeight="1" x14ac:dyDescent="0.2">
      <c r="A60" s="104" t="s">
        <v>353</v>
      </c>
      <c r="B60" s="320" t="s">
        <v>354</v>
      </c>
      <c r="C60" s="320"/>
      <c r="D60" s="82">
        <f>(D50)</f>
        <v>944.57705873440023</v>
      </c>
    </row>
    <row r="61" spans="1:5" ht="15" customHeight="1" x14ac:dyDescent="0.2">
      <c r="A61" s="104" t="s">
        <v>355</v>
      </c>
      <c r="B61" s="320" t="s">
        <v>356</v>
      </c>
      <c r="C61" s="320"/>
      <c r="D61" s="82">
        <f>(D54)</f>
        <v>1042.0448000000001</v>
      </c>
    </row>
    <row r="62" spans="1:5" ht="15" customHeight="1" x14ac:dyDescent="0.2">
      <c r="A62" s="104" t="s">
        <v>357</v>
      </c>
      <c r="B62" s="307" t="s">
        <v>358</v>
      </c>
      <c r="C62" s="308"/>
      <c r="D62" s="82">
        <f>D57</f>
        <v>0</v>
      </c>
    </row>
    <row r="63" spans="1:5" ht="15" customHeight="1" thickBot="1" x14ac:dyDescent="0.3">
      <c r="A63" s="299" t="s">
        <v>359</v>
      </c>
      <c r="B63" s="300"/>
      <c r="C63" s="300"/>
      <c r="D63" s="83">
        <f>SUM(D59:D62)</f>
        <v>2389.2350515344006</v>
      </c>
    </row>
    <row r="64" spans="1:5" ht="15" customHeight="1" thickBot="1" x14ac:dyDescent="0.3">
      <c r="A64" s="105"/>
      <c r="B64" s="105"/>
      <c r="C64" s="105"/>
      <c r="D64" s="105"/>
    </row>
    <row r="65" spans="1:5" ht="15" customHeight="1" x14ac:dyDescent="0.25">
      <c r="A65" s="302" t="s">
        <v>360</v>
      </c>
      <c r="B65" s="303"/>
      <c r="C65" s="303"/>
      <c r="D65" s="304"/>
    </row>
    <row r="66" spans="1:5" ht="15" customHeight="1" x14ac:dyDescent="0.25">
      <c r="A66" s="305" t="s">
        <v>361</v>
      </c>
      <c r="B66" s="306"/>
      <c r="C66" s="85" t="s">
        <v>313</v>
      </c>
      <c r="D66" s="81" t="s">
        <v>314</v>
      </c>
    </row>
    <row r="67" spans="1:5" ht="15" customHeight="1" x14ac:dyDescent="0.25">
      <c r="A67" s="52" t="s">
        <v>308</v>
      </c>
      <c r="B67" s="106" t="s">
        <v>362</v>
      </c>
      <c r="C67" s="107">
        <v>4.1999999999999997E-3</v>
      </c>
      <c r="D67" s="101">
        <f t="shared" ref="D67:D72" si="1">($D$34)*(C67)</f>
        <v>8.2769232000000006</v>
      </c>
    </row>
    <row r="68" spans="1:5" ht="28.5" x14ac:dyDescent="0.25">
      <c r="A68" s="52" t="s">
        <v>317</v>
      </c>
      <c r="B68" s="106" t="s">
        <v>363</v>
      </c>
      <c r="C68" s="108">
        <f>($C$49)*(C67)</f>
        <v>3.3599999999999998E-4</v>
      </c>
      <c r="D68" s="101">
        <f t="shared" si="1"/>
        <v>0.66215385599999999</v>
      </c>
    </row>
    <row r="69" spans="1:5" ht="28.5" x14ac:dyDescent="0.25">
      <c r="A69" s="52" t="s">
        <v>324</v>
      </c>
      <c r="B69" s="106" t="s">
        <v>364</v>
      </c>
      <c r="C69" s="108">
        <v>3.9199999999999999E-2</v>
      </c>
      <c r="D69" s="101">
        <f t="shared" si="1"/>
        <v>77.251283200000003</v>
      </c>
    </row>
    <row r="70" spans="1:5" ht="28.5" x14ac:dyDescent="0.25">
      <c r="A70" s="52" t="s">
        <v>327</v>
      </c>
      <c r="B70" s="106" t="s">
        <v>365</v>
      </c>
      <c r="C70" s="108">
        <v>1.9400000000000001E-2</v>
      </c>
      <c r="D70" s="101">
        <f t="shared" si="1"/>
        <v>38.231502400000004</v>
      </c>
    </row>
    <row r="71" spans="1:5" x14ac:dyDescent="0.25">
      <c r="A71" s="52" t="s">
        <v>329</v>
      </c>
      <c r="B71" s="106" t="s">
        <v>366</v>
      </c>
      <c r="C71" s="108">
        <f>($C$50)*(C70)</f>
        <v>7.7212000000000018E-3</v>
      </c>
      <c r="D71" s="101">
        <f t="shared" si="1"/>
        <v>15.216137955200004</v>
      </c>
    </row>
    <row r="72" spans="1:5" ht="28.5" x14ac:dyDescent="0.25">
      <c r="A72" s="52" t="s">
        <v>331</v>
      </c>
      <c r="B72" s="106" t="s">
        <v>367</v>
      </c>
      <c r="C72" s="108">
        <v>8.0000000000000004E-4</v>
      </c>
      <c r="D72" s="101">
        <f t="shared" si="1"/>
        <v>1.5765568000000001</v>
      </c>
    </row>
    <row r="73" spans="1:5" ht="15" customHeight="1" thickBot="1" x14ac:dyDescent="0.3">
      <c r="A73" s="299" t="s">
        <v>368</v>
      </c>
      <c r="B73" s="300"/>
      <c r="C73" s="109">
        <f>SUM(C67:C72)</f>
        <v>7.165719999999999E-2</v>
      </c>
      <c r="D73" s="83">
        <f>SUM(D67:D72)</f>
        <v>141.21455741119999</v>
      </c>
    </row>
    <row r="74" spans="1:5" ht="15" customHeight="1" thickBot="1" x14ac:dyDescent="0.3">
      <c r="A74" s="105"/>
      <c r="B74" s="110"/>
      <c r="C74" s="110"/>
      <c r="D74" s="110"/>
    </row>
    <row r="75" spans="1:5" ht="15" customHeight="1" x14ac:dyDescent="0.25">
      <c r="A75" s="302" t="s">
        <v>369</v>
      </c>
      <c r="B75" s="303"/>
      <c r="C75" s="303"/>
      <c r="D75" s="304"/>
    </row>
    <row r="76" spans="1:5" ht="15" customHeight="1" x14ac:dyDescent="0.25">
      <c r="A76" s="315" t="s">
        <v>370</v>
      </c>
      <c r="B76" s="316"/>
      <c r="C76" s="85" t="s">
        <v>313</v>
      </c>
      <c r="D76" s="81" t="s">
        <v>314</v>
      </c>
    </row>
    <row r="77" spans="1:5" ht="25.5" x14ac:dyDescent="0.25">
      <c r="A77" s="52" t="s">
        <v>308</v>
      </c>
      <c r="B77" s="87" t="s">
        <v>371</v>
      </c>
      <c r="C77" s="108">
        <v>0</v>
      </c>
      <c r="D77" s="101">
        <f>($D$34+$D$40+$D$50+$D$54+$D$73)*(C77)</f>
        <v>0</v>
      </c>
      <c r="E77" s="84" t="s">
        <v>372</v>
      </c>
    </row>
    <row r="78" spans="1:5" ht="15" customHeight="1" x14ac:dyDescent="0.25">
      <c r="A78" s="52" t="s">
        <v>317</v>
      </c>
      <c r="B78" s="87" t="s">
        <v>373</v>
      </c>
      <c r="C78" s="108">
        <v>2.3999999999999998E-3</v>
      </c>
      <c r="D78" s="101">
        <f>($D$34+$D$40+$D$50+$D$54+$D$73)*(C78)</f>
        <v>10.802749461469441</v>
      </c>
    </row>
    <row r="79" spans="1:5" ht="15" customHeight="1" x14ac:dyDescent="0.25">
      <c r="A79" s="52" t="s">
        <v>324</v>
      </c>
      <c r="B79" s="87" t="s">
        <v>374</v>
      </c>
      <c r="C79" s="108">
        <v>1E-3</v>
      </c>
      <c r="D79" s="101">
        <f>($D$34+$D$40+$D$50+$D$54+$D$73)*(C79)</f>
        <v>4.5011456089456008</v>
      </c>
    </row>
    <row r="80" spans="1:5" ht="15" customHeight="1" x14ac:dyDescent="0.25">
      <c r="A80" s="52" t="s">
        <v>327</v>
      </c>
      <c r="B80" s="87" t="s">
        <v>375</v>
      </c>
      <c r="C80" s="108">
        <v>1.6999999999999999E-3</v>
      </c>
      <c r="D80" s="101">
        <f>($D$34+$D$40+$D$50+$D$54+$D$73)*(C80)</f>
        <v>7.6519475352075208</v>
      </c>
    </row>
    <row r="81" spans="1:5" ht="15" customHeight="1" x14ac:dyDescent="0.25">
      <c r="A81" s="52" t="s">
        <v>329</v>
      </c>
      <c r="B81" s="106" t="s">
        <v>376</v>
      </c>
      <c r="C81" s="108">
        <v>5.0000000000000001E-4</v>
      </c>
      <c r="D81" s="101">
        <f>($D$34+$D$40+$D$50+$D$54+$D$73)*(C81)</f>
        <v>2.2505728044728004</v>
      </c>
    </row>
    <row r="82" spans="1:5" ht="15" customHeight="1" x14ac:dyDescent="0.25">
      <c r="A82" s="317" t="s">
        <v>377</v>
      </c>
      <c r="B82" s="318"/>
      <c r="C82" s="111">
        <f>SUM(C77:C81)</f>
        <v>5.5999999999999991E-3</v>
      </c>
      <c r="D82" s="112">
        <f>SUM(D77:D81)</f>
        <v>25.206415410095364</v>
      </c>
    </row>
    <row r="83" spans="1:5" ht="15" customHeight="1" x14ac:dyDescent="0.25">
      <c r="A83" s="315" t="s">
        <v>378</v>
      </c>
      <c r="B83" s="316"/>
      <c r="C83" s="85"/>
      <c r="D83" s="81" t="s">
        <v>314</v>
      </c>
    </row>
    <row r="84" spans="1:5" ht="15" customHeight="1" x14ac:dyDescent="0.25">
      <c r="A84" s="52" t="s">
        <v>308</v>
      </c>
      <c r="B84" s="87" t="s">
        <v>379</v>
      </c>
      <c r="C84" s="100"/>
      <c r="D84" s="101">
        <f>(D62/220)*150%*0.5*C84</f>
        <v>0</v>
      </c>
      <c r="E84" s="49" t="s">
        <v>348</v>
      </c>
    </row>
    <row r="85" spans="1:5" ht="15" customHeight="1" thickBot="1" x14ac:dyDescent="0.3">
      <c r="A85" s="299" t="s">
        <v>380</v>
      </c>
      <c r="B85" s="300"/>
      <c r="C85" s="102"/>
      <c r="D85" s="103">
        <f>SUM(D84)</f>
        <v>0</v>
      </c>
    </row>
    <row r="86" spans="1:5" ht="15" customHeight="1" x14ac:dyDescent="0.25">
      <c r="A86" s="294" t="s">
        <v>381</v>
      </c>
      <c r="B86" s="295"/>
      <c r="C86" s="295"/>
      <c r="D86" s="296"/>
    </row>
    <row r="87" spans="1:5" ht="15" customHeight="1" x14ac:dyDescent="0.2">
      <c r="A87" s="104" t="s">
        <v>382</v>
      </c>
      <c r="B87" s="297" t="s">
        <v>383</v>
      </c>
      <c r="C87" s="298"/>
      <c r="D87" s="82">
        <f>(D82)</f>
        <v>25.206415410095364</v>
      </c>
    </row>
    <row r="88" spans="1:5" ht="15" customHeight="1" x14ac:dyDescent="0.2">
      <c r="A88" s="113" t="s">
        <v>384</v>
      </c>
      <c r="B88" s="307" t="s">
        <v>379</v>
      </c>
      <c r="C88" s="308"/>
      <c r="D88" s="101">
        <f>D85</f>
        <v>0</v>
      </c>
    </row>
    <row r="89" spans="1:5" ht="15" customHeight="1" thickBot="1" x14ac:dyDescent="0.3">
      <c r="A89" s="299" t="s">
        <v>385</v>
      </c>
      <c r="B89" s="300"/>
      <c r="C89" s="301"/>
      <c r="D89" s="83">
        <f>SUM(D87:D88)</f>
        <v>25.206415410095364</v>
      </c>
    </row>
    <row r="90" spans="1:5" ht="15" customHeight="1" thickBot="1" x14ac:dyDescent="0.3">
      <c r="A90" s="105"/>
      <c r="B90" s="105"/>
      <c r="C90" s="105"/>
      <c r="D90" s="105"/>
    </row>
    <row r="91" spans="1:5" ht="15" customHeight="1" x14ac:dyDescent="0.25">
      <c r="A91" s="302" t="s">
        <v>386</v>
      </c>
      <c r="B91" s="303"/>
      <c r="C91" s="303"/>
      <c r="D91" s="304"/>
    </row>
    <row r="92" spans="1:5" ht="15" customHeight="1" x14ac:dyDescent="0.25">
      <c r="A92" s="305" t="s">
        <v>387</v>
      </c>
      <c r="B92" s="306"/>
      <c r="C92" s="306"/>
      <c r="D92" s="81" t="s">
        <v>314</v>
      </c>
    </row>
    <row r="93" spans="1:5" ht="15" customHeight="1" x14ac:dyDescent="0.25">
      <c r="A93" s="52" t="s">
        <v>308</v>
      </c>
      <c r="B93" s="114" t="s">
        <v>428</v>
      </c>
      <c r="C93" s="115"/>
      <c r="D93" s="97">
        <v>0</v>
      </c>
      <c r="E93" s="293" t="s">
        <v>389</v>
      </c>
    </row>
    <row r="94" spans="1:5" ht="15" customHeight="1" x14ac:dyDescent="0.25">
      <c r="A94" s="52" t="s">
        <v>317</v>
      </c>
      <c r="B94" s="114" t="s">
        <v>429</v>
      </c>
      <c r="C94" s="115"/>
      <c r="D94" s="89">
        <v>0</v>
      </c>
      <c r="E94" s="293"/>
    </row>
    <row r="95" spans="1:5" ht="15" customHeight="1" x14ac:dyDescent="0.25">
      <c r="A95" s="52" t="s">
        <v>324</v>
      </c>
      <c r="B95" s="114" t="s">
        <v>391</v>
      </c>
      <c r="C95" s="115"/>
      <c r="D95" s="89">
        <f>'ANEXO XII_TÉC. ELETRICISTA'!D95</f>
        <v>106.88</v>
      </c>
      <c r="E95" s="293"/>
    </row>
    <row r="96" spans="1:5" ht="15" customHeight="1" x14ac:dyDescent="0.25">
      <c r="A96" s="52" t="s">
        <v>430</v>
      </c>
      <c r="B96" s="114" t="s">
        <v>139</v>
      </c>
      <c r="C96" s="115"/>
      <c r="D96" s="89">
        <f>'ANEXO XII_TÉC. ELETRICISTA'!D96</f>
        <v>22.060000000000002</v>
      </c>
      <c r="E96" s="293"/>
    </row>
    <row r="97" spans="1:5" ht="15" customHeight="1" thickBot="1" x14ac:dyDescent="0.3">
      <c r="A97" s="299" t="s">
        <v>392</v>
      </c>
      <c r="B97" s="301"/>
      <c r="C97" s="116">
        <f>C93</f>
        <v>0</v>
      </c>
      <c r="D97" s="83">
        <f>SUM(D93:D95)</f>
        <v>106.88</v>
      </c>
    </row>
    <row r="98" spans="1:5" ht="15" customHeight="1" thickBot="1" x14ac:dyDescent="0.3">
      <c r="A98" s="117"/>
      <c r="B98" s="118"/>
      <c r="C98" s="118"/>
      <c r="D98" s="119"/>
    </row>
    <row r="99" spans="1:5" ht="15" customHeight="1" x14ac:dyDescent="0.25">
      <c r="A99" s="309" t="s">
        <v>393</v>
      </c>
      <c r="B99" s="310"/>
      <c r="C99" s="310"/>
      <c r="D99" s="311"/>
    </row>
    <row r="100" spans="1:5" ht="15" customHeight="1" x14ac:dyDescent="0.25">
      <c r="A100" s="312" t="s">
        <v>394</v>
      </c>
      <c r="B100" s="313"/>
      <c r="C100" s="85" t="s">
        <v>313</v>
      </c>
      <c r="D100" s="120" t="s">
        <v>314</v>
      </c>
    </row>
    <row r="101" spans="1:5" ht="15" customHeight="1" x14ac:dyDescent="0.25">
      <c r="A101" s="52" t="s">
        <v>308</v>
      </c>
      <c r="B101" s="121" t="s">
        <v>395</v>
      </c>
      <c r="C101" s="88">
        <v>0.05</v>
      </c>
      <c r="D101" s="101">
        <f>(D34+D63+D73+D89+D97)*C101</f>
        <v>231.66160121778481</v>
      </c>
      <c r="E101" s="122" t="s">
        <v>396</v>
      </c>
    </row>
    <row r="102" spans="1:5" ht="15" customHeight="1" x14ac:dyDescent="0.25">
      <c r="A102" s="52" t="s">
        <v>317</v>
      </c>
      <c r="B102" s="121" t="s">
        <v>397</v>
      </c>
      <c r="C102" s="88">
        <v>0.1</v>
      </c>
      <c r="D102" s="101">
        <f>(D34+D63+D73+D89+D97+D101)*C102</f>
        <v>486.4893625573481</v>
      </c>
      <c r="E102" s="122" t="s">
        <v>398</v>
      </c>
    </row>
    <row r="103" spans="1:5" ht="15" customHeight="1" x14ac:dyDescent="0.25">
      <c r="A103" s="314" t="s">
        <v>324</v>
      </c>
      <c r="B103" s="93" t="s">
        <v>399</v>
      </c>
      <c r="C103" s="123">
        <f>C104+C105+C108</f>
        <v>0.14250000000000002</v>
      </c>
      <c r="D103" s="124"/>
      <c r="E103" s="125"/>
    </row>
    <row r="104" spans="1:5" ht="15" customHeight="1" x14ac:dyDescent="0.25">
      <c r="A104" s="314"/>
      <c r="B104" s="126" t="s">
        <v>400</v>
      </c>
      <c r="C104" s="88">
        <v>1.6500000000000001E-2</v>
      </c>
      <c r="D104" s="101">
        <f>((D34+D63+D73+D89+D97+D101+D102)/(1-C103))*C104</f>
        <v>102.97121784741536</v>
      </c>
      <c r="E104" s="125" t="s">
        <v>247</v>
      </c>
    </row>
    <row r="105" spans="1:5" ht="15" customHeight="1" x14ac:dyDescent="0.25">
      <c r="A105" s="314"/>
      <c r="B105" s="126" t="s">
        <v>401</v>
      </c>
      <c r="C105" s="88">
        <v>7.5999999999999998E-2</v>
      </c>
      <c r="D105" s="101">
        <f>((D34+D63+D73+D89+D97+D101+D102)/(1-C103))*C105</f>
        <v>474.29167008506471</v>
      </c>
      <c r="E105" s="125" t="s">
        <v>247</v>
      </c>
    </row>
    <row r="106" spans="1:5" ht="15" customHeight="1" x14ac:dyDescent="0.25">
      <c r="A106" s="314"/>
      <c r="B106" s="93" t="s">
        <v>402</v>
      </c>
      <c r="C106" s="127"/>
      <c r="D106" s="101"/>
    </row>
    <row r="107" spans="1:5" ht="15" customHeight="1" x14ac:dyDescent="0.25">
      <c r="A107" s="314"/>
      <c r="B107" s="93" t="s">
        <v>403</v>
      </c>
      <c r="C107" s="127"/>
      <c r="D107" s="101"/>
      <c r="E107" s="49" t="s">
        <v>431</v>
      </c>
    </row>
    <row r="108" spans="1:5" ht="15" customHeight="1" x14ac:dyDescent="0.25">
      <c r="A108" s="314"/>
      <c r="B108" s="126" t="s">
        <v>405</v>
      </c>
      <c r="C108" s="88">
        <v>0.05</v>
      </c>
      <c r="D108" s="101">
        <f>((D34+D63+D73+D89+D97+D101+D102)/(1-C103))*C108</f>
        <v>312.03399347701628</v>
      </c>
      <c r="E108" s="84">
        <f>D102/(44*4)</f>
        <v>2.764144105439478</v>
      </c>
    </row>
    <row r="109" spans="1:5" ht="15" customHeight="1" thickBot="1" x14ac:dyDescent="0.3">
      <c r="A109" s="299" t="s">
        <v>406</v>
      </c>
      <c r="B109" s="300"/>
      <c r="C109" s="128">
        <f>C101+C102+C104+C105+C108</f>
        <v>0.29250000000000004</v>
      </c>
      <c r="D109" s="103">
        <f>SUM(D101:D102,D104:D105,D108)</f>
        <v>1607.4478451846294</v>
      </c>
      <c r="E109" s="49" t="s">
        <v>443</v>
      </c>
    </row>
    <row r="110" spans="1:5" ht="15" customHeight="1" thickBot="1" x14ac:dyDescent="0.3">
      <c r="A110" s="105"/>
      <c r="B110" s="105"/>
      <c r="C110" s="105"/>
      <c r="D110" s="105"/>
      <c r="E110" s="84">
        <f>E108*16</f>
        <v>44.226305687031648</v>
      </c>
    </row>
    <row r="111" spans="1:5" ht="15" customHeight="1" x14ac:dyDescent="0.25">
      <c r="A111" s="302" t="s">
        <v>408</v>
      </c>
      <c r="B111" s="303"/>
      <c r="C111" s="303"/>
      <c r="D111" s="304"/>
    </row>
    <row r="112" spans="1:5" ht="15" customHeight="1" x14ac:dyDescent="0.25">
      <c r="A112" s="305" t="s">
        <v>409</v>
      </c>
      <c r="B112" s="306"/>
      <c r="C112" s="306"/>
      <c r="D112" s="129" t="s">
        <v>314</v>
      </c>
    </row>
    <row r="113" spans="1:5" ht="15" customHeight="1" x14ac:dyDescent="0.25">
      <c r="A113" s="52" t="s">
        <v>308</v>
      </c>
      <c r="B113" s="287" t="s">
        <v>410</v>
      </c>
      <c r="C113" s="288"/>
      <c r="D113" s="130">
        <f>(D34)</f>
        <v>1970.6960000000001</v>
      </c>
    </row>
    <row r="114" spans="1:5" ht="15" customHeight="1" x14ac:dyDescent="0.25">
      <c r="A114" s="52" t="s">
        <v>317</v>
      </c>
      <c r="B114" s="287" t="s">
        <v>411</v>
      </c>
      <c r="C114" s="288"/>
      <c r="D114" s="101">
        <f>(D63)</f>
        <v>2389.2350515344006</v>
      </c>
    </row>
    <row r="115" spans="1:5" ht="15" customHeight="1" x14ac:dyDescent="0.25">
      <c r="A115" s="52" t="s">
        <v>324</v>
      </c>
      <c r="B115" s="287" t="s">
        <v>412</v>
      </c>
      <c r="C115" s="288"/>
      <c r="D115" s="101">
        <f>(D73)</f>
        <v>141.21455741119999</v>
      </c>
    </row>
    <row r="116" spans="1:5" ht="15" customHeight="1" x14ac:dyDescent="0.25">
      <c r="A116" s="52" t="s">
        <v>327</v>
      </c>
      <c r="B116" s="287" t="s">
        <v>413</v>
      </c>
      <c r="C116" s="288"/>
      <c r="D116" s="101">
        <f>(D89)</f>
        <v>25.206415410095364</v>
      </c>
    </row>
    <row r="117" spans="1:5" ht="15" customHeight="1" x14ac:dyDescent="0.25">
      <c r="A117" s="52" t="s">
        <v>329</v>
      </c>
      <c r="B117" s="287" t="s">
        <v>414</v>
      </c>
      <c r="C117" s="288"/>
      <c r="D117" s="101">
        <f>D97</f>
        <v>106.88</v>
      </c>
    </row>
    <row r="118" spans="1:5" ht="15" customHeight="1" x14ac:dyDescent="0.25">
      <c r="A118" s="289" t="s">
        <v>415</v>
      </c>
      <c r="B118" s="290"/>
      <c r="C118" s="291"/>
      <c r="D118" s="131">
        <f>SUM(D113:D117)</f>
        <v>4633.232024355696</v>
      </c>
      <c r="E118" s="84"/>
    </row>
    <row r="119" spans="1:5" ht="15" customHeight="1" thickBot="1" x14ac:dyDescent="0.3">
      <c r="A119" s="132" t="s">
        <v>331</v>
      </c>
      <c r="B119" s="292" t="s">
        <v>416</v>
      </c>
      <c r="C119" s="292"/>
      <c r="D119" s="133">
        <f>(D109)</f>
        <v>1607.4478451846294</v>
      </c>
    </row>
    <row r="120" spans="1:5" ht="15" customHeight="1" thickBot="1" x14ac:dyDescent="0.3">
      <c r="A120" s="285" t="s">
        <v>417</v>
      </c>
      <c r="B120" s="286"/>
      <c r="C120" s="286"/>
      <c r="D120" s="134">
        <f>SUM(D118:D119)</f>
        <v>6240.6798695403249</v>
      </c>
    </row>
    <row r="121" spans="1:5" ht="15" customHeight="1" thickBot="1" x14ac:dyDescent="0.3">
      <c r="A121" s="285" t="s">
        <v>418</v>
      </c>
      <c r="B121" s="286"/>
      <c r="C121" s="286"/>
      <c r="D121" s="134">
        <f>D120/(44*4)</f>
        <v>35.458408349660935</v>
      </c>
    </row>
    <row r="122" spans="1:5" ht="15" customHeight="1" x14ac:dyDescent="0.25">
      <c r="D122" s="68"/>
    </row>
    <row r="123" spans="1:5" ht="15" customHeight="1" x14ac:dyDescent="0.25">
      <c r="D123" s="68"/>
    </row>
    <row r="124" spans="1:5" ht="15" customHeight="1" x14ac:dyDescent="0.25">
      <c r="D124" s="68"/>
    </row>
    <row r="125" spans="1:5" ht="15" customHeight="1" x14ac:dyDescent="0.25">
      <c r="C125" s="135"/>
    </row>
  </sheetData>
  <mergeCells count="74">
    <mergeCell ref="A120:C120"/>
    <mergeCell ref="A121:C121"/>
    <mergeCell ref="B114:C114"/>
    <mergeCell ref="B115:C115"/>
    <mergeCell ref="B116:C116"/>
    <mergeCell ref="B117:C117"/>
    <mergeCell ref="A118:C118"/>
    <mergeCell ref="B119:C119"/>
    <mergeCell ref="B113:C113"/>
    <mergeCell ref="A89:C89"/>
    <mergeCell ref="A91:D91"/>
    <mergeCell ref="A92:C92"/>
    <mergeCell ref="E93:E96"/>
    <mergeCell ref="A97:B97"/>
    <mergeCell ref="A99:D99"/>
    <mergeCell ref="A100:B100"/>
    <mergeCell ref="A103:A108"/>
    <mergeCell ref="A109:B109"/>
    <mergeCell ref="A111:D111"/>
    <mergeCell ref="A112:C112"/>
    <mergeCell ref="B88:C88"/>
    <mergeCell ref="A63:C63"/>
    <mergeCell ref="A65:D65"/>
    <mergeCell ref="A66:B66"/>
    <mergeCell ref="A73:B73"/>
    <mergeCell ref="A75:D75"/>
    <mergeCell ref="A76:B76"/>
    <mergeCell ref="A82:B82"/>
    <mergeCell ref="A83:B83"/>
    <mergeCell ref="A85:B85"/>
    <mergeCell ref="A86:D86"/>
    <mergeCell ref="B87:C87"/>
    <mergeCell ref="B62:C62"/>
    <mergeCell ref="A40:B40"/>
    <mergeCell ref="A41:B41"/>
    <mergeCell ref="A50:B50"/>
    <mergeCell ref="A51:B51"/>
    <mergeCell ref="A54:B54"/>
    <mergeCell ref="A55:B55"/>
    <mergeCell ref="A57:B57"/>
    <mergeCell ref="A58:D58"/>
    <mergeCell ref="B59:C59"/>
    <mergeCell ref="B60:C60"/>
    <mergeCell ref="B61:C61"/>
    <mergeCell ref="A37:B37"/>
    <mergeCell ref="B23:C23"/>
    <mergeCell ref="B24:C24"/>
    <mergeCell ref="B25:C25"/>
    <mergeCell ref="B26:C26"/>
    <mergeCell ref="B27:C27"/>
    <mergeCell ref="B28:C28"/>
    <mergeCell ref="A30:D30"/>
    <mergeCell ref="A31:C31"/>
    <mergeCell ref="B32:C32"/>
    <mergeCell ref="A34:C34"/>
    <mergeCell ref="A36:D36"/>
    <mergeCell ref="B22:C22"/>
    <mergeCell ref="C7:D7"/>
    <mergeCell ref="C8:D8"/>
    <mergeCell ref="C9:D9"/>
    <mergeCell ref="C10:D10"/>
    <mergeCell ref="A12:D12"/>
    <mergeCell ref="C13:D13"/>
    <mergeCell ref="B14:C14"/>
    <mergeCell ref="B16:C16"/>
    <mergeCell ref="B17:C17"/>
    <mergeCell ref="A20:D20"/>
    <mergeCell ref="B21:C21"/>
    <mergeCell ref="A6:D6"/>
    <mergeCell ref="A1:D1"/>
    <mergeCell ref="A2:D2"/>
    <mergeCell ref="A3:D3"/>
    <mergeCell ref="A4:D4"/>
    <mergeCell ref="A5:D5"/>
  </mergeCells>
  <printOptions horizontalCentered="1" verticalCentered="1"/>
  <pageMargins left="7.874015748031496E-2" right="7.874015748031496E-2" top="7.874015748031496E-2" bottom="7.874015748031496E-2" header="0.31496062992125984" footer="0.31496062992125984"/>
  <pageSetup paperSize="8" scale="62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6ABE8-2E94-4E12-A8FA-3B72B4095DE0}">
  <sheetPr>
    <pageSetUpPr fitToPage="1"/>
  </sheetPr>
  <dimension ref="A1:E8"/>
  <sheetViews>
    <sheetView showGridLines="0" workbookViewId="0">
      <selection activeCell="E15" sqref="E15"/>
    </sheetView>
  </sheetViews>
  <sheetFormatPr defaultRowHeight="15" x14ac:dyDescent="0.25"/>
  <cols>
    <col min="1" max="1" width="54.7109375" bestFit="1" customWidth="1"/>
    <col min="2" max="2" width="16.5703125" bestFit="1" customWidth="1"/>
    <col min="3" max="3" width="25.5703125" bestFit="1" customWidth="1"/>
    <col min="4" max="4" width="29.28515625" bestFit="1" customWidth="1"/>
    <col min="5" max="5" width="15.85546875" bestFit="1" customWidth="1"/>
  </cols>
  <sheetData>
    <row r="1" spans="1:5" ht="18" x14ac:dyDescent="0.25">
      <c r="A1" s="354" t="s">
        <v>445</v>
      </c>
      <c r="B1" s="355"/>
      <c r="C1" s="355"/>
      <c r="D1" s="355"/>
    </row>
    <row r="2" spans="1:5" ht="15.75" x14ac:dyDescent="0.25">
      <c r="A2" s="187" t="s">
        <v>446</v>
      </c>
      <c r="B2" s="188" t="s">
        <v>447</v>
      </c>
      <c r="C2" s="207" t="s">
        <v>451</v>
      </c>
      <c r="D2" s="207" t="s">
        <v>453</v>
      </c>
    </row>
    <row r="3" spans="1:5" x14ac:dyDescent="0.25">
      <c r="A3" s="186" t="s">
        <v>463</v>
      </c>
      <c r="B3" s="189">
        <f>'ANEXO IV - CUSTO TOTAL'!D5</f>
        <v>21515.65</v>
      </c>
      <c r="C3" s="191">
        <f>B3/B7</f>
        <v>0.45815966983688394</v>
      </c>
      <c r="D3" s="191">
        <f>C3</f>
        <v>0.45815966983688394</v>
      </c>
      <c r="E3" s="190"/>
    </row>
    <row r="4" spans="1:5" x14ac:dyDescent="0.25">
      <c r="A4" s="186" t="s">
        <v>448</v>
      </c>
      <c r="B4" s="189">
        <f>'ANEXO IV - CUSTO TOTAL'!D6</f>
        <v>11806.49</v>
      </c>
      <c r="C4" s="191">
        <f>B4/B7</f>
        <v>0.25141037153571805</v>
      </c>
      <c r="D4" s="191">
        <f>D3+C4</f>
        <v>0.70957004137260205</v>
      </c>
      <c r="E4" s="190"/>
    </row>
    <row r="5" spans="1:5" x14ac:dyDescent="0.25">
      <c r="A5" s="186" t="s">
        <v>464</v>
      </c>
      <c r="B5" s="189">
        <f>'ANEXO IV - CUSTO TOTAL'!D12+'ANEXO IV - CUSTO TOTAL'!D14+'ANEXO IV - CUSTO TOTAL'!D16+'ANEXO IV - CUSTO TOTAL'!D18</f>
        <v>7517.2999999999993</v>
      </c>
      <c r="C5" s="191">
        <f>B5/B7</f>
        <v>0.16007527943914346</v>
      </c>
      <c r="D5" s="191">
        <f>D4+C5</f>
        <v>0.8696453208117455</v>
      </c>
      <c r="E5" s="190"/>
    </row>
    <row r="6" spans="1:5" x14ac:dyDescent="0.25">
      <c r="A6" s="186" t="s">
        <v>462</v>
      </c>
      <c r="B6" s="189">
        <f>'ANEXO IV - CUSTO TOTAL'!D20</f>
        <v>6121.59</v>
      </c>
      <c r="C6" s="191">
        <f>B6/B7</f>
        <v>0.13035467918825461</v>
      </c>
      <c r="D6" s="191">
        <f>D5+C6</f>
        <v>1</v>
      </c>
      <c r="E6" s="190"/>
    </row>
    <row r="7" spans="1:5" ht="15.75" x14ac:dyDescent="0.25">
      <c r="A7" s="209" t="s">
        <v>454</v>
      </c>
      <c r="B7" s="208">
        <f>SUM(B3:B6)</f>
        <v>46961.03</v>
      </c>
      <c r="E7" s="190"/>
    </row>
    <row r="8" spans="1:5" x14ac:dyDescent="0.25">
      <c r="B8" s="190"/>
      <c r="E8" s="190"/>
    </row>
  </sheetData>
  <mergeCells count="1">
    <mergeCell ref="A1:D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46360-ADAA-4AAE-ADB2-608640542A60}">
  <sheetPr>
    <pageSetUpPr fitToPage="1"/>
  </sheetPr>
  <dimension ref="A1:J52"/>
  <sheetViews>
    <sheetView workbookViewId="0">
      <selection activeCell="J16" sqref="J16"/>
    </sheetView>
  </sheetViews>
  <sheetFormatPr defaultRowHeight="15" x14ac:dyDescent="0.25"/>
  <cols>
    <col min="1" max="1" width="5.42578125" style="199" bestFit="1" customWidth="1"/>
    <col min="2" max="2" width="58" style="201" bestFit="1" customWidth="1"/>
    <col min="3" max="3" width="6.42578125" style="199" hidden="1" customWidth="1"/>
    <col min="4" max="4" width="4.7109375" style="199" hidden="1" customWidth="1"/>
    <col min="5" max="5" width="12" style="199" hidden="1" customWidth="1"/>
    <col min="6" max="6" width="13.7109375" style="199" hidden="1" customWidth="1"/>
    <col min="7" max="7" width="15.85546875" style="199" hidden="1" customWidth="1"/>
    <col min="8" max="8" width="18.85546875" style="199" bestFit="1" customWidth="1"/>
    <col min="9" max="9" width="7" style="202" bestFit="1" customWidth="1"/>
    <col min="10" max="10" width="19.42578125" style="199" bestFit="1" customWidth="1"/>
  </cols>
  <sheetData>
    <row r="1" spans="1:10" ht="15.75" x14ac:dyDescent="0.25">
      <c r="A1" s="356" t="s">
        <v>450</v>
      </c>
      <c r="B1" s="356"/>
      <c r="C1" s="356"/>
      <c r="D1" s="356"/>
      <c r="E1" s="356"/>
      <c r="F1" s="356"/>
      <c r="G1" s="356"/>
      <c r="H1" s="356"/>
      <c r="I1" s="356"/>
      <c r="J1" s="356"/>
    </row>
    <row r="2" spans="1:10" x14ac:dyDescent="0.25">
      <c r="A2" s="197" t="s">
        <v>148</v>
      </c>
      <c r="B2" s="197" t="s">
        <v>149</v>
      </c>
      <c r="C2" s="197" t="s">
        <v>165</v>
      </c>
      <c r="D2" s="197" t="s">
        <v>166</v>
      </c>
      <c r="E2" s="197" t="s">
        <v>167</v>
      </c>
      <c r="F2" s="197" t="s">
        <v>152</v>
      </c>
      <c r="G2" s="197" t="s">
        <v>168</v>
      </c>
      <c r="H2" s="197" t="s">
        <v>169</v>
      </c>
      <c r="I2" s="203" t="s">
        <v>451</v>
      </c>
      <c r="J2" s="204" t="s">
        <v>452</v>
      </c>
    </row>
    <row r="3" spans="1:10" x14ac:dyDescent="0.25">
      <c r="A3" s="198">
        <v>3</v>
      </c>
      <c r="B3" s="200" t="s">
        <v>181</v>
      </c>
      <c r="C3" s="198" t="s">
        <v>165</v>
      </c>
      <c r="D3" s="198">
        <v>1</v>
      </c>
      <c r="E3" s="198">
        <v>10369.987499999999</v>
      </c>
      <c r="F3" s="198">
        <v>0.22391624455096415</v>
      </c>
      <c r="G3" s="142">
        <v>12691.996157040441</v>
      </c>
      <c r="H3" s="142">
        <v>12691.827701249998</v>
      </c>
      <c r="I3" s="205">
        <f t="shared" ref="I3:I34" si="0">H3/$H$52</f>
        <v>0.17277412286430044</v>
      </c>
      <c r="J3" s="206">
        <f>I3</f>
        <v>0.17277412286430044</v>
      </c>
    </row>
    <row r="4" spans="1:10" x14ac:dyDescent="0.25">
      <c r="A4" s="198">
        <v>48</v>
      </c>
      <c r="B4" s="200" t="s">
        <v>227</v>
      </c>
      <c r="C4" s="198" t="s">
        <v>165</v>
      </c>
      <c r="D4" s="198">
        <v>1</v>
      </c>
      <c r="E4" s="198">
        <v>9890</v>
      </c>
      <c r="F4" s="198">
        <v>0.22391624455096415</v>
      </c>
      <c r="G4" s="142">
        <v>12104.531658609036</v>
      </c>
      <c r="H4" s="142">
        <v>12104.370999999999</v>
      </c>
      <c r="I4" s="205">
        <f t="shared" si="0"/>
        <v>0.1647770621833374</v>
      </c>
      <c r="J4" s="206">
        <f>J3+I4</f>
        <v>0.33755118504763781</v>
      </c>
    </row>
    <row r="5" spans="1:10" x14ac:dyDescent="0.25">
      <c r="A5" s="198">
        <v>49</v>
      </c>
      <c r="B5" s="200" t="s">
        <v>229</v>
      </c>
      <c r="C5" s="198" t="s">
        <v>165</v>
      </c>
      <c r="D5" s="198">
        <v>1</v>
      </c>
      <c r="E5" s="198">
        <v>6780</v>
      </c>
      <c r="F5" s="198">
        <v>0.22391624455096415</v>
      </c>
      <c r="G5" s="142">
        <v>8298.1521380555369</v>
      </c>
      <c r="H5" s="142">
        <v>8298.0419999999995</v>
      </c>
      <c r="I5" s="205">
        <f t="shared" si="0"/>
        <v>0.11296142382234858</v>
      </c>
      <c r="J5" s="206">
        <f t="shared" ref="J5:J51" si="1">J4+I5</f>
        <v>0.4505126088699864</v>
      </c>
    </row>
    <row r="6" spans="1:10" x14ac:dyDescent="0.25">
      <c r="A6" s="198">
        <v>43</v>
      </c>
      <c r="B6" s="200" t="s">
        <v>221</v>
      </c>
      <c r="C6" s="198" t="s">
        <v>449</v>
      </c>
      <c r="D6" s="198">
        <v>200</v>
      </c>
      <c r="E6" s="198">
        <v>88.535883333333345</v>
      </c>
      <c r="F6" s="198">
        <v>0.22391624455096415</v>
      </c>
      <c r="G6" s="142">
        <v>108.36050583733565</v>
      </c>
      <c r="H6" s="142">
        <v>6501.5440567000005</v>
      </c>
      <c r="I6" s="205">
        <f t="shared" si="0"/>
        <v>8.8505658767280324E-2</v>
      </c>
      <c r="J6" s="206">
        <f t="shared" si="1"/>
        <v>0.53901826763726668</v>
      </c>
    </row>
    <row r="7" spans="1:10" x14ac:dyDescent="0.25">
      <c r="A7" s="198">
        <v>5</v>
      </c>
      <c r="B7" s="200" t="s">
        <v>183</v>
      </c>
      <c r="C7" s="198" t="s">
        <v>165</v>
      </c>
      <c r="D7" s="198">
        <v>1</v>
      </c>
      <c r="E7" s="198">
        <v>5182.6380000000008</v>
      </c>
      <c r="F7" s="198">
        <v>0.22391624455096415</v>
      </c>
      <c r="G7" s="142">
        <v>6343.1148378271209</v>
      </c>
      <c r="H7" s="142">
        <v>6343.0306482000005</v>
      </c>
      <c r="I7" s="205">
        <f t="shared" si="0"/>
        <v>8.6347812335665061E-2</v>
      </c>
      <c r="J7" s="206">
        <f t="shared" si="1"/>
        <v>0.6253660799729317</v>
      </c>
    </row>
    <row r="8" spans="1:10" x14ac:dyDescent="0.25">
      <c r="A8" s="198">
        <v>4</v>
      </c>
      <c r="B8" s="200" t="s">
        <v>182</v>
      </c>
      <c r="C8" s="198" t="s">
        <v>165</v>
      </c>
      <c r="D8" s="198">
        <v>1</v>
      </c>
      <c r="E8" s="198">
        <v>3881.5672727272727</v>
      </c>
      <c r="F8" s="198">
        <v>0.22391624455096415</v>
      </c>
      <c r="G8" s="142">
        <v>4750.7132394082919</v>
      </c>
      <c r="H8" s="142">
        <v>4750.650185090909</v>
      </c>
      <c r="I8" s="205">
        <f t="shared" si="0"/>
        <v>6.4670702918805778E-2</v>
      </c>
      <c r="J8" s="206">
        <f t="shared" si="1"/>
        <v>0.69003678289173753</v>
      </c>
    </row>
    <row r="9" spans="1:10" x14ac:dyDescent="0.25">
      <c r="A9" s="198">
        <v>42</v>
      </c>
      <c r="B9" s="200" t="s">
        <v>220</v>
      </c>
      <c r="C9" s="198" t="s">
        <v>165</v>
      </c>
      <c r="D9" s="198">
        <v>3</v>
      </c>
      <c r="E9" s="198">
        <v>3352.8700000000003</v>
      </c>
      <c r="F9" s="198">
        <v>0.22391624455096415</v>
      </c>
      <c r="G9" s="142">
        <v>4103.6320588675917</v>
      </c>
      <c r="H9" s="142">
        <v>4103.577593</v>
      </c>
      <c r="I9" s="205">
        <f t="shared" si="0"/>
        <v>5.5862089836465775E-2</v>
      </c>
      <c r="J9" s="206">
        <f t="shared" si="1"/>
        <v>0.74589887272820332</v>
      </c>
    </row>
    <row r="10" spans="1:10" x14ac:dyDescent="0.25">
      <c r="A10" s="198">
        <v>2</v>
      </c>
      <c r="B10" s="200" t="s">
        <v>180</v>
      </c>
      <c r="C10" s="198" t="s">
        <v>165</v>
      </c>
      <c r="D10" s="198">
        <v>2</v>
      </c>
      <c r="E10" s="198">
        <v>2286.3624999999997</v>
      </c>
      <c r="F10" s="198">
        <v>0.22391624455096415</v>
      </c>
      <c r="G10" s="142">
        <v>2798.3162046821535</v>
      </c>
      <c r="H10" s="142">
        <v>2798.2790637499998</v>
      </c>
      <c r="I10" s="205">
        <f t="shared" si="0"/>
        <v>3.8093032946021309E-2</v>
      </c>
      <c r="J10" s="206">
        <f t="shared" si="1"/>
        <v>0.78399190567422461</v>
      </c>
    </row>
    <row r="11" spans="1:10" x14ac:dyDescent="0.25">
      <c r="A11" s="198">
        <v>41</v>
      </c>
      <c r="B11" s="200" t="s">
        <v>219</v>
      </c>
      <c r="C11" s="198" t="s">
        <v>165</v>
      </c>
      <c r="D11" s="198">
        <v>10</v>
      </c>
      <c r="E11" s="198">
        <v>329.755</v>
      </c>
      <c r="F11" s="198">
        <v>0.22391624455096415</v>
      </c>
      <c r="G11" s="142">
        <v>403.59250122190321</v>
      </c>
      <c r="H11" s="142">
        <v>2017.9357224999999</v>
      </c>
      <c r="I11" s="205">
        <f t="shared" si="0"/>
        <v>2.7470202295382419E-2</v>
      </c>
      <c r="J11" s="206">
        <f t="shared" si="1"/>
        <v>0.81146210796960705</v>
      </c>
    </row>
    <row r="12" spans="1:10" x14ac:dyDescent="0.25">
      <c r="A12" s="198">
        <v>1</v>
      </c>
      <c r="B12" s="200" t="s">
        <v>179</v>
      </c>
      <c r="C12" s="198" t="s">
        <v>165</v>
      </c>
      <c r="D12" s="198">
        <v>3</v>
      </c>
      <c r="E12" s="198">
        <v>1644.3730769230772</v>
      </c>
      <c r="F12" s="198">
        <v>0.22391624455096415</v>
      </c>
      <c r="G12" s="142">
        <v>2012.5749209484063</v>
      </c>
      <c r="H12" s="142">
        <v>2012.5482088461542</v>
      </c>
      <c r="I12" s="205">
        <f t="shared" si="0"/>
        <v>2.7396861956396335E-2</v>
      </c>
      <c r="J12" s="206">
        <f t="shared" si="1"/>
        <v>0.83885896992600339</v>
      </c>
    </row>
    <row r="13" spans="1:10" x14ac:dyDescent="0.25">
      <c r="A13" s="198">
        <v>46</v>
      </c>
      <c r="B13" s="200" t="s">
        <v>225</v>
      </c>
      <c r="C13" s="198" t="s">
        <v>165</v>
      </c>
      <c r="D13" s="198">
        <v>5</v>
      </c>
      <c r="E13" s="198">
        <v>374.38250000000005</v>
      </c>
      <c r="F13" s="198">
        <v>0.22391624455096415</v>
      </c>
      <c r="G13" s="142">
        <v>458.21282342560141</v>
      </c>
      <c r="H13" s="142">
        <v>1374.6202252500002</v>
      </c>
      <c r="I13" s="205">
        <f t="shared" si="0"/>
        <v>1.8712734625739129E-2</v>
      </c>
      <c r="J13" s="206">
        <f t="shared" si="1"/>
        <v>0.85757170455174248</v>
      </c>
    </row>
    <row r="14" spans="1:10" x14ac:dyDescent="0.25">
      <c r="A14" s="198">
        <v>7</v>
      </c>
      <c r="B14" s="200" t="s">
        <v>185</v>
      </c>
      <c r="C14" s="198" t="s">
        <v>165</v>
      </c>
      <c r="D14" s="198">
        <v>6</v>
      </c>
      <c r="E14" s="198">
        <v>258.08800000000002</v>
      </c>
      <c r="F14" s="198">
        <v>0.22391624455096415</v>
      </c>
      <c r="G14" s="142">
        <v>315.87809572366928</v>
      </c>
      <c r="H14" s="142">
        <v>947.62170960000003</v>
      </c>
      <c r="I14" s="205">
        <f t="shared" si="0"/>
        <v>1.289999466878863E-2</v>
      </c>
      <c r="J14" s="206">
        <f t="shared" si="1"/>
        <v>0.87047169922053114</v>
      </c>
    </row>
    <row r="15" spans="1:10" x14ac:dyDescent="0.25">
      <c r="A15" s="198">
        <v>47</v>
      </c>
      <c r="B15" s="200" t="s">
        <v>226</v>
      </c>
      <c r="C15" s="198" t="s">
        <v>165</v>
      </c>
      <c r="D15" s="198">
        <v>5</v>
      </c>
      <c r="E15" s="198">
        <v>209.72199999999998</v>
      </c>
      <c r="F15" s="198">
        <v>0.22391624455096415</v>
      </c>
      <c r="G15" s="142">
        <v>256.68216263971726</v>
      </c>
      <c r="H15" s="142">
        <v>770.03626739999993</v>
      </c>
      <c r="I15" s="205">
        <f t="shared" si="0"/>
        <v>1.0482520233128579E-2</v>
      </c>
      <c r="J15" s="206">
        <f t="shared" si="1"/>
        <v>0.8809542194536597</v>
      </c>
    </row>
    <row r="16" spans="1:10" x14ac:dyDescent="0.25">
      <c r="A16" s="198">
        <v>27</v>
      </c>
      <c r="B16" s="200" t="s">
        <v>205</v>
      </c>
      <c r="C16" s="198" t="s">
        <v>165</v>
      </c>
      <c r="D16" s="198">
        <v>5</v>
      </c>
      <c r="E16" s="198">
        <v>195.40666666666667</v>
      </c>
      <c r="F16" s="198">
        <v>0.22391624455096415</v>
      </c>
      <c r="G16" s="142">
        <v>239.16139362688872</v>
      </c>
      <c r="H16" s="142">
        <v>717.47465799999998</v>
      </c>
      <c r="I16" s="205">
        <f t="shared" si="0"/>
        <v>9.7669979163919167E-3</v>
      </c>
      <c r="J16" s="206">
        <f t="shared" si="1"/>
        <v>0.89072121737005161</v>
      </c>
    </row>
    <row r="17" spans="1:10" x14ac:dyDescent="0.25">
      <c r="A17" s="198">
        <v>15</v>
      </c>
      <c r="B17" s="200" t="s">
        <v>193</v>
      </c>
      <c r="C17" s="198" t="s">
        <v>165</v>
      </c>
      <c r="D17" s="198">
        <v>8</v>
      </c>
      <c r="E17" s="198">
        <v>127.74166666666667</v>
      </c>
      <c r="F17" s="198">
        <v>0.22391624455096415</v>
      </c>
      <c r="G17" s="142">
        <v>156.34510093934776</v>
      </c>
      <c r="H17" s="142">
        <v>625.37210333333337</v>
      </c>
      <c r="I17" s="205">
        <f t="shared" si="0"/>
        <v>8.5132038631896834E-3</v>
      </c>
      <c r="J17" s="206">
        <f t="shared" si="1"/>
        <v>0.89923442123324127</v>
      </c>
    </row>
    <row r="18" spans="1:10" x14ac:dyDescent="0.25">
      <c r="A18" s="198">
        <v>19</v>
      </c>
      <c r="B18" s="200" t="s">
        <v>197</v>
      </c>
      <c r="C18" s="198" t="s">
        <v>165</v>
      </c>
      <c r="D18" s="198">
        <v>8</v>
      </c>
      <c r="E18" s="198">
        <v>110.2</v>
      </c>
      <c r="F18" s="198">
        <v>0.22391624455096415</v>
      </c>
      <c r="G18" s="142">
        <v>134.87557014951625</v>
      </c>
      <c r="H18" s="142">
        <v>539.49512000000004</v>
      </c>
      <c r="I18" s="205">
        <f t="shared" si="0"/>
        <v>7.3441586461491541E-3</v>
      </c>
      <c r="J18" s="206">
        <f t="shared" si="1"/>
        <v>0.90657857987939039</v>
      </c>
    </row>
    <row r="19" spans="1:10" x14ac:dyDescent="0.25">
      <c r="A19" s="198">
        <v>22</v>
      </c>
      <c r="B19" s="200" t="s">
        <v>200</v>
      </c>
      <c r="C19" s="198" t="s">
        <v>165</v>
      </c>
      <c r="D19" s="198">
        <v>14</v>
      </c>
      <c r="E19" s="198">
        <v>60.616666666666667</v>
      </c>
      <c r="F19" s="198">
        <v>0.22391624455096415</v>
      </c>
      <c r="G19" s="142">
        <v>74.189723023864275</v>
      </c>
      <c r="H19" s="142">
        <v>519.32116833333339</v>
      </c>
      <c r="I19" s="205">
        <f t="shared" si="0"/>
        <v>7.069530209176925E-3</v>
      </c>
      <c r="J19" s="206">
        <f t="shared" si="1"/>
        <v>0.91364811008856728</v>
      </c>
    </row>
    <row r="20" spans="1:10" x14ac:dyDescent="0.25">
      <c r="A20" s="198">
        <v>20</v>
      </c>
      <c r="B20" s="200" t="s">
        <v>198</v>
      </c>
      <c r="C20" s="198" t="s">
        <v>165</v>
      </c>
      <c r="D20" s="198">
        <v>2</v>
      </c>
      <c r="E20" s="198">
        <v>212.10333333333335</v>
      </c>
      <c r="F20" s="198">
        <v>0.22391624455096415</v>
      </c>
      <c r="G20" s="142">
        <v>259.59671519007469</v>
      </c>
      <c r="H20" s="142">
        <v>519.18653933333337</v>
      </c>
      <c r="I20" s="205">
        <f t="shared" si="0"/>
        <v>7.0676975017107809E-3</v>
      </c>
      <c r="J20" s="206">
        <f t="shared" si="1"/>
        <v>0.92071580759027805</v>
      </c>
    </row>
    <row r="21" spans="1:10" x14ac:dyDescent="0.25">
      <c r="A21" s="198">
        <v>21</v>
      </c>
      <c r="B21" s="200" t="s">
        <v>199</v>
      </c>
      <c r="C21" s="198" t="s">
        <v>165</v>
      </c>
      <c r="D21" s="198">
        <v>10</v>
      </c>
      <c r="E21" s="198">
        <v>69.893333333333331</v>
      </c>
      <c r="F21" s="198">
        <v>0.22391624455096415</v>
      </c>
      <c r="G21" s="142">
        <v>85.543586052482055</v>
      </c>
      <c r="H21" s="142">
        <v>427.71225333333336</v>
      </c>
      <c r="I21" s="205">
        <f t="shared" si="0"/>
        <v>5.822456083350554E-3</v>
      </c>
      <c r="J21" s="206">
        <f t="shared" si="1"/>
        <v>0.92653826367362857</v>
      </c>
    </row>
    <row r="22" spans="1:10" x14ac:dyDescent="0.25">
      <c r="A22" s="198">
        <v>12</v>
      </c>
      <c r="B22" s="200" t="s">
        <v>190</v>
      </c>
      <c r="C22" s="198" t="s">
        <v>165</v>
      </c>
      <c r="D22" s="198">
        <v>8</v>
      </c>
      <c r="E22" s="198">
        <v>84.568000000000012</v>
      </c>
      <c r="F22" s="198">
        <v>0.22391624455096415</v>
      </c>
      <c r="G22" s="142">
        <v>103.50414896918595</v>
      </c>
      <c r="H22" s="142">
        <v>414.01110080000007</v>
      </c>
      <c r="I22" s="205">
        <f t="shared" si="0"/>
        <v>5.6359419998869486E-3</v>
      </c>
      <c r="J22" s="206">
        <f t="shared" si="1"/>
        <v>0.9321742056735155</v>
      </c>
    </row>
    <row r="23" spans="1:10" x14ac:dyDescent="0.25">
      <c r="A23" s="198">
        <v>30</v>
      </c>
      <c r="B23" s="200" t="s">
        <v>208</v>
      </c>
      <c r="C23" s="198" t="s">
        <v>165</v>
      </c>
      <c r="D23" s="198">
        <v>1</v>
      </c>
      <c r="E23" s="198">
        <v>312.16000000000003</v>
      </c>
      <c r="F23" s="198">
        <v>0.22391624455096415</v>
      </c>
      <c r="G23" s="142">
        <v>382.057694899029</v>
      </c>
      <c r="H23" s="142">
        <v>382.05262400000004</v>
      </c>
      <c r="I23" s="205">
        <f t="shared" si="0"/>
        <v>5.2008905693782213E-3</v>
      </c>
      <c r="J23" s="206">
        <f t="shared" si="1"/>
        <v>0.93737509624289372</v>
      </c>
    </row>
    <row r="24" spans="1:10" x14ac:dyDescent="0.25">
      <c r="A24" s="198">
        <v>16</v>
      </c>
      <c r="B24" s="200" t="s">
        <v>194</v>
      </c>
      <c r="C24" s="198" t="s">
        <v>165</v>
      </c>
      <c r="D24" s="198">
        <v>2</v>
      </c>
      <c r="E24" s="198">
        <v>141.00333333333333</v>
      </c>
      <c r="F24" s="198">
        <v>0.22391624455096415</v>
      </c>
      <c r="G24" s="142">
        <v>172.57627020250112</v>
      </c>
      <c r="H24" s="142">
        <v>345.14795933333335</v>
      </c>
      <c r="I24" s="205">
        <f t="shared" si="0"/>
        <v>4.6985065772951508E-3</v>
      </c>
      <c r="J24" s="206">
        <f t="shared" si="1"/>
        <v>0.94207360282018893</v>
      </c>
    </row>
    <row r="25" spans="1:10" x14ac:dyDescent="0.25">
      <c r="A25" s="198">
        <v>44</v>
      </c>
      <c r="B25" s="200" t="s">
        <v>223</v>
      </c>
      <c r="C25" s="198" t="s">
        <v>165</v>
      </c>
      <c r="D25" s="198">
        <v>1</v>
      </c>
      <c r="E25" s="198">
        <v>281.04799999999994</v>
      </c>
      <c r="F25" s="198">
        <v>0.22391624455096415</v>
      </c>
      <c r="G25" s="142">
        <v>343.97921269855931</v>
      </c>
      <c r="H25" s="142">
        <v>343.97464719999994</v>
      </c>
      <c r="I25" s="205">
        <f t="shared" si="0"/>
        <v>4.6825342540447526E-3</v>
      </c>
      <c r="J25" s="206">
        <f t="shared" si="1"/>
        <v>0.94675613707423367</v>
      </c>
    </row>
    <row r="26" spans="1:10" x14ac:dyDescent="0.25">
      <c r="A26" s="198">
        <v>37</v>
      </c>
      <c r="B26" s="200" t="s">
        <v>215</v>
      </c>
      <c r="C26" s="198" t="s">
        <v>165</v>
      </c>
      <c r="D26" s="198">
        <v>8</v>
      </c>
      <c r="E26" s="198">
        <v>57.776666666666664</v>
      </c>
      <c r="F26" s="198">
        <v>0.22391624455096415</v>
      </c>
      <c r="G26" s="142">
        <v>70.713800889339538</v>
      </c>
      <c r="H26" s="142">
        <v>282.85144933333333</v>
      </c>
      <c r="I26" s="205">
        <f t="shared" si="0"/>
        <v>3.8504628497792884E-3</v>
      </c>
      <c r="J26" s="206">
        <f t="shared" si="1"/>
        <v>0.95060659992401297</v>
      </c>
    </row>
    <row r="27" spans="1:10" x14ac:dyDescent="0.25">
      <c r="A27" s="198">
        <v>28</v>
      </c>
      <c r="B27" s="200" t="s">
        <v>206</v>
      </c>
      <c r="C27" s="198" t="s">
        <v>165</v>
      </c>
      <c r="D27" s="198">
        <v>2</v>
      </c>
      <c r="E27" s="198">
        <v>227.0566666666667</v>
      </c>
      <c r="F27" s="198">
        <v>0.22391624455096415</v>
      </c>
      <c r="G27" s="142">
        <v>277.89834276692682</v>
      </c>
      <c r="H27" s="142">
        <v>277.89465433333339</v>
      </c>
      <c r="I27" s="205">
        <f t="shared" si="0"/>
        <v>3.7829858930712493E-3</v>
      </c>
      <c r="J27" s="206">
        <f t="shared" si="1"/>
        <v>0.95438958581708422</v>
      </c>
    </row>
    <row r="28" spans="1:10" x14ac:dyDescent="0.25">
      <c r="A28" s="198">
        <v>11</v>
      </c>
      <c r="B28" s="200" t="s">
        <v>189</v>
      </c>
      <c r="C28" s="198" t="s">
        <v>165</v>
      </c>
      <c r="D28" s="198">
        <v>2</v>
      </c>
      <c r="E28" s="198">
        <v>177.39499999999998</v>
      </c>
      <c r="F28" s="198">
        <v>0.22391624455096415</v>
      </c>
      <c r="G28" s="142">
        <v>217.11662220211826</v>
      </c>
      <c r="H28" s="142">
        <v>217.11374049999998</v>
      </c>
      <c r="I28" s="205">
        <f t="shared" si="0"/>
        <v>2.9555740086969805E-3</v>
      </c>
      <c r="J28" s="206">
        <f t="shared" si="1"/>
        <v>0.95734515982578117</v>
      </c>
    </row>
    <row r="29" spans="1:10" x14ac:dyDescent="0.25">
      <c r="A29" s="198">
        <v>45</v>
      </c>
      <c r="B29" s="200" t="s">
        <v>224</v>
      </c>
      <c r="C29" s="198" t="s">
        <v>165</v>
      </c>
      <c r="D29" s="198">
        <v>5</v>
      </c>
      <c r="E29" s="198">
        <v>58.337499999999991</v>
      </c>
      <c r="F29" s="198">
        <v>0.22391624455096415</v>
      </c>
      <c r="G29" s="142">
        <v>71.400213916491865</v>
      </c>
      <c r="H29" s="142">
        <v>214.19779874999995</v>
      </c>
      <c r="I29" s="205">
        <f t="shared" si="0"/>
        <v>2.9158792310779911E-3</v>
      </c>
      <c r="J29" s="206">
        <f t="shared" si="1"/>
        <v>0.96026103905685911</v>
      </c>
    </row>
    <row r="30" spans="1:10" x14ac:dyDescent="0.25">
      <c r="A30" s="198">
        <v>17</v>
      </c>
      <c r="B30" s="200" t="s">
        <v>195</v>
      </c>
      <c r="C30" s="198" t="s">
        <v>165</v>
      </c>
      <c r="D30" s="198">
        <v>1</v>
      </c>
      <c r="E30" s="198">
        <v>172.58</v>
      </c>
      <c r="F30" s="198">
        <v>0.22391624455096415</v>
      </c>
      <c r="G30" s="142">
        <v>211.22346548460541</v>
      </c>
      <c r="H30" s="142">
        <v>211.220662</v>
      </c>
      <c r="I30" s="205">
        <f t="shared" si="0"/>
        <v>2.8753514046107554E-3</v>
      </c>
      <c r="J30" s="206">
        <f t="shared" si="1"/>
        <v>0.96313639046146982</v>
      </c>
    </row>
    <row r="31" spans="1:10" x14ac:dyDescent="0.25">
      <c r="A31" s="198">
        <v>6</v>
      </c>
      <c r="B31" s="200" t="s">
        <v>184</v>
      </c>
      <c r="C31" s="198" t="s">
        <v>165</v>
      </c>
      <c r="D31" s="198">
        <v>1</v>
      </c>
      <c r="E31" s="198">
        <v>160.512</v>
      </c>
      <c r="F31" s="198">
        <v>0.22391624455096415</v>
      </c>
      <c r="G31" s="142">
        <v>196.45324424536435</v>
      </c>
      <c r="H31" s="142">
        <v>196.45063680000001</v>
      </c>
      <c r="I31" s="205">
        <f t="shared" si="0"/>
        <v>2.6742867345977608E-3</v>
      </c>
      <c r="J31" s="206">
        <f t="shared" si="1"/>
        <v>0.96581067719606761</v>
      </c>
    </row>
    <row r="32" spans="1:10" x14ac:dyDescent="0.25">
      <c r="A32" s="198">
        <v>23</v>
      </c>
      <c r="B32" s="200" t="s">
        <v>201</v>
      </c>
      <c r="C32" s="198" t="s">
        <v>165</v>
      </c>
      <c r="D32" s="198">
        <v>5</v>
      </c>
      <c r="E32" s="198">
        <v>51.053333333333342</v>
      </c>
      <c r="F32" s="198">
        <v>0.22391624455096415</v>
      </c>
      <c r="G32" s="142">
        <v>62.485004005141903</v>
      </c>
      <c r="H32" s="142">
        <v>187.45252400000004</v>
      </c>
      <c r="I32" s="205">
        <f t="shared" si="0"/>
        <v>2.5517952319514623E-3</v>
      </c>
      <c r="J32" s="206">
        <f t="shared" si="1"/>
        <v>0.96836247242801909</v>
      </c>
    </row>
    <row r="33" spans="1:10" x14ac:dyDescent="0.25">
      <c r="A33" s="198">
        <v>14</v>
      </c>
      <c r="B33" s="200" t="s">
        <v>192</v>
      </c>
      <c r="C33" s="198" t="s">
        <v>165</v>
      </c>
      <c r="D33" s="198">
        <v>2</v>
      </c>
      <c r="E33" s="198">
        <v>147.94666666666669</v>
      </c>
      <c r="F33" s="198">
        <v>0.22391624455096415</v>
      </c>
      <c r="G33" s="142">
        <v>181.07432866049999</v>
      </c>
      <c r="H33" s="142">
        <v>181.07192533333335</v>
      </c>
      <c r="I33" s="205">
        <f t="shared" si="0"/>
        <v>2.464936005374199E-3</v>
      </c>
      <c r="J33" s="206">
        <f t="shared" si="1"/>
        <v>0.97082740843339332</v>
      </c>
    </row>
    <row r="34" spans="1:10" x14ac:dyDescent="0.25">
      <c r="A34" s="198">
        <v>25</v>
      </c>
      <c r="B34" s="200" t="s">
        <v>203</v>
      </c>
      <c r="C34" s="198" t="s">
        <v>165</v>
      </c>
      <c r="D34" s="198">
        <v>8</v>
      </c>
      <c r="E34" s="198">
        <v>36.776666666666671</v>
      </c>
      <c r="F34" s="198">
        <v>0.22391624455096415</v>
      </c>
      <c r="G34" s="142">
        <v>45.011559753769298</v>
      </c>
      <c r="H34" s="142">
        <v>180.04384933333336</v>
      </c>
      <c r="I34" s="205">
        <f t="shared" si="0"/>
        <v>2.4509407847236424E-3</v>
      </c>
      <c r="J34" s="206">
        <f t="shared" si="1"/>
        <v>0.97327834921811696</v>
      </c>
    </row>
    <row r="35" spans="1:10" x14ac:dyDescent="0.25">
      <c r="A35" s="198">
        <v>8</v>
      </c>
      <c r="B35" s="200" t="s">
        <v>186</v>
      </c>
      <c r="C35" s="198" t="s">
        <v>165</v>
      </c>
      <c r="D35" s="198">
        <v>4</v>
      </c>
      <c r="E35" s="198">
        <v>71.683999999999997</v>
      </c>
      <c r="F35" s="198">
        <v>0.22391624455096415</v>
      </c>
      <c r="G35" s="142">
        <v>87.735212074391313</v>
      </c>
      <c r="H35" s="142">
        <v>175.46809519999999</v>
      </c>
      <c r="I35" s="205">
        <f t="shared" ref="I35:I51" si="2">H35/$H$52</f>
        <v>2.3886509455106892E-3</v>
      </c>
      <c r="J35" s="206">
        <f t="shared" si="1"/>
        <v>0.97566700016362762</v>
      </c>
    </row>
    <row r="36" spans="1:10" x14ac:dyDescent="0.25">
      <c r="A36" s="198">
        <v>29</v>
      </c>
      <c r="B36" s="200" t="s">
        <v>207</v>
      </c>
      <c r="C36" s="198" t="s">
        <v>165</v>
      </c>
      <c r="D36" s="198">
        <v>2</v>
      </c>
      <c r="E36" s="198">
        <v>137.38333333333335</v>
      </c>
      <c r="F36" s="198">
        <v>0.22391624455096415</v>
      </c>
      <c r="G36" s="142">
        <v>168.14569339722664</v>
      </c>
      <c r="H36" s="142">
        <v>168.1434616666667</v>
      </c>
      <c r="I36" s="205">
        <f t="shared" si="2"/>
        <v>2.2889405520344634E-3</v>
      </c>
      <c r="J36" s="206">
        <f t="shared" si="1"/>
        <v>0.97795594071566205</v>
      </c>
    </row>
    <row r="37" spans="1:10" x14ac:dyDescent="0.25">
      <c r="A37" s="198">
        <v>10</v>
      </c>
      <c r="B37" s="200" t="s">
        <v>188</v>
      </c>
      <c r="C37" s="198" t="s">
        <v>165</v>
      </c>
      <c r="D37" s="198">
        <v>6</v>
      </c>
      <c r="E37" s="198">
        <v>45.322857142857139</v>
      </c>
      <c r="F37" s="198">
        <v>0.22391624455096415</v>
      </c>
      <c r="G37" s="142">
        <v>55.471381106605548</v>
      </c>
      <c r="H37" s="142">
        <v>166.41193457142856</v>
      </c>
      <c r="I37" s="205">
        <f t="shared" si="2"/>
        <v>2.2653692365283383E-3</v>
      </c>
      <c r="J37" s="206">
        <f t="shared" si="1"/>
        <v>0.98022130995219037</v>
      </c>
    </row>
    <row r="38" spans="1:10" x14ac:dyDescent="0.25">
      <c r="A38" s="198">
        <v>33</v>
      </c>
      <c r="B38" s="200" t="s">
        <v>211</v>
      </c>
      <c r="C38" s="198" t="s">
        <v>165</v>
      </c>
      <c r="D38" s="198">
        <v>4</v>
      </c>
      <c r="E38" s="198">
        <v>66.190000000000012</v>
      </c>
      <c r="F38" s="198">
        <v>0.22391624455096415</v>
      </c>
      <c r="G38" s="142">
        <v>81.011016226828332</v>
      </c>
      <c r="H38" s="142">
        <v>162.01988200000002</v>
      </c>
      <c r="I38" s="205">
        <f t="shared" si="2"/>
        <v>2.2055801306198391E-3</v>
      </c>
      <c r="J38" s="206">
        <f t="shared" si="1"/>
        <v>0.98242689008281026</v>
      </c>
    </row>
    <row r="39" spans="1:10" x14ac:dyDescent="0.25">
      <c r="A39" s="198">
        <v>39</v>
      </c>
      <c r="B39" s="200" t="s">
        <v>217</v>
      </c>
      <c r="C39" s="198" t="s">
        <v>165</v>
      </c>
      <c r="D39" s="198">
        <v>3</v>
      </c>
      <c r="E39" s="198">
        <v>64.133333333333326</v>
      </c>
      <c r="F39" s="198">
        <v>0.22391624455096415</v>
      </c>
      <c r="G39" s="142">
        <v>78.493828483868498</v>
      </c>
      <c r="H39" s="142">
        <v>156.98557333333332</v>
      </c>
      <c r="I39" s="205">
        <f t="shared" si="2"/>
        <v>2.1370479787040184E-3</v>
      </c>
      <c r="J39" s="206">
        <f t="shared" si="1"/>
        <v>0.98456393806151432</v>
      </c>
    </row>
    <row r="40" spans="1:10" x14ac:dyDescent="0.25">
      <c r="A40" s="198">
        <v>38</v>
      </c>
      <c r="B40" s="200" t="s">
        <v>216</v>
      </c>
      <c r="C40" s="198" t="s">
        <v>165</v>
      </c>
      <c r="D40" s="198">
        <v>4</v>
      </c>
      <c r="E40" s="198">
        <v>62.126666666666665</v>
      </c>
      <c r="F40" s="198">
        <v>0.22391624455096415</v>
      </c>
      <c r="G40" s="142">
        <v>76.037836553136231</v>
      </c>
      <c r="H40" s="142">
        <v>152.07365466666667</v>
      </c>
      <c r="I40" s="205">
        <f t="shared" si="2"/>
        <v>2.0701819244846936E-3</v>
      </c>
      <c r="J40" s="206">
        <f t="shared" si="1"/>
        <v>0.98663411998599904</v>
      </c>
    </row>
    <row r="41" spans="1:10" x14ac:dyDescent="0.25">
      <c r="A41" s="198">
        <v>36</v>
      </c>
      <c r="B41" s="200" t="s">
        <v>214</v>
      </c>
      <c r="C41" s="198" t="s">
        <v>165</v>
      </c>
      <c r="D41" s="198">
        <v>4</v>
      </c>
      <c r="E41" s="198">
        <v>53.576666666666675</v>
      </c>
      <c r="F41" s="198">
        <v>0.22391624455096415</v>
      </c>
      <c r="G41" s="142">
        <v>65.573352662225503</v>
      </c>
      <c r="H41" s="142">
        <v>131.14496466666668</v>
      </c>
      <c r="I41" s="205">
        <f t="shared" si="2"/>
        <v>1.7852792183840798E-3</v>
      </c>
      <c r="J41" s="206">
        <f t="shared" si="1"/>
        <v>0.98841939920438315</v>
      </c>
    </row>
    <row r="42" spans="1:10" x14ac:dyDescent="0.25">
      <c r="A42" s="198">
        <v>13</v>
      </c>
      <c r="B42" s="200" t="s">
        <v>191</v>
      </c>
      <c r="C42" s="198" t="s">
        <v>165</v>
      </c>
      <c r="D42" s="198">
        <v>2</v>
      </c>
      <c r="E42" s="198">
        <v>95.93</v>
      </c>
      <c r="F42" s="198">
        <v>0.22391624455096415</v>
      </c>
      <c r="G42" s="142">
        <v>117.41028533977401</v>
      </c>
      <c r="H42" s="142">
        <v>117.40872700000001</v>
      </c>
      <c r="I42" s="205">
        <f t="shared" si="2"/>
        <v>1.5982875202474782E-3</v>
      </c>
      <c r="J42" s="206">
        <f t="shared" si="1"/>
        <v>0.99001768672463064</v>
      </c>
    </row>
    <row r="43" spans="1:10" x14ac:dyDescent="0.25">
      <c r="A43" s="198">
        <v>31</v>
      </c>
      <c r="B43" s="200" t="s">
        <v>209</v>
      </c>
      <c r="C43" s="198" t="s">
        <v>165</v>
      </c>
      <c r="D43" s="198">
        <v>2</v>
      </c>
      <c r="E43" s="198">
        <v>87.410000000000011</v>
      </c>
      <c r="F43" s="198">
        <v>0.22391624455096415</v>
      </c>
      <c r="G43" s="142">
        <v>106.9825189361998</v>
      </c>
      <c r="H43" s="142">
        <v>106.98109900000001</v>
      </c>
      <c r="I43" s="205">
        <f t="shared" si="2"/>
        <v>1.4563359965061198E-3</v>
      </c>
      <c r="J43" s="206">
        <f t="shared" si="1"/>
        <v>0.99147402272113672</v>
      </c>
    </row>
    <row r="44" spans="1:10" x14ac:dyDescent="0.25">
      <c r="A44" s="198">
        <v>18</v>
      </c>
      <c r="B44" s="200" t="s">
        <v>196</v>
      </c>
      <c r="C44" s="198" t="s">
        <v>165</v>
      </c>
      <c r="D44" s="198">
        <v>1</v>
      </c>
      <c r="E44" s="198">
        <v>87.336666666666659</v>
      </c>
      <c r="F44" s="198">
        <v>0.22391624455096415</v>
      </c>
      <c r="G44" s="142">
        <v>106.89276507826602</v>
      </c>
      <c r="H44" s="142">
        <v>106.89134633333332</v>
      </c>
      <c r="I44" s="205">
        <f t="shared" si="2"/>
        <v>1.4551141915286898E-3</v>
      </c>
      <c r="J44" s="206">
        <f t="shared" si="1"/>
        <v>0.99292913691266538</v>
      </c>
    </row>
    <row r="45" spans="1:10" x14ac:dyDescent="0.25">
      <c r="A45" s="198">
        <v>32</v>
      </c>
      <c r="B45" s="200" t="s">
        <v>210</v>
      </c>
      <c r="C45" s="198" t="s">
        <v>165</v>
      </c>
      <c r="D45" s="198">
        <v>2</v>
      </c>
      <c r="E45" s="198">
        <v>79.726666666666674</v>
      </c>
      <c r="F45" s="198">
        <v>0.22391624455096415</v>
      </c>
      <c r="G45" s="142">
        <v>97.578762457233211</v>
      </c>
      <c r="H45" s="142">
        <v>97.577467333333345</v>
      </c>
      <c r="I45" s="205">
        <f t="shared" si="2"/>
        <v>1.3283241568254347E-3</v>
      </c>
      <c r="J45" s="206">
        <f t="shared" si="1"/>
        <v>0.99425746106949087</v>
      </c>
    </row>
    <row r="46" spans="1:10" x14ac:dyDescent="0.25">
      <c r="A46" s="198">
        <v>9</v>
      </c>
      <c r="B46" s="200" t="s">
        <v>187</v>
      </c>
      <c r="C46" s="198" t="s">
        <v>165</v>
      </c>
      <c r="D46" s="198">
        <v>1</v>
      </c>
      <c r="E46" s="198">
        <v>78.486666666666665</v>
      </c>
      <c r="F46" s="198">
        <v>0.22391624455096415</v>
      </c>
      <c r="G46" s="142">
        <v>96.06110631399001</v>
      </c>
      <c r="H46" s="142">
        <v>96.059831333333335</v>
      </c>
      <c r="I46" s="205">
        <f t="shared" si="2"/>
        <v>1.3076645453888988E-3</v>
      </c>
      <c r="J46" s="206">
        <f t="shared" si="1"/>
        <v>0.99556512561487975</v>
      </c>
    </row>
    <row r="47" spans="1:10" x14ac:dyDescent="0.25">
      <c r="A47" s="198">
        <v>34</v>
      </c>
      <c r="B47" s="200" t="s">
        <v>212</v>
      </c>
      <c r="C47" s="198" t="s">
        <v>165</v>
      </c>
      <c r="D47" s="198">
        <v>2</v>
      </c>
      <c r="E47" s="198">
        <v>61.576666666666675</v>
      </c>
      <c r="F47" s="198">
        <v>0.22391624455096415</v>
      </c>
      <c r="G47" s="142">
        <v>75.364682618633211</v>
      </c>
      <c r="H47" s="142">
        <v>75.363682333333344</v>
      </c>
      <c r="I47" s="205">
        <f t="shared" si="2"/>
        <v>1.0259274249116252E-3</v>
      </c>
      <c r="J47" s="206">
        <f t="shared" si="1"/>
        <v>0.99659105303979134</v>
      </c>
    </row>
    <row r="48" spans="1:10" x14ac:dyDescent="0.25">
      <c r="A48" s="198">
        <v>35</v>
      </c>
      <c r="B48" s="200" t="s">
        <v>213</v>
      </c>
      <c r="C48" s="198" t="s">
        <v>165</v>
      </c>
      <c r="D48" s="198">
        <v>2</v>
      </c>
      <c r="E48" s="198">
        <v>59.316666666666663</v>
      </c>
      <c r="F48" s="198">
        <v>0.22391624455096415</v>
      </c>
      <c r="G48" s="142">
        <v>72.598631905948025</v>
      </c>
      <c r="H48" s="142">
        <v>72.597668333333331</v>
      </c>
      <c r="I48" s="205">
        <f t="shared" si="2"/>
        <v>9.8827361697084227E-4</v>
      </c>
      <c r="J48" s="206">
        <f t="shared" si="1"/>
        <v>0.99757932665676219</v>
      </c>
    </row>
    <row r="49" spans="1:10" x14ac:dyDescent="0.25">
      <c r="A49" s="198">
        <v>40</v>
      </c>
      <c r="B49" s="200" t="s">
        <v>218</v>
      </c>
      <c r="C49" s="198" t="s">
        <v>165</v>
      </c>
      <c r="D49" s="198">
        <v>2</v>
      </c>
      <c r="E49" s="198">
        <v>58.723333333333336</v>
      </c>
      <c r="F49" s="198">
        <v>0.22391624455096415</v>
      </c>
      <c r="G49" s="142">
        <v>71.872441600847793</v>
      </c>
      <c r="H49" s="142">
        <v>71.871487666666667</v>
      </c>
      <c r="I49" s="205">
        <f t="shared" si="2"/>
        <v>9.7838810397163963E-4</v>
      </c>
      <c r="J49" s="206">
        <f t="shared" si="1"/>
        <v>0.99855771476073385</v>
      </c>
    </row>
    <row r="50" spans="1:10" x14ac:dyDescent="0.25">
      <c r="A50" s="198">
        <v>24</v>
      </c>
      <c r="B50" s="200" t="s">
        <v>202</v>
      </c>
      <c r="C50" s="198" t="s">
        <v>165</v>
      </c>
      <c r="D50" s="198">
        <v>1</v>
      </c>
      <c r="E50" s="198">
        <v>48.669999999999995</v>
      </c>
      <c r="F50" s="198">
        <v>0.22391624455096415</v>
      </c>
      <c r="G50" s="142">
        <v>59.568003622295421</v>
      </c>
      <c r="H50" s="142">
        <v>59.567212999999995</v>
      </c>
      <c r="I50" s="205">
        <f t="shared" si="2"/>
        <v>8.1088974888402735E-4</v>
      </c>
      <c r="J50" s="206">
        <f t="shared" si="1"/>
        <v>0.99936860450961784</v>
      </c>
    </row>
    <row r="51" spans="1:10" x14ac:dyDescent="0.25">
      <c r="A51" s="198">
        <v>26</v>
      </c>
      <c r="B51" s="200" t="s">
        <v>204</v>
      </c>
      <c r="C51" s="198" t="s">
        <v>165</v>
      </c>
      <c r="D51" s="198">
        <v>2</v>
      </c>
      <c r="E51" s="198">
        <v>37.896666666666668</v>
      </c>
      <c r="F51" s="198">
        <v>0.22391624455096415</v>
      </c>
      <c r="G51" s="142">
        <v>46.382345947666373</v>
      </c>
      <c r="H51" s="142">
        <v>46.381730333333337</v>
      </c>
      <c r="I51" s="205">
        <f t="shared" si="2"/>
        <v>6.3139549038165258E-4</v>
      </c>
      <c r="J51" s="206">
        <f t="shared" si="1"/>
        <v>0.99999999999999944</v>
      </c>
    </row>
    <row r="52" spans="1:10" x14ac:dyDescent="0.25">
      <c r="A52" s="216"/>
      <c r="B52" s="215" t="s">
        <v>467</v>
      </c>
      <c r="C52" s="217"/>
      <c r="D52" s="217"/>
      <c r="E52" s="218"/>
      <c r="F52" s="218"/>
      <c r="G52" s="218"/>
      <c r="H52" s="219">
        <f>'ANEXO VIII_PEÇAS_COMPONENTES'!H52</f>
        <v>73459.07761440851</v>
      </c>
      <c r="I52" s="220"/>
      <c r="J52" s="216"/>
    </row>
  </sheetData>
  <autoFilter ref="A2:J2" xr:uid="{8AA46360-ADAA-4AAE-ADB2-608640542A60}">
    <sortState xmlns:xlrd2="http://schemas.microsoft.com/office/spreadsheetml/2017/richdata2" ref="A3:J52">
      <sortCondition descending="1" ref="I2"/>
    </sortState>
  </autoFilter>
  <mergeCells count="1">
    <mergeCell ref="A1:J1"/>
  </mergeCells>
  <printOptions horizontalCentered="1" verticalCentered="1"/>
  <pageMargins left="0.19685039370078741" right="0.19685039370078741" top="0.19685039370078741" bottom="0.19685039370078741" header="0" footer="0"/>
  <pageSetup paperSize="8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01558-8C43-47AD-AE42-720C0AC3C3C8}">
  <sheetPr>
    <tabColor theme="8" tint="-0.499984740745262"/>
    <pageSetUpPr fitToPage="1"/>
  </sheetPr>
  <dimension ref="A1:K15"/>
  <sheetViews>
    <sheetView showGridLines="0" topLeftCell="C1" zoomScaleNormal="100" workbookViewId="0">
      <selection activeCell="G15" sqref="G15"/>
    </sheetView>
  </sheetViews>
  <sheetFormatPr defaultColWidth="9.140625" defaultRowHeight="14.25" x14ac:dyDescent="0.2"/>
  <cols>
    <col min="1" max="1" width="4" style="24" customWidth="1"/>
    <col min="2" max="2" width="76.85546875" style="24" bestFit="1" customWidth="1"/>
    <col min="3" max="3" width="45.28515625" style="24" customWidth="1"/>
    <col min="4" max="4" width="16.140625" style="24" customWidth="1"/>
    <col min="5" max="5" width="19.140625" style="24" customWidth="1"/>
    <col min="6" max="6" width="17" style="24" customWidth="1"/>
    <col min="7" max="7" width="17" style="24" bestFit="1" customWidth="1"/>
    <col min="8" max="8" width="17.42578125" style="24" customWidth="1"/>
    <col min="9" max="9" width="18.85546875" style="24" bestFit="1" customWidth="1"/>
    <col min="10" max="10" width="13.28515625" style="21" bestFit="1" customWidth="1"/>
    <col min="11" max="11" width="15.85546875" style="13" bestFit="1" customWidth="1"/>
    <col min="12" max="16384" width="9.140625" style="13"/>
  </cols>
  <sheetData>
    <row r="1" spans="1:11" ht="16.5" thickBot="1" x14ac:dyDescent="0.25">
      <c r="A1" s="261" t="s">
        <v>23</v>
      </c>
      <c r="B1" s="262"/>
      <c r="C1" s="262"/>
      <c r="D1" s="262"/>
      <c r="E1" s="262"/>
      <c r="F1" s="262"/>
      <c r="G1" s="262"/>
      <c r="H1" s="262"/>
      <c r="I1" s="263"/>
    </row>
    <row r="2" spans="1:11" s="15" customFormat="1" ht="45" x14ac:dyDescent="0.2">
      <c r="A2" s="257" t="s">
        <v>24</v>
      </c>
      <c r="B2" s="259" t="s">
        <v>25</v>
      </c>
      <c r="C2" s="259" t="s">
        <v>26</v>
      </c>
      <c r="D2" s="27" t="s">
        <v>27</v>
      </c>
      <c r="E2" s="27" t="s">
        <v>28</v>
      </c>
      <c r="F2" s="27" t="s">
        <v>29</v>
      </c>
      <c r="G2" s="27" t="s">
        <v>30</v>
      </c>
      <c r="H2" s="27" t="s">
        <v>31</v>
      </c>
      <c r="I2" s="28" t="s">
        <v>32</v>
      </c>
      <c r="J2" s="29"/>
    </row>
    <row r="3" spans="1:11" s="15" customFormat="1" ht="15" x14ac:dyDescent="0.2">
      <c r="A3" s="258"/>
      <c r="B3" s="260"/>
      <c r="C3" s="260"/>
      <c r="D3" s="30" t="s">
        <v>33</v>
      </c>
      <c r="E3" s="30" t="s">
        <v>34</v>
      </c>
      <c r="F3" s="30" t="s">
        <v>35</v>
      </c>
      <c r="G3" s="30" t="s">
        <v>36</v>
      </c>
      <c r="H3" s="30" t="s">
        <v>37</v>
      </c>
      <c r="I3" s="31" t="s">
        <v>38</v>
      </c>
      <c r="J3" s="29"/>
    </row>
    <row r="4" spans="1:11" x14ac:dyDescent="0.2">
      <c r="A4" s="32">
        <v>1</v>
      </c>
      <c r="B4" s="20" t="s">
        <v>39</v>
      </c>
      <c r="C4" s="36" t="s">
        <v>40</v>
      </c>
      <c r="D4" s="23">
        <v>2</v>
      </c>
      <c r="E4" s="23">
        <v>1</v>
      </c>
      <c r="F4" s="23">
        <f>D4*E4</f>
        <v>2</v>
      </c>
      <c r="G4" s="33">
        <f>'ANEXO X_TÉC. REGRIGERAÇÃO'!D120</f>
        <v>10757.823740477583</v>
      </c>
      <c r="H4" s="33">
        <f>ROUND(F4*G4,2)</f>
        <v>21515.65</v>
      </c>
      <c r="I4" s="34">
        <f>H4*12</f>
        <v>258187.80000000002</v>
      </c>
      <c r="J4" s="35"/>
      <c r="K4" s="14"/>
    </row>
    <row r="5" spans="1:11" ht="16.5" thickBot="1" x14ac:dyDescent="0.25">
      <c r="A5" s="40"/>
      <c r="B5" s="253" t="s">
        <v>41</v>
      </c>
      <c r="C5" s="254"/>
      <c r="D5" s="37">
        <f>SUM(D4:D4)</f>
        <v>2</v>
      </c>
      <c r="E5" s="37"/>
      <c r="F5" s="37">
        <f>SUM(F4:F4)</f>
        <v>2</v>
      </c>
      <c r="G5" s="38">
        <f>TRUNC(SUM(G4:G4),2)</f>
        <v>10757.82</v>
      </c>
      <c r="H5" s="38">
        <f>TRUNC(SUM(H4:H4),2)</f>
        <v>21515.65</v>
      </c>
      <c r="I5" s="39">
        <f>TRUNC(SUM(I4:I4),2)</f>
        <v>258187.8</v>
      </c>
    </row>
    <row r="6" spans="1:11" x14ac:dyDescent="0.2">
      <c r="H6" s="41"/>
    </row>
    <row r="7" spans="1:11" x14ac:dyDescent="0.2">
      <c r="B7" s="22"/>
      <c r="I7" s="41"/>
    </row>
    <row r="8" spans="1:11" ht="16.5" thickBot="1" x14ac:dyDescent="0.25">
      <c r="A8" s="251" t="s">
        <v>42</v>
      </c>
      <c r="B8" s="252"/>
      <c r="C8" s="252"/>
      <c r="D8" s="252"/>
      <c r="E8" s="252"/>
      <c r="F8" s="252"/>
      <c r="G8" s="252"/>
      <c r="H8" s="252"/>
    </row>
    <row r="9" spans="1:11" ht="60" x14ac:dyDescent="0.2">
      <c r="A9" s="257" t="s">
        <v>24</v>
      </c>
      <c r="B9" s="259" t="s">
        <v>25</v>
      </c>
      <c r="C9" s="259" t="s">
        <v>26</v>
      </c>
      <c r="D9" s="27" t="s">
        <v>27</v>
      </c>
      <c r="E9" s="27" t="s">
        <v>43</v>
      </c>
      <c r="F9" s="27" t="s">
        <v>44</v>
      </c>
      <c r="G9" s="27" t="s">
        <v>31</v>
      </c>
      <c r="H9" s="28" t="s">
        <v>32</v>
      </c>
    </row>
    <row r="10" spans="1:11" ht="15" x14ac:dyDescent="0.2">
      <c r="A10" s="258"/>
      <c r="B10" s="260"/>
      <c r="C10" s="260"/>
      <c r="D10" s="30" t="s">
        <v>33</v>
      </c>
      <c r="E10" s="30" t="s">
        <v>34</v>
      </c>
      <c r="F10" s="30" t="s">
        <v>45</v>
      </c>
      <c r="G10" s="30" t="s">
        <v>46</v>
      </c>
      <c r="H10" s="31" t="s">
        <v>47</v>
      </c>
    </row>
    <row r="11" spans="1:11" x14ac:dyDescent="0.2">
      <c r="A11" s="32">
        <v>1</v>
      </c>
      <c r="B11" s="20" t="s">
        <v>48</v>
      </c>
      <c r="C11" s="4" t="s">
        <v>49</v>
      </c>
      <c r="D11" s="23">
        <v>1</v>
      </c>
      <c r="E11" s="23">
        <v>8</v>
      </c>
      <c r="F11" s="33">
        <f>'ANEXO XI_SUPERV. ENG. MECÂNICO'!D119</f>
        <v>144.24288267134938</v>
      </c>
      <c r="G11" s="33">
        <f>ROUND(D11*E11*F11,2)</f>
        <v>1153.94</v>
      </c>
      <c r="H11" s="34">
        <f>ROUND(G11*12,2)</f>
        <v>13847.28</v>
      </c>
    </row>
    <row r="12" spans="1:11" x14ac:dyDescent="0.2">
      <c r="A12" s="32">
        <v>2</v>
      </c>
      <c r="B12" s="20" t="s">
        <v>39</v>
      </c>
      <c r="C12" s="36" t="s">
        <v>40</v>
      </c>
      <c r="D12" s="23">
        <v>1</v>
      </c>
      <c r="E12" s="23">
        <v>48</v>
      </c>
      <c r="F12" s="33">
        <f>'ANEXO X_TÉC. REGRIGERAÇÃO'!D121</f>
        <v>61.123998525440811</v>
      </c>
      <c r="G12" s="33">
        <f>ROUND(D12*E12*F12,2)</f>
        <v>2933.95</v>
      </c>
      <c r="H12" s="34">
        <f>ROUND(G12*12,2)</f>
        <v>35207.4</v>
      </c>
    </row>
    <row r="13" spans="1:11" x14ac:dyDescent="0.2">
      <c r="A13" s="32">
        <v>2</v>
      </c>
      <c r="B13" s="20" t="s">
        <v>50</v>
      </c>
      <c r="C13" s="255" t="s">
        <v>51</v>
      </c>
      <c r="D13" s="23">
        <v>1</v>
      </c>
      <c r="E13" s="23">
        <v>48</v>
      </c>
      <c r="F13" s="33">
        <f>'ANEXO XII_TÉC. ELETRICISTA'!D121</f>
        <v>47.807086878035541</v>
      </c>
      <c r="G13" s="33">
        <f>ROUND(D13*E13*F13,2)</f>
        <v>2294.7399999999998</v>
      </c>
      <c r="H13" s="34">
        <f>ROUND(G13*12,2)</f>
        <v>27536.880000000001</v>
      </c>
    </row>
    <row r="14" spans="1:11" x14ac:dyDescent="0.2">
      <c r="A14" s="32">
        <v>3</v>
      </c>
      <c r="B14" s="20" t="s">
        <v>52</v>
      </c>
      <c r="C14" s="256"/>
      <c r="D14" s="23">
        <v>2</v>
      </c>
      <c r="E14" s="23">
        <v>16</v>
      </c>
      <c r="F14" s="33">
        <f>'ANEXO XIII_AJUDANTE'!D121</f>
        <v>35.458408349660935</v>
      </c>
      <c r="G14" s="33">
        <f>ROUND(D14*E14*F14,2)</f>
        <v>1134.67</v>
      </c>
      <c r="H14" s="34">
        <f>ROUND(G14*12,2)</f>
        <v>13616.04</v>
      </c>
      <c r="I14" s="41"/>
    </row>
    <row r="15" spans="1:11" ht="16.5" thickBot="1" x14ac:dyDescent="0.25">
      <c r="A15" s="40"/>
      <c r="B15" s="253" t="s">
        <v>41</v>
      </c>
      <c r="C15" s="254"/>
      <c r="D15" s="37">
        <f>SUM(D14:D14)</f>
        <v>2</v>
      </c>
      <c r="E15" s="37">
        <f>SUM(E11:E14)</f>
        <v>120</v>
      </c>
      <c r="F15" s="38">
        <f>TRUNC(SUM(F11:F14),2)</f>
        <v>288.63</v>
      </c>
      <c r="G15" s="38">
        <f>TRUNC(SUM(G11:G14),2)</f>
        <v>7517.3</v>
      </c>
      <c r="H15" s="39">
        <f>TRUNC(SUM(H11:H14),2)</f>
        <v>90207.6</v>
      </c>
    </row>
  </sheetData>
  <mergeCells count="11">
    <mergeCell ref="A1:I1"/>
    <mergeCell ref="C2:C3"/>
    <mergeCell ref="B2:B3"/>
    <mergeCell ref="A2:A3"/>
    <mergeCell ref="B5:C5"/>
    <mergeCell ref="A8:H8"/>
    <mergeCell ref="B15:C15"/>
    <mergeCell ref="C13:C14"/>
    <mergeCell ref="A9:A10"/>
    <mergeCell ref="B9:B10"/>
    <mergeCell ref="C9:C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90E0E-0FB5-4681-873C-E10678F53657}">
  <sheetPr>
    <tabColor theme="8" tint="-0.249977111117893"/>
    <pageSetUpPr fitToPage="1"/>
  </sheetPr>
  <dimension ref="A1:L79"/>
  <sheetViews>
    <sheetView showGridLines="0" zoomScaleNormal="100" workbookViewId="0">
      <selection activeCell="H21" sqref="H21"/>
    </sheetView>
  </sheetViews>
  <sheetFormatPr defaultRowHeight="15" x14ac:dyDescent="0.25"/>
  <cols>
    <col min="1" max="1" width="9.28515625" style="24" bestFit="1" customWidth="1"/>
    <col min="2" max="2" width="66.140625" style="25" customWidth="1"/>
    <col min="3" max="3" width="9.140625" style="25"/>
    <col min="4" max="4" width="9.28515625" style="25" bestFit="1" customWidth="1"/>
    <col min="5" max="5" width="15" style="25" customWidth="1"/>
    <col min="6" max="7" width="9.28515625" style="25" bestFit="1" customWidth="1"/>
    <col min="8" max="8" width="13.140625" style="25" bestFit="1" customWidth="1"/>
    <col min="9" max="9" width="9.140625" style="21"/>
    <col min="10" max="12" width="12.140625" style="141" bestFit="1" customWidth="1"/>
  </cols>
  <sheetData>
    <row r="1" spans="1:12" ht="15.75" customHeight="1" x14ac:dyDescent="0.25">
      <c r="A1" s="264" t="s">
        <v>53</v>
      </c>
      <c r="B1" s="265"/>
      <c r="C1" s="265"/>
      <c r="D1" s="265"/>
      <c r="E1" s="265"/>
      <c r="F1" s="265"/>
      <c r="G1" s="265"/>
      <c r="H1" s="266"/>
    </row>
    <row r="2" spans="1:12" ht="25.5" x14ac:dyDescent="0.25">
      <c r="A2" s="5" t="s">
        <v>54</v>
      </c>
      <c r="B2" s="5" t="s">
        <v>55</v>
      </c>
      <c r="C2" s="5" t="s">
        <v>56</v>
      </c>
      <c r="D2" s="9" t="s">
        <v>57</v>
      </c>
      <c r="E2" s="5" t="s">
        <v>58</v>
      </c>
      <c r="F2" s="5" t="s">
        <v>59</v>
      </c>
      <c r="G2" s="5" t="s">
        <v>60</v>
      </c>
      <c r="H2" s="5" t="s">
        <v>61</v>
      </c>
      <c r="J2" s="5" t="s">
        <v>62</v>
      </c>
      <c r="K2" s="5" t="s">
        <v>63</v>
      </c>
      <c r="L2" s="5" t="s">
        <v>64</v>
      </c>
    </row>
    <row r="3" spans="1:12" x14ac:dyDescent="0.25">
      <c r="A3" s="23">
        <v>1</v>
      </c>
      <c r="B3" s="2" t="s">
        <v>65</v>
      </c>
      <c r="C3" s="3" t="s">
        <v>66</v>
      </c>
      <c r="D3" s="16" t="s">
        <v>67</v>
      </c>
      <c r="E3" s="10">
        <v>10.52</v>
      </c>
      <c r="F3" s="3">
        <v>12</v>
      </c>
      <c r="G3" s="3">
        <v>1</v>
      </c>
      <c r="H3" s="8">
        <f>IFERROR(ROUND(E3*G3/F3,2),"")</f>
        <v>0.88</v>
      </c>
      <c r="J3" s="142"/>
      <c r="K3" s="142"/>
      <c r="L3" s="142"/>
    </row>
    <row r="4" spans="1:12" x14ac:dyDescent="0.25">
      <c r="A4" s="23">
        <v>2</v>
      </c>
      <c r="B4" s="2" t="s">
        <v>68</v>
      </c>
      <c r="C4" s="3" t="s">
        <v>69</v>
      </c>
      <c r="D4" s="16" t="s">
        <v>70</v>
      </c>
      <c r="E4" s="10">
        <v>11</v>
      </c>
      <c r="F4" s="3">
        <v>12</v>
      </c>
      <c r="G4" s="3">
        <v>10</v>
      </c>
      <c r="H4" s="8">
        <f t="shared" ref="H4:H14" si="0">IFERROR(ROUND(E4*G4/F4,2),"")</f>
        <v>9.17</v>
      </c>
      <c r="J4" s="142"/>
      <c r="K4" s="142"/>
      <c r="L4" s="142"/>
    </row>
    <row r="5" spans="1:12" x14ac:dyDescent="0.25">
      <c r="A5" s="23">
        <v>3</v>
      </c>
      <c r="B5" s="2" t="s">
        <v>71</v>
      </c>
      <c r="C5" s="3" t="s">
        <v>72</v>
      </c>
      <c r="D5" s="16" t="s">
        <v>73</v>
      </c>
      <c r="E5" s="10">
        <v>15.86</v>
      </c>
      <c r="F5" s="3">
        <v>12</v>
      </c>
      <c r="G5" s="3">
        <v>5</v>
      </c>
      <c r="H5" s="8">
        <f t="shared" si="0"/>
        <v>6.61</v>
      </c>
      <c r="J5" s="142"/>
      <c r="K5" s="142"/>
      <c r="L5" s="142"/>
    </row>
    <row r="6" spans="1:12" x14ac:dyDescent="0.25">
      <c r="A6" s="23">
        <v>4</v>
      </c>
      <c r="B6" s="2" t="s">
        <v>74</v>
      </c>
      <c r="C6" s="3" t="s">
        <v>75</v>
      </c>
      <c r="D6" s="16" t="s">
        <v>76</v>
      </c>
      <c r="E6" s="10">
        <v>1.62</v>
      </c>
      <c r="F6" s="3">
        <v>12</v>
      </c>
      <c r="G6" s="3">
        <v>60</v>
      </c>
      <c r="H6" s="8">
        <f t="shared" si="0"/>
        <v>8.1</v>
      </c>
      <c r="J6" s="142"/>
      <c r="K6" s="142"/>
      <c r="L6" s="142"/>
    </row>
    <row r="7" spans="1:12" x14ac:dyDescent="0.25">
      <c r="A7" s="23">
        <v>5</v>
      </c>
      <c r="B7" s="2" t="s">
        <v>77</v>
      </c>
      <c r="C7" s="3" t="s">
        <v>66</v>
      </c>
      <c r="D7" s="16" t="s">
        <v>78</v>
      </c>
      <c r="E7" s="10">
        <v>14.38</v>
      </c>
      <c r="F7" s="3">
        <v>12</v>
      </c>
      <c r="G7" s="3">
        <v>2</v>
      </c>
      <c r="H7" s="8">
        <f t="shared" si="0"/>
        <v>2.4</v>
      </c>
      <c r="J7" s="142"/>
      <c r="K7" s="142"/>
      <c r="L7" s="142"/>
    </row>
    <row r="8" spans="1:12" ht="15" customHeight="1" x14ac:dyDescent="0.25">
      <c r="A8" s="23">
        <v>6</v>
      </c>
      <c r="B8" s="2" t="s">
        <v>79</v>
      </c>
      <c r="C8" s="3" t="s">
        <v>66</v>
      </c>
      <c r="D8" s="16" t="s">
        <v>80</v>
      </c>
      <c r="E8" s="11">
        <v>10.9</v>
      </c>
      <c r="F8" s="3">
        <v>12</v>
      </c>
      <c r="G8" s="3">
        <v>10</v>
      </c>
      <c r="H8" s="8">
        <f t="shared" si="0"/>
        <v>9.08</v>
      </c>
      <c r="J8" s="142"/>
      <c r="K8" s="142"/>
      <c r="L8" s="142"/>
    </row>
    <row r="9" spans="1:12" x14ac:dyDescent="0.25">
      <c r="A9" s="23">
        <v>7</v>
      </c>
      <c r="B9" s="2" t="s">
        <v>81</v>
      </c>
      <c r="C9" s="3" t="s">
        <v>72</v>
      </c>
      <c r="D9" s="16" t="s">
        <v>82</v>
      </c>
      <c r="E9" s="10">
        <v>47.71</v>
      </c>
      <c r="F9" s="3">
        <v>12</v>
      </c>
      <c r="G9" s="3">
        <v>5</v>
      </c>
      <c r="H9" s="8">
        <f t="shared" si="0"/>
        <v>19.88</v>
      </c>
      <c r="J9" s="142"/>
      <c r="K9" s="142"/>
      <c r="L9" s="142"/>
    </row>
    <row r="10" spans="1:12" x14ac:dyDescent="0.25">
      <c r="A10" s="23">
        <v>8</v>
      </c>
      <c r="B10" s="2" t="s">
        <v>83</v>
      </c>
      <c r="C10" s="3" t="s">
        <v>66</v>
      </c>
      <c r="D10" s="16" t="s">
        <v>84</v>
      </c>
      <c r="E10" s="10">
        <v>27.85</v>
      </c>
      <c r="F10" s="3">
        <v>12</v>
      </c>
      <c r="G10" s="3">
        <v>3</v>
      </c>
      <c r="H10" s="8">
        <f>IFERROR(ROUND(E10*G10/F10,2),"")</f>
        <v>6.96</v>
      </c>
      <c r="J10" s="142"/>
      <c r="K10" s="142"/>
      <c r="L10" s="142"/>
    </row>
    <row r="11" spans="1:12" x14ac:dyDescent="0.25">
      <c r="A11" s="23">
        <v>9</v>
      </c>
      <c r="B11" s="2" t="s">
        <v>85</v>
      </c>
      <c r="C11" s="3" t="s">
        <v>66</v>
      </c>
      <c r="D11" s="16" t="s">
        <v>86</v>
      </c>
      <c r="E11" s="10">
        <f>IFERROR(AVERAGE(J11:L11),"")</f>
        <v>16.516666666666666</v>
      </c>
      <c r="F11" s="3">
        <v>12</v>
      </c>
      <c r="G11" s="3">
        <v>10</v>
      </c>
      <c r="H11" s="8">
        <f t="shared" si="0"/>
        <v>13.76</v>
      </c>
      <c r="J11" s="142">
        <f>(14.7/3)+10.4</f>
        <v>15.3</v>
      </c>
      <c r="K11" s="142">
        <f>(11.16/2)+9.44</f>
        <v>15.02</v>
      </c>
      <c r="L11" s="142">
        <f>(12.99/3)+14.9</f>
        <v>19.23</v>
      </c>
    </row>
    <row r="12" spans="1:12" x14ac:dyDescent="0.25">
      <c r="A12" s="23">
        <v>10</v>
      </c>
      <c r="B12" s="2" t="s">
        <v>87</v>
      </c>
      <c r="C12" s="3" t="s">
        <v>66</v>
      </c>
      <c r="D12" s="16" t="s">
        <v>86</v>
      </c>
      <c r="E12" s="10">
        <f t="shared" ref="E12:E14" si="1">IFERROR(AVERAGE(J12:L12),"")</f>
        <v>34.346666666666664</v>
      </c>
      <c r="F12" s="3">
        <v>12</v>
      </c>
      <c r="G12" s="3">
        <v>5</v>
      </c>
      <c r="H12" s="8">
        <f t="shared" si="0"/>
        <v>14.31</v>
      </c>
      <c r="J12" s="142">
        <f>19.99+11.47</f>
        <v>31.46</v>
      </c>
      <c r="K12" s="142">
        <f>18.45+18.12</f>
        <v>36.57</v>
      </c>
      <c r="L12" s="142">
        <f>22.54+12.47</f>
        <v>35.01</v>
      </c>
    </row>
    <row r="13" spans="1:12" x14ac:dyDescent="0.25">
      <c r="A13" s="23">
        <v>11</v>
      </c>
      <c r="B13" s="2" t="s">
        <v>88</v>
      </c>
      <c r="C13" s="3" t="s">
        <v>66</v>
      </c>
      <c r="D13" s="16" t="s">
        <v>86</v>
      </c>
      <c r="E13" s="10">
        <f t="shared" si="1"/>
        <v>129.86333333333334</v>
      </c>
      <c r="F13" s="3">
        <v>12</v>
      </c>
      <c r="G13" s="3">
        <v>2</v>
      </c>
      <c r="H13" s="8">
        <f t="shared" si="0"/>
        <v>21.64</v>
      </c>
      <c r="J13" s="142">
        <f>98.26+29.02</f>
        <v>127.28</v>
      </c>
      <c r="K13" s="142">
        <f>91.06+48.99</f>
        <v>140.05000000000001</v>
      </c>
      <c r="L13" s="142">
        <f>83.4+38.86</f>
        <v>122.26</v>
      </c>
    </row>
    <row r="14" spans="1:12" x14ac:dyDescent="0.25">
      <c r="A14" s="23">
        <v>12</v>
      </c>
      <c r="B14" s="2" t="s">
        <v>89</v>
      </c>
      <c r="C14" s="3" t="s">
        <v>66</v>
      </c>
      <c r="D14" s="16" t="s">
        <v>86</v>
      </c>
      <c r="E14" s="10">
        <f t="shared" si="1"/>
        <v>74.38333333333334</v>
      </c>
      <c r="F14" s="3">
        <v>12</v>
      </c>
      <c r="G14" s="3">
        <v>2</v>
      </c>
      <c r="H14" s="8">
        <f t="shared" si="0"/>
        <v>12.4</v>
      </c>
      <c r="J14" s="142">
        <f>68.15+20.84</f>
        <v>88.990000000000009</v>
      </c>
      <c r="K14" s="142">
        <f>49.29+15.55</f>
        <v>64.84</v>
      </c>
      <c r="L14" s="142">
        <f>53.99+15.33</f>
        <v>69.320000000000007</v>
      </c>
    </row>
    <row r="15" spans="1:12" x14ac:dyDescent="0.25">
      <c r="A15" s="23">
        <v>13</v>
      </c>
      <c r="B15" s="2" t="s">
        <v>90</v>
      </c>
      <c r="C15" s="3" t="s">
        <v>66</v>
      </c>
      <c r="D15" s="16" t="s">
        <v>86</v>
      </c>
      <c r="E15" s="10">
        <f t="shared" ref="E15" si="2">IFERROR(AVERAGE(J15:L15),"")</f>
        <v>88.203333333333333</v>
      </c>
      <c r="F15" s="3">
        <v>12</v>
      </c>
      <c r="G15" s="3">
        <v>2</v>
      </c>
      <c r="H15" s="8">
        <f t="shared" ref="H15" si="3">IFERROR(ROUND(E15*G15/F15,2),"")</f>
        <v>14.7</v>
      </c>
      <c r="J15" s="142">
        <f>67.99+20.44</f>
        <v>88.429999999999993</v>
      </c>
      <c r="K15" s="142">
        <f>47.42+56.16</f>
        <v>103.58</v>
      </c>
      <c r="L15" s="142">
        <f>20.41+52.19</f>
        <v>72.599999999999994</v>
      </c>
    </row>
    <row r="16" spans="1:12" x14ac:dyDescent="0.25">
      <c r="C16" s="267" t="s">
        <v>91</v>
      </c>
      <c r="D16" s="268"/>
      <c r="E16" s="268"/>
      <c r="F16" s="268"/>
      <c r="G16" s="269"/>
      <c r="H16" s="8">
        <f>SUM(H3:H15)</f>
        <v>139.88999999999999</v>
      </c>
    </row>
    <row r="17" spans="1:12" ht="15.75" x14ac:dyDescent="0.25">
      <c r="C17" s="267" t="s">
        <v>92</v>
      </c>
      <c r="D17" s="268"/>
      <c r="E17" s="268"/>
      <c r="F17" s="268"/>
      <c r="G17" s="269"/>
      <c r="H17" s="18">
        <f>H16/2</f>
        <v>69.944999999999993</v>
      </c>
    </row>
    <row r="19" spans="1:12" ht="15.75" customHeight="1" x14ac:dyDescent="0.25">
      <c r="A19" s="264" t="s">
        <v>93</v>
      </c>
      <c r="B19" s="265"/>
      <c r="C19" s="265"/>
      <c r="D19" s="265"/>
      <c r="E19" s="265"/>
      <c r="F19" s="265"/>
      <c r="G19" s="265"/>
      <c r="H19" s="266"/>
    </row>
    <row r="20" spans="1:12" ht="25.5" x14ac:dyDescent="0.25">
      <c r="A20" s="5" t="s">
        <v>54</v>
      </c>
      <c r="B20" s="5" t="s">
        <v>55</v>
      </c>
      <c r="C20" s="5" t="s">
        <v>56</v>
      </c>
      <c r="D20" s="9" t="s">
        <v>57</v>
      </c>
      <c r="E20" s="5" t="s">
        <v>58</v>
      </c>
      <c r="F20" s="5" t="s">
        <v>59</v>
      </c>
      <c r="G20" s="5" t="s">
        <v>60</v>
      </c>
      <c r="H20" s="6" t="s">
        <v>94</v>
      </c>
      <c r="J20" s="48" t="s">
        <v>62</v>
      </c>
      <c r="K20" s="48" t="s">
        <v>63</v>
      </c>
      <c r="L20" s="48" t="s">
        <v>64</v>
      </c>
    </row>
    <row r="21" spans="1:12" x14ac:dyDescent="0.25">
      <c r="A21" s="23">
        <v>1</v>
      </c>
      <c r="B21" s="2" t="s">
        <v>95</v>
      </c>
      <c r="C21" s="3" t="s">
        <v>66</v>
      </c>
      <c r="D21" s="3" t="s">
        <v>86</v>
      </c>
      <c r="E21" s="12">
        <f>IFERROR(AVERAGE(J21:L21),"")</f>
        <v>308.21333333333337</v>
      </c>
      <c r="F21" s="3">
        <v>60</v>
      </c>
      <c r="G21" s="3">
        <v>1</v>
      </c>
      <c r="H21" s="8">
        <f>IFERROR(ROUND(E21*G21*0.8/F21,2),"")</f>
        <v>4.1100000000000003</v>
      </c>
      <c r="J21" s="142">
        <f>340+23.22</f>
        <v>363.22</v>
      </c>
      <c r="K21" s="142">
        <f>262+23.22</f>
        <v>285.22000000000003</v>
      </c>
      <c r="L21" s="142">
        <f>263.94+12.26</f>
        <v>276.2</v>
      </c>
    </row>
    <row r="22" spans="1:12" x14ac:dyDescent="0.25">
      <c r="A22" s="23">
        <v>2</v>
      </c>
      <c r="B22" s="2" t="s">
        <v>96</v>
      </c>
      <c r="C22" s="3" t="s">
        <v>66</v>
      </c>
      <c r="D22" s="3" t="s">
        <v>86</v>
      </c>
      <c r="E22" s="12">
        <f t="shared" ref="E22:E51" si="4">IFERROR(AVERAGE(J22:L22),"")</f>
        <v>67.166666666666671</v>
      </c>
      <c r="F22" s="3">
        <v>60</v>
      </c>
      <c r="G22" s="3">
        <v>1</v>
      </c>
      <c r="H22" s="8">
        <f t="shared" ref="H22:H51" si="5">IFERROR(ROUND(E22*G22*0.8/F22,2),"")</f>
        <v>0.9</v>
      </c>
      <c r="J22" s="142">
        <f>29.9+36.33</f>
        <v>66.22999999999999</v>
      </c>
      <c r="K22" s="142">
        <f>60.9+23.22</f>
        <v>84.12</v>
      </c>
      <c r="L22" s="142">
        <f>38.89+12.26</f>
        <v>51.15</v>
      </c>
    </row>
    <row r="23" spans="1:12" x14ac:dyDescent="0.25">
      <c r="A23" s="23">
        <v>3</v>
      </c>
      <c r="B23" s="2" t="s">
        <v>97</v>
      </c>
      <c r="C23" s="3" t="s">
        <v>66</v>
      </c>
      <c r="D23" s="3" t="s">
        <v>86</v>
      </c>
      <c r="E23" s="12">
        <f t="shared" si="4"/>
        <v>87.266666666666666</v>
      </c>
      <c r="F23" s="3">
        <v>60</v>
      </c>
      <c r="G23" s="3">
        <v>1</v>
      </c>
      <c r="H23" s="8">
        <f t="shared" si="5"/>
        <v>1.1599999999999999</v>
      </c>
      <c r="J23" s="142">
        <f>54.9+36.33</f>
        <v>91.22999999999999</v>
      </c>
      <c r="K23" s="142">
        <f>59.9+23.22</f>
        <v>83.12</v>
      </c>
      <c r="L23" s="142">
        <f>75.19+12.26</f>
        <v>87.45</v>
      </c>
    </row>
    <row r="24" spans="1:12" x14ac:dyDescent="0.25">
      <c r="A24" s="23">
        <v>4</v>
      </c>
      <c r="B24" s="2" t="s">
        <v>98</v>
      </c>
      <c r="C24" s="3" t="s">
        <v>66</v>
      </c>
      <c r="D24" s="3" t="s">
        <v>86</v>
      </c>
      <c r="E24" s="12">
        <f t="shared" si="4"/>
        <v>79.2</v>
      </c>
      <c r="F24" s="3">
        <v>60</v>
      </c>
      <c r="G24" s="3">
        <v>1</v>
      </c>
      <c r="H24" s="8">
        <f t="shared" si="5"/>
        <v>1.06</v>
      </c>
      <c r="J24" s="142">
        <f>56+36.33</f>
        <v>92.33</v>
      </c>
      <c r="K24" s="142">
        <f>42.9+23.22</f>
        <v>66.12</v>
      </c>
      <c r="L24" s="142">
        <f>66.89+12.26</f>
        <v>79.150000000000006</v>
      </c>
    </row>
    <row r="25" spans="1:12" x14ac:dyDescent="0.25">
      <c r="A25" s="23">
        <v>5</v>
      </c>
      <c r="B25" s="2" t="s">
        <v>99</v>
      </c>
      <c r="C25" s="3" t="s">
        <v>66</v>
      </c>
      <c r="D25" s="3" t="s">
        <v>86</v>
      </c>
      <c r="E25" s="12">
        <f t="shared" si="4"/>
        <v>68.203333333333333</v>
      </c>
      <c r="F25" s="3">
        <v>60</v>
      </c>
      <c r="G25" s="3">
        <v>1</v>
      </c>
      <c r="H25" s="8">
        <f t="shared" si="5"/>
        <v>0.91</v>
      </c>
      <c r="J25" s="142">
        <f>58.9+36.33</f>
        <v>95.22999999999999</v>
      </c>
      <c r="K25" s="142">
        <f>16.9+23.22</f>
        <v>40.119999999999997</v>
      </c>
      <c r="L25" s="142">
        <f>57+12.26</f>
        <v>69.260000000000005</v>
      </c>
    </row>
    <row r="26" spans="1:12" x14ac:dyDescent="0.25">
      <c r="A26" s="23">
        <v>6</v>
      </c>
      <c r="B26" s="2" t="s">
        <v>100</v>
      </c>
      <c r="C26" s="3" t="s">
        <v>66</v>
      </c>
      <c r="D26" s="3" t="s">
        <v>86</v>
      </c>
      <c r="E26" s="12">
        <f t="shared" si="4"/>
        <v>104.86000000000001</v>
      </c>
      <c r="F26" s="3">
        <v>60</v>
      </c>
      <c r="G26" s="3">
        <v>1</v>
      </c>
      <c r="H26" s="8">
        <f t="shared" si="5"/>
        <v>1.4</v>
      </c>
      <c r="J26" s="142">
        <f>93.9+36.33</f>
        <v>130.23000000000002</v>
      </c>
      <c r="K26" s="142">
        <f>64.9+23.22</f>
        <v>88.12</v>
      </c>
      <c r="L26" s="142">
        <f>84+12.23</f>
        <v>96.23</v>
      </c>
    </row>
    <row r="27" spans="1:12" x14ac:dyDescent="0.25">
      <c r="A27" s="23">
        <v>7</v>
      </c>
      <c r="B27" s="2" t="s">
        <v>101</v>
      </c>
      <c r="C27" s="3" t="s">
        <v>66</v>
      </c>
      <c r="D27" s="3" t="s">
        <v>86</v>
      </c>
      <c r="E27" s="12">
        <f t="shared" si="4"/>
        <v>40.573333333333331</v>
      </c>
      <c r="F27" s="3">
        <v>60</v>
      </c>
      <c r="G27" s="3">
        <v>1</v>
      </c>
      <c r="H27" s="8">
        <f t="shared" si="5"/>
        <v>0.54</v>
      </c>
      <c r="J27" s="142">
        <f>27.26+36.33</f>
        <v>63.59</v>
      </c>
      <c r="K27" s="142">
        <f>12.9+23.22</f>
        <v>36.119999999999997</v>
      </c>
      <c r="L27" s="142">
        <f>9.78+12.23</f>
        <v>22.009999999999998</v>
      </c>
    </row>
    <row r="28" spans="1:12" x14ac:dyDescent="0.25">
      <c r="A28" s="23">
        <v>8</v>
      </c>
      <c r="B28" s="2" t="s">
        <v>102</v>
      </c>
      <c r="C28" s="3" t="s">
        <v>66</v>
      </c>
      <c r="D28" s="3" t="s">
        <v>86</v>
      </c>
      <c r="E28" s="12">
        <f t="shared" si="4"/>
        <v>34.063333333333333</v>
      </c>
      <c r="F28" s="3">
        <v>60</v>
      </c>
      <c r="G28" s="3">
        <v>1</v>
      </c>
      <c r="H28" s="8">
        <f t="shared" si="5"/>
        <v>0.45</v>
      </c>
      <c r="J28" s="142">
        <f>3.21+36.33</f>
        <v>39.54</v>
      </c>
      <c r="K28" s="142">
        <f>20.9+23.22</f>
        <v>44.12</v>
      </c>
      <c r="L28" s="142">
        <f>6.27+12.26</f>
        <v>18.53</v>
      </c>
    </row>
    <row r="29" spans="1:12" x14ac:dyDescent="0.25">
      <c r="A29" s="23">
        <v>9</v>
      </c>
      <c r="B29" s="2" t="s">
        <v>103</v>
      </c>
      <c r="C29" s="3" t="s">
        <v>66</v>
      </c>
      <c r="D29" s="3" t="s">
        <v>86</v>
      </c>
      <c r="E29" s="12">
        <f t="shared" si="4"/>
        <v>37.493333333333332</v>
      </c>
      <c r="F29" s="3">
        <v>60</v>
      </c>
      <c r="G29" s="3">
        <v>1</v>
      </c>
      <c r="H29" s="8">
        <f t="shared" si="5"/>
        <v>0.5</v>
      </c>
      <c r="J29" s="142">
        <f>14.38+36.33</f>
        <v>50.71</v>
      </c>
      <c r="K29" s="142">
        <f>11.9+23.22</f>
        <v>35.119999999999997</v>
      </c>
      <c r="L29" s="142">
        <f>14.39+12.26</f>
        <v>26.65</v>
      </c>
    </row>
    <row r="30" spans="1:12" x14ac:dyDescent="0.25">
      <c r="A30" s="23">
        <v>10</v>
      </c>
      <c r="B30" s="2" t="s">
        <v>104</v>
      </c>
      <c r="C30" s="3" t="s">
        <v>66</v>
      </c>
      <c r="D30" s="3" t="s">
        <v>86</v>
      </c>
      <c r="E30" s="12">
        <f t="shared" si="4"/>
        <v>38.853333333333332</v>
      </c>
      <c r="F30" s="3">
        <v>60</v>
      </c>
      <c r="G30" s="3">
        <v>1</v>
      </c>
      <c r="H30" s="8">
        <f t="shared" si="5"/>
        <v>0.52</v>
      </c>
      <c r="J30" s="142">
        <f>11.71+36.33</f>
        <v>48.04</v>
      </c>
      <c r="K30" s="142">
        <f>16.9+23.22</f>
        <v>40.119999999999997</v>
      </c>
      <c r="L30" s="142">
        <f>16.14+12.26</f>
        <v>28.4</v>
      </c>
    </row>
    <row r="31" spans="1:12" x14ac:dyDescent="0.25">
      <c r="A31" s="23">
        <v>11</v>
      </c>
      <c r="B31" s="2" t="s">
        <v>105</v>
      </c>
      <c r="C31" s="3" t="s">
        <v>66</v>
      </c>
      <c r="D31" s="3" t="s">
        <v>86</v>
      </c>
      <c r="E31" s="12">
        <f t="shared" si="4"/>
        <v>30.040000000000003</v>
      </c>
      <c r="F31" s="3">
        <v>60</v>
      </c>
      <c r="G31" s="3">
        <v>1</v>
      </c>
      <c r="H31" s="8">
        <f t="shared" si="5"/>
        <v>0.4</v>
      </c>
      <c r="J31" s="142">
        <f>3.31+36.33</f>
        <v>39.64</v>
      </c>
      <c r="K31" s="142">
        <f>3.41+23.22</f>
        <v>26.63</v>
      </c>
      <c r="L31" s="142">
        <f>11.59+12.26</f>
        <v>23.85</v>
      </c>
    </row>
    <row r="32" spans="1:12" x14ac:dyDescent="0.25">
      <c r="A32" s="23">
        <v>12</v>
      </c>
      <c r="B32" s="2" t="s">
        <v>106</v>
      </c>
      <c r="C32" s="3" t="s">
        <v>66</v>
      </c>
      <c r="D32" s="3" t="s">
        <v>86</v>
      </c>
      <c r="E32" s="12">
        <f t="shared" si="4"/>
        <v>39.036666666666669</v>
      </c>
      <c r="F32" s="3">
        <v>60</v>
      </c>
      <c r="G32" s="3">
        <v>1</v>
      </c>
      <c r="H32" s="8">
        <f t="shared" si="5"/>
        <v>0.52</v>
      </c>
      <c r="J32" s="142">
        <f>14.38+33.36</f>
        <v>47.74</v>
      </c>
      <c r="K32" s="142">
        <f>14.9+23.22</f>
        <v>38.119999999999997</v>
      </c>
      <c r="L32" s="142">
        <f>18.99+12.26</f>
        <v>31.25</v>
      </c>
    </row>
    <row r="33" spans="1:12" x14ac:dyDescent="0.25">
      <c r="A33" s="23">
        <v>13</v>
      </c>
      <c r="B33" s="2" t="s">
        <v>107</v>
      </c>
      <c r="C33" s="3" t="s">
        <v>66</v>
      </c>
      <c r="D33" s="3" t="s">
        <v>86</v>
      </c>
      <c r="E33" s="12">
        <f t="shared" si="4"/>
        <v>76.510000000000005</v>
      </c>
      <c r="F33" s="3">
        <v>60</v>
      </c>
      <c r="G33" s="3">
        <v>1</v>
      </c>
      <c r="H33" s="8">
        <f t="shared" si="5"/>
        <v>1.02</v>
      </c>
      <c r="J33" s="142">
        <f>59.9+36.33</f>
        <v>96.22999999999999</v>
      </c>
      <c r="K33" s="142">
        <f>59.9+23.22</f>
        <v>83.12</v>
      </c>
      <c r="L33" s="142">
        <f>37.92+12.26</f>
        <v>50.18</v>
      </c>
    </row>
    <row r="34" spans="1:12" x14ac:dyDescent="0.25">
      <c r="A34" s="23">
        <v>14</v>
      </c>
      <c r="B34" s="2" t="s">
        <v>108</v>
      </c>
      <c r="C34" s="3" t="s">
        <v>66</v>
      </c>
      <c r="D34" s="3" t="s">
        <v>86</v>
      </c>
      <c r="E34" s="12">
        <f t="shared" si="4"/>
        <v>59.00333333333333</v>
      </c>
      <c r="F34" s="3">
        <v>60</v>
      </c>
      <c r="G34" s="3">
        <v>1</v>
      </c>
      <c r="H34" s="8">
        <f t="shared" si="5"/>
        <v>0.79</v>
      </c>
      <c r="J34" s="142">
        <f>51.47+36.33</f>
        <v>87.8</v>
      </c>
      <c r="K34" s="142">
        <f>23.9+23.22</f>
        <v>47.12</v>
      </c>
      <c r="L34" s="142">
        <f>29.83+12.26</f>
        <v>42.089999999999996</v>
      </c>
    </row>
    <row r="35" spans="1:12" x14ac:dyDescent="0.25">
      <c r="A35" s="23">
        <v>15</v>
      </c>
      <c r="B35" s="2" t="s">
        <v>109</v>
      </c>
      <c r="C35" s="3" t="s">
        <v>66</v>
      </c>
      <c r="D35" s="3" t="s">
        <v>86</v>
      </c>
      <c r="E35" s="12">
        <f t="shared" si="4"/>
        <v>433.18333333333334</v>
      </c>
      <c r="F35" s="3">
        <v>60</v>
      </c>
      <c r="G35" s="3">
        <v>1</v>
      </c>
      <c r="H35" s="8">
        <f t="shared" si="5"/>
        <v>5.78</v>
      </c>
      <c r="J35" s="142">
        <f>452.76+36.33</f>
        <v>489.09</v>
      </c>
      <c r="K35" s="163">
        <f>329.97+12.9</f>
        <v>342.87</v>
      </c>
      <c r="L35" s="142">
        <f>455.33+12.26</f>
        <v>467.59</v>
      </c>
    </row>
    <row r="36" spans="1:12" x14ac:dyDescent="0.25">
      <c r="A36" s="23">
        <v>16</v>
      </c>
      <c r="B36" s="2" t="s">
        <v>110</v>
      </c>
      <c r="C36" s="3" t="s">
        <v>66</v>
      </c>
      <c r="D36" s="3" t="s">
        <v>86</v>
      </c>
      <c r="E36" s="12">
        <f t="shared" si="4"/>
        <v>173.67333333333332</v>
      </c>
      <c r="F36" s="3">
        <v>60</v>
      </c>
      <c r="G36" s="3">
        <v>1</v>
      </c>
      <c r="H36" s="8">
        <f t="shared" si="5"/>
        <v>2.3199999999999998</v>
      </c>
      <c r="J36" s="142">
        <f>83.41+36.33</f>
        <v>119.74</v>
      </c>
      <c r="K36" s="142">
        <f>159.9+23.22</f>
        <v>183.12</v>
      </c>
      <c r="L36" s="142">
        <f>205.9+12.26</f>
        <v>218.16</v>
      </c>
    </row>
    <row r="37" spans="1:12" x14ac:dyDescent="0.25">
      <c r="A37" s="23">
        <v>17</v>
      </c>
      <c r="B37" s="2" t="s">
        <v>111</v>
      </c>
      <c r="C37" s="3" t="s">
        <v>66</v>
      </c>
      <c r="D37" s="3" t="s">
        <v>86</v>
      </c>
      <c r="E37" s="12">
        <f t="shared" si="4"/>
        <v>421.08333333333331</v>
      </c>
      <c r="F37" s="3">
        <v>60</v>
      </c>
      <c r="G37" s="3">
        <v>1</v>
      </c>
      <c r="H37" s="8">
        <f t="shared" si="5"/>
        <v>5.61</v>
      </c>
      <c r="J37" s="142">
        <f>360.98+36.33</f>
        <v>397.31</v>
      </c>
      <c r="K37" s="142">
        <f>545.46+23.22</f>
        <v>568.68000000000006</v>
      </c>
      <c r="L37" s="142">
        <f>285+12.26</f>
        <v>297.26</v>
      </c>
    </row>
    <row r="38" spans="1:12" x14ac:dyDescent="0.25">
      <c r="A38" s="23">
        <v>18</v>
      </c>
      <c r="B38" s="2" t="s">
        <v>112</v>
      </c>
      <c r="C38" s="3" t="s">
        <v>66</v>
      </c>
      <c r="D38" s="3" t="s">
        <v>86</v>
      </c>
      <c r="E38" s="12">
        <f t="shared" si="4"/>
        <v>57.173333333333325</v>
      </c>
      <c r="F38" s="3">
        <v>60</v>
      </c>
      <c r="G38" s="3">
        <v>1</v>
      </c>
      <c r="H38" s="8">
        <f t="shared" si="5"/>
        <v>0.76</v>
      </c>
      <c r="J38" s="142">
        <f>44.9+36.33</f>
        <v>81.22999999999999</v>
      </c>
      <c r="K38" s="142">
        <f>39+23.22</f>
        <v>62.22</v>
      </c>
      <c r="L38" s="142">
        <f>15.81+12.26</f>
        <v>28.07</v>
      </c>
    </row>
    <row r="39" spans="1:12" x14ac:dyDescent="0.25">
      <c r="A39" s="23">
        <v>19</v>
      </c>
      <c r="B39" s="2" t="s">
        <v>113</v>
      </c>
      <c r="C39" s="3" t="s">
        <v>66</v>
      </c>
      <c r="D39" s="3" t="s">
        <v>86</v>
      </c>
      <c r="E39" s="12">
        <f t="shared" si="4"/>
        <v>73.676666666666662</v>
      </c>
      <c r="F39" s="3">
        <v>60</v>
      </c>
      <c r="G39" s="3">
        <v>1</v>
      </c>
      <c r="H39" s="8">
        <f t="shared" si="5"/>
        <v>0.98</v>
      </c>
      <c r="J39" s="142">
        <f>26.9+36.33</f>
        <v>63.23</v>
      </c>
      <c r="K39" s="142">
        <f>72.9+23.22</f>
        <v>96.12</v>
      </c>
      <c r="L39" s="142">
        <f>49.42+12.26</f>
        <v>61.68</v>
      </c>
    </row>
    <row r="40" spans="1:12" x14ac:dyDescent="0.25">
      <c r="A40" s="23">
        <v>20</v>
      </c>
      <c r="B40" s="2" t="s">
        <v>114</v>
      </c>
      <c r="C40" s="3" t="s">
        <v>66</v>
      </c>
      <c r="D40" s="3" t="s">
        <v>86</v>
      </c>
      <c r="E40" s="12">
        <f t="shared" si="4"/>
        <v>35.113333333333337</v>
      </c>
      <c r="F40" s="3">
        <v>60</v>
      </c>
      <c r="G40" s="3">
        <v>1</v>
      </c>
      <c r="H40" s="8">
        <f t="shared" si="5"/>
        <v>0.47</v>
      </c>
      <c r="J40" s="142">
        <f>2.63+36.33</f>
        <v>38.96</v>
      </c>
      <c r="K40" s="142">
        <f>17.9+23.22</f>
        <v>41.12</v>
      </c>
      <c r="L40" s="142">
        <f>13+12.26</f>
        <v>25.259999999999998</v>
      </c>
    </row>
    <row r="41" spans="1:12" x14ac:dyDescent="0.25">
      <c r="A41" s="23">
        <v>21</v>
      </c>
      <c r="B41" s="2" t="s">
        <v>115</v>
      </c>
      <c r="C41" s="3" t="s">
        <v>66</v>
      </c>
      <c r="D41" s="3" t="s">
        <v>86</v>
      </c>
      <c r="E41" s="12">
        <f>IFERROR(AVERAGE(J41:L41),"")</f>
        <v>77.306666666666658</v>
      </c>
      <c r="F41" s="3">
        <v>60</v>
      </c>
      <c r="G41" s="3">
        <v>1</v>
      </c>
      <c r="H41" s="8">
        <f t="shared" si="5"/>
        <v>1.03</v>
      </c>
      <c r="J41" s="142">
        <f>58.9+36.33</f>
        <v>95.22999999999999</v>
      </c>
      <c r="K41" s="142">
        <f>49.9+23.22</f>
        <v>73.12</v>
      </c>
      <c r="L41" s="142">
        <f>51.31+12.26</f>
        <v>63.57</v>
      </c>
    </row>
    <row r="42" spans="1:12" x14ac:dyDescent="0.25">
      <c r="A42" s="23">
        <v>22</v>
      </c>
      <c r="B42" s="2" t="s">
        <v>116</v>
      </c>
      <c r="C42" s="3" t="s">
        <v>66</v>
      </c>
      <c r="D42" s="3" t="s">
        <v>86</v>
      </c>
      <c r="E42" s="12">
        <f t="shared" si="4"/>
        <v>253.40333333333334</v>
      </c>
      <c r="F42" s="3">
        <v>60</v>
      </c>
      <c r="G42" s="3">
        <v>1</v>
      </c>
      <c r="H42" s="8">
        <f t="shared" si="5"/>
        <v>3.38</v>
      </c>
      <c r="J42" s="142">
        <f>260+36.33</f>
        <v>296.33</v>
      </c>
      <c r="K42" s="142">
        <f>209.9+23.22</f>
        <v>233.12</v>
      </c>
      <c r="L42" s="142">
        <f>218.5+12.26</f>
        <v>230.76</v>
      </c>
    </row>
    <row r="43" spans="1:12" x14ac:dyDescent="0.25">
      <c r="A43" s="23">
        <v>23</v>
      </c>
      <c r="B43" s="2" t="s">
        <v>117</v>
      </c>
      <c r="C43" s="3" t="s">
        <v>66</v>
      </c>
      <c r="D43" s="3" t="s">
        <v>86</v>
      </c>
      <c r="E43" s="12">
        <f>IFERROR(AVERAGE(J43:L43),"")</f>
        <v>438.65333333333336</v>
      </c>
      <c r="F43" s="3">
        <v>60</v>
      </c>
      <c r="G43" s="3">
        <v>1</v>
      </c>
      <c r="H43" s="8">
        <f>IFERROR(ROUND(E43*G43*0.8/F43,2),"")</f>
        <v>5.85</v>
      </c>
      <c r="J43" s="142">
        <f>325.66+36.33</f>
        <v>361.99</v>
      </c>
      <c r="K43" s="142">
        <f>511.9+23.22</f>
        <v>535.12</v>
      </c>
      <c r="L43" s="142">
        <f>406.59+12.26</f>
        <v>418.84999999999997</v>
      </c>
    </row>
    <row r="44" spans="1:12" x14ac:dyDescent="0.25">
      <c r="A44" s="23">
        <v>24</v>
      </c>
      <c r="B44" s="2" t="s">
        <v>118</v>
      </c>
      <c r="C44" s="3" t="s">
        <v>66</v>
      </c>
      <c r="D44" s="3" t="s">
        <v>86</v>
      </c>
      <c r="E44" s="12">
        <f t="shared" si="4"/>
        <v>692.98</v>
      </c>
      <c r="F44" s="3">
        <v>60</v>
      </c>
      <c r="G44" s="3">
        <v>1</v>
      </c>
      <c r="H44" s="8">
        <f t="shared" si="5"/>
        <v>9.24</v>
      </c>
      <c r="J44" s="142">
        <f>749+36.33</f>
        <v>785.33</v>
      </c>
      <c r="K44" s="142">
        <f>669.9+23.22</f>
        <v>693.12</v>
      </c>
      <c r="L44" s="142">
        <f>588.23+12.26</f>
        <v>600.49</v>
      </c>
    </row>
    <row r="45" spans="1:12" x14ac:dyDescent="0.25">
      <c r="A45" s="23">
        <v>25</v>
      </c>
      <c r="B45" s="2" t="s">
        <v>119</v>
      </c>
      <c r="C45" s="3" t="s">
        <v>66</v>
      </c>
      <c r="D45" s="3" t="s">
        <v>86</v>
      </c>
      <c r="E45" s="12">
        <f t="shared" si="4"/>
        <v>88.093333333333348</v>
      </c>
      <c r="F45" s="3">
        <v>60</v>
      </c>
      <c r="G45" s="3">
        <v>1</v>
      </c>
      <c r="H45" s="8">
        <f t="shared" si="5"/>
        <v>1.17</v>
      </c>
      <c r="J45" s="142">
        <f>89.63+36.33</f>
        <v>125.96</v>
      </c>
      <c r="K45" s="142">
        <f>86.94+23.22</f>
        <v>110.16</v>
      </c>
      <c r="L45" s="142">
        <f>15.9+12.26</f>
        <v>28.16</v>
      </c>
    </row>
    <row r="46" spans="1:12" x14ac:dyDescent="0.25">
      <c r="A46" s="23">
        <v>26</v>
      </c>
      <c r="B46" s="2" t="s">
        <v>120</v>
      </c>
      <c r="C46" s="3" t="s">
        <v>66</v>
      </c>
      <c r="D46" s="3" t="s">
        <v>86</v>
      </c>
      <c r="E46" s="12">
        <f t="shared" si="4"/>
        <v>58.646666666666668</v>
      </c>
      <c r="F46" s="3">
        <v>60</v>
      </c>
      <c r="G46" s="3">
        <v>1</v>
      </c>
      <c r="H46" s="8">
        <f t="shared" si="5"/>
        <v>0.78</v>
      </c>
      <c r="J46" s="142">
        <f>31.2+36.33</f>
        <v>67.53</v>
      </c>
      <c r="K46" s="142">
        <f>34.03+23.22</f>
        <v>57.25</v>
      </c>
      <c r="L46" s="142">
        <f>38.9+12.26</f>
        <v>51.16</v>
      </c>
    </row>
    <row r="47" spans="1:12" x14ac:dyDescent="0.25">
      <c r="A47" s="23">
        <v>27</v>
      </c>
      <c r="B47" s="2" t="s">
        <v>121</v>
      </c>
      <c r="C47" s="3" t="s">
        <v>66</v>
      </c>
      <c r="D47" s="3" t="s">
        <v>86</v>
      </c>
      <c r="E47" s="12">
        <f t="shared" si="4"/>
        <v>82.353333333333339</v>
      </c>
      <c r="F47" s="3">
        <v>60</v>
      </c>
      <c r="G47" s="3">
        <v>1</v>
      </c>
      <c r="H47" s="8">
        <f t="shared" si="5"/>
        <v>1.1000000000000001</v>
      </c>
      <c r="J47" s="142">
        <f>71.36+36.33</f>
        <v>107.69</v>
      </c>
      <c r="K47" s="142">
        <f>74.9+23.22</f>
        <v>98.12</v>
      </c>
      <c r="L47" s="142">
        <f>28.99+12.26</f>
        <v>41.25</v>
      </c>
    </row>
    <row r="48" spans="1:12" x14ac:dyDescent="0.25">
      <c r="A48" s="23">
        <v>28</v>
      </c>
      <c r="B48" s="2" t="s">
        <v>122</v>
      </c>
      <c r="C48" s="3" t="s">
        <v>66</v>
      </c>
      <c r="D48" s="3" t="s">
        <v>86</v>
      </c>
      <c r="E48" s="12">
        <f t="shared" si="4"/>
        <v>2214.2033333333334</v>
      </c>
      <c r="F48" s="3">
        <v>60</v>
      </c>
      <c r="G48" s="3">
        <v>1</v>
      </c>
      <c r="H48" s="8">
        <f t="shared" si="5"/>
        <v>29.52</v>
      </c>
      <c r="J48" s="142">
        <f>2171.9+36.33</f>
        <v>2208.23</v>
      </c>
      <c r="K48" s="142">
        <f>1999.9+23.22</f>
        <v>2023.1200000000001</v>
      </c>
      <c r="L48" s="142">
        <f>2399+12.26</f>
        <v>2411.2600000000002</v>
      </c>
    </row>
    <row r="49" spans="1:12" x14ac:dyDescent="0.25">
      <c r="A49" s="23">
        <v>29</v>
      </c>
      <c r="B49" s="2" t="s">
        <v>123</v>
      </c>
      <c r="C49" s="3" t="s">
        <v>66</v>
      </c>
      <c r="D49" s="3" t="s">
        <v>86</v>
      </c>
      <c r="E49" s="12">
        <f t="shared" si="4"/>
        <v>369.5333333333333</v>
      </c>
      <c r="F49" s="3">
        <v>60</v>
      </c>
      <c r="G49" s="3">
        <v>1</v>
      </c>
      <c r="H49" s="8">
        <f t="shared" si="5"/>
        <v>4.93</v>
      </c>
      <c r="J49" s="142">
        <f>447+36.33</f>
        <v>483.33</v>
      </c>
      <c r="K49" s="142">
        <f>309.9+23.22</f>
        <v>333.12</v>
      </c>
      <c r="L49" s="142">
        <f>279.89+12.26</f>
        <v>292.14999999999998</v>
      </c>
    </row>
    <row r="50" spans="1:12" x14ac:dyDescent="0.25">
      <c r="A50" s="23">
        <v>30</v>
      </c>
      <c r="B50" s="2" t="s">
        <v>124</v>
      </c>
      <c r="C50" s="3" t="s">
        <v>66</v>
      </c>
      <c r="D50" s="3" t="s">
        <v>86</v>
      </c>
      <c r="E50" s="12">
        <f t="shared" si="4"/>
        <v>490.53666666666663</v>
      </c>
      <c r="F50" s="3">
        <v>60</v>
      </c>
      <c r="G50" s="3">
        <v>1</v>
      </c>
      <c r="H50" s="8">
        <f t="shared" si="5"/>
        <v>6.54</v>
      </c>
      <c r="J50" s="142">
        <f>439.9+36.33</f>
        <v>476.22999999999996</v>
      </c>
      <c r="K50" s="142">
        <f>395.9+23.22</f>
        <v>419.12</v>
      </c>
      <c r="L50" s="142">
        <f>564+12.26</f>
        <v>576.26</v>
      </c>
    </row>
    <row r="51" spans="1:12" x14ac:dyDescent="0.25">
      <c r="A51" s="23">
        <v>31</v>
      </c>
      <c r="B51" s="2" t="s">
        <v>125</v>
      </c>
      <c r="C51" s="3" t="s">
        <v>66</v>
      </c>
      <c r="D51" s="3" t="s">
        <v>86</v>
      </c>
      <c r="E51" s="12">
        <f t="shared" si="4"/>
        <v>140.47</v>
      </c>
      <c r="F51" s="3">
        <v>60</v>
      </c>
      <c r="G51" s="3">
        <v>1</v>
      </c>
      <c r="H51" s="8">
        <f t="shared" si="5"/>
        <v>1.87</v>
      </c>
      <c r="J51" s="142">
        <f>64.66+36.33</f>
        <v>100.99</v>
      </c>
      <c r="K51" s="142">
        <f>209.9+23.22</f>
        <v>233.12</v>
      </c>
      <c r="L51" s="142">
        <v>87.3</v>
      </c>
    </row>
    <row r="52" spans="1:12" x14ac:dyDescent="0.25">
      <c r="A52" s="23">
        <v>32</v>
      </c>
      <c r="B52" s="2" t="s">
        <v>126</v>
      </c>
      <c r="C52" s="3" t="s">
        <v>66</v>
      </c>
      <c r="D52" s="3" t="s">
        <v>86</v>
      </c>
      <c r="E52" s="12">
        <f t="shared" ref="E52" si="6">IFERROR(AVERAGE(J52:L52),"")</f>
        <v>630.94333333333327</v>
      </c>
      <c r="F52" s="3">
        <v>60</v>
      </c>
      <c r="G52" s="3">
        <v>1</v>
      </c>
      <c r="H52" s="8">
        <f t="shared" ref="H52" si="7">IFERROR(ROUND(E52*G52*0.8/F52,2),"")</f>
        <v>8.41</v>
      </c>
      <c r="J52" s="142">
        <f>649.39+36.33</f>
        <v>685.72</v>
      </c>
      <c r="K52" s="142">
        <f>525.89+23.22</f>
        <v>549.11</v>
      </c>
      <c r="L52" s="142">
        <v>658</v>
      </c>
    </row>
    <row r="53" spans="1:12" x14ac:dyDescent="0.25">
      <c r="A53" s="23">
        <v>33</v>
      </c>
      <c r="B53" s="2" t="s">
        <v>127</v>
      </c>
      <c r="C53" s="3" t="s">
        <v>66</v>
      </c>
      <c r="D53" s="3" t="s">
        <v>86</v>
      </c>
      <c r="E53" s="12">
        <f t="shared" ref="E53:E58" si="8">IFERROR(AVERAGE(J53:L53),"")</f>
        <v>271.30666666666667</v>
      </c>
      <c r="F53" s="3">
        <v>60</v>
      </c>
      <c r="G53" s="3">
        <v>1</v>
      </c>
      <c r="H53" s="8">
        <f t="shared" ref="H53:H58" si="9">IFERROR(ROUND(E53*G53*0.8/F53,2),"")</f>
        <v>3.62</v>
      </c>
      <c r="J53" s="142">
        <v>259.89999999999998</v>
      </c>
      <c r="K53" s="142">
        <v>244.02</v>
      </c>
      <c r="L53" s="142">
        <v>310</v>
      </c>
    </row>
    <row r="54" spans="1:12" x14ac:dyDescent="0.25">
      <c r="A54" s="23">
        <v>34</v>
      </c>
      <c r="B54" s="2" t="s">
        <v>128</v>
      </c>
      <c r="C54" s="3" t="s">
        <v>66</v>
      </c>
      <c r="D54" s="3" t="s">
        <v>86</v>
      </c>
      <c r="E54" s="12">
        <f t="shared" si="8"/>
        <v>439.66</v>
      </c>
      <c r="F54" s="3">
        <v>60</v>
      </c>
      <c r="G54" s="3">
        <v>1</v>
      </c>
      <c r="H54" s="8">
        <f t="shared" si="9"/>
        <v>5.86</v>
      </c>
      <c r="J54" s="142">
        <f>431.91+9.9</f>
        <v>441.81</v>
      </c>
      <c r="K54" s="142">
        <f>439.9+32.33</f>
        <v>472.22999999999996</v>
      </c>
      <c r="L54" s="142">
        <f>393.9+11.04</f>
        <v>404.94</v>
      </c>
    </row>
    <row r="55" spans="1:12" x14ac:dyDescent="0.25">
      <c r="A55" s="23">
        <v>35</v>
      </c>
      <c r="B55" s="2" t="s">
        <v>129</v>
      </c>
      <c r="C55" s="3" t="s">
        <v>66</v>
      </c>
      <c r="D55" s="3" t="s">
        <v>86</v>
      </c>
      <c r="E55" s="12">
        <f t="shared" si="8"/>
        <v>342.64333333333326</v>
      </c>
      <c r="F55" s="3">
        <v>60</v>
      </c>
      <c r="G55" s="3">
        <v>1</v>
      </c>
      <c r="H55" s="8">
        <f t="shared" si="9"/>
        <v>4.57</v>
      </c>
      <c r="J55" s="142">
        <f>214+30.56</f>
        <v>244.56</v>
      </c>
      <c r="K55" s="142">
        <f>389.9+8.9</f>
        <v>398.79999999999995</v>
      </c>
      <c r="L55" s="142">
        <v>384.57</v>
      </c>
    </row>
    <row r="56" spans="1:12" x14ac:dyDescent="0.25">
      <c r="A56" s="23">
        <v>36</v>
      </c>
      <c r="B56" s="2" t="s">
        <v>130</v>
      </c>
      <c r="C56" s="3" t="s">
        <v>66</v>
      </c>
      <c r="D56" s="3" t="s">
        <v>86</v>
      </c>
      <c r="E56" s="12">
        <f t="shared" si="8"/>
        <v>171.80999999999997</v>
      </c>
      <c r="F56" s="3">
        <v>60</v>
      </c>
      <c r="G56" s="3">
        <v>1</v>
      </c>
      <c r="H56" s="8">
        <f t="shared" si="9"/>
        <v>2.29</v>
      </c>
      <c r="J56" s="142">
        <f>189.9+25.73</f>
        <v>215.63</v>
      </c>
      <c r="K56" s="142">
        <v>159.9</v>
      </c>
      <c r="L56" s="142">
        <v>139.9</v>
      </c>
    </row>
    <row r="57" spans="1:12" x14ac:dyDescent="0.25">
      <c r="A57" s="23">
        <v>37</v>
      </c>
      <c r="B57" s="2" t="s">
        <v>131</v>
      </c>
      <c r="C57" s="3" t="s">
        <v>66</v>
      </c>
      <c r="D57" s="3" t="s">
        <v>86</v>
      </c>
      <c r="E57" s="12">
        <f t="shared" si="8"/>
        <v>93.216666666666654</v>
      </c>
      <c r="F57" s="3">
        <v>60</v>
      </c>
      <c r="G57" s="3">
        <v>1</v>
      </c>
      <c r="H57" s="8">
        <f t="shared" si="9"/>
        <v>1.24</v>
      </c>
      <c r="J57" s="142">
        <f>72.22+13.09</f>
        <v>85.31</v>
      </c>
      <c r="K57" s="142">
        <v>93.46</v>
      </c>
      <c r="L57" s="142">
        <v>100.88</v>
      </c>
    </row>
    <row r="58" spans="1:12" x14ac:dyDescent="0.25">
      <c r="A58" s="23">
        <v>39</v>
      </c>
      <c r="B58" s="2" t="s">
        <v>132</v>
      </c>
      <c r="C58" s="3" t="s">
        <v>66</v>
      </c>
      <c r="D58" s="3" t="s">
        <v>86</v>
      </c>
      <c r="E58" s="12">
        <f t="shared" si="8"/>
        <v>297.95333333333332</v>
      </c>
      <c r="F58" s="3">
        <v>60</v>
      </c>
      <c r="G58" s="3">
        <v>1</v>
      </c>
      <c r="H58" s="8">
        <f t="shared" si="9"/>
        <v>3.97</v>
      </c>
      <c r="J58" s="142">
        <v>296.87</v>
      </c>
      <c r="K58" s="142">
        <f>248.99+34.97</f>
        <v>283.96000000000004</v>
      </c>
      <c r="L58" s="142">
        <f>281.95+31.08</f>
        <v>313.02999999999997</v>
      </c>
    </row>
    <row r="59" spans="1:12" x14ac:dyDescent="0.25">
      <c r="C59" s="267" t="s">
        <v>91</v>
      </c>
      <c r="D59" s="268"/>
      <c r="E59" s="268"/>
      <c r="F59" s="268"/>
      <c r="G59" s="269"/>
      <c r="H59" s="8">
        <f>SUM(H25:H58)</f>
        <v>118.34</v>
      </c>
    </row>
    <row r="60" spans="1:12" ht="15.75" x14ac:dyDescent="0.25">
      <c r="C60" s="267" t="s">
        <v>92</v>
      </c>
      <c r="D60" s="268"/>
      <c r="E60" s="268"/>
      <c r="F60" s="268"/>
      <c r="G60" s="269"/>
      <c r="H60" s="18">
        <f>H59/2</f>
        <v>59.17</v>
      </c>
    </row>
    <row r="62" spans="1:12" ht="20.25" customHeight="1" x14ac:dyDescent="0.25">
      <c r="A62" s="264" t="s">
        <v>133</v>
      </c>
      <c r="B62" s="265"/>
      <c r="C62" s="265"/>
      <c r="D62" s="265"/>
      <c r="E62" s="265"/>
      <c r="F62" s="265"/>
      <c r="G62" s="265"/>
      <c r="H62" s="266"/>
    </row>
    <row r="63" spans="1:12" ht="25.5" x14ac:dyDescent="0.25">
      <c r="A63" s="5" t="s">
        <v>54</v>
      </c>
      <c r="B63" s="5" t="s">
        <v>55</v>
      </c>
      <c r="C63" s="5" t="s">
        <v>56</v>
      </c>
      <c r="D63" s="9" t="s">
        <v>57</v>
      </c>
      <c r="E63" s="5" t="s">
        <v>58</v>
      </c>
      <c r="F63" s="5" t="s">
        <v>59</v>
      </c>
      <c r="G63" s="5" t="s">
        <v>60</v>
      </c>
      <c r="H63" s="5" t="s">
        <v>61</v>
      </c>
      <c r="J63" s="5" t="s">
        <v>62</v>
      </c>
      <c r="K63" s="5" t="s">
        <v>63</v>
      </c>
      <c r="L63" s="5" t="s">
        <v>64</v>
      </c>
    </row>
    <row r="64" spans="1:12" x14ac:dyDescent="0.25">
      <c r="A64" s="23">
        <v>1</v>
      </c>
      <c r="B64" s="1" t="s">
        <v>134</v>
      </c>
      <c r="C64" s="3" t="s">
        <v>66</v>
      </c>
      <c r="D64" s="3" t="s">
        <v>86</v>
      </c>
      <c r="E64" s="10">
        <f>IFERROR(AVERAGE(J64:L64),"")</f>
        <v>96.87</v>
      </c>
      <c r="F64" s="4">
        <v>6</v>
      </c>
      <c r="G64" s="4">
        <v>2</v>
      </c>
      <c r="H64" s="8">
        <f t="shared" ref="H64:H67" si="10">ROUND(E64*G64/F64,2)</f>
        <v>32.29</v>
      </c>
      <c r="J64" s="142">
        <f>75.9+18</f>
        <v>93.9</v>
      </c>
      <c r="K64" s="142">
        <v>94.9</v>
      </c>
      <c r="L64" s="142">
        <f>71.3+30.51</f>
        <v>101.81</v>
      </c>
    </row>
    <row r="65" spans="1:12" x14ac:dyDescent="0.25">
      <c r="A65" s="23">
        <v>2</v>
      </c>
      <c r="B65" s="1" t="s">
        <v>135</v>
      </c>
      <c r="C65" s="3" t="s">
        <v>66</v>
      </c>
      <c r="D65" s="3" t="s">
        <v>86</v>
      </c>
      <c r="E65" s="10">
        <f>IFERROR(AVERAGE(J65:L65),"")</f>
        <v>73.960000000000008</v>
      </c>
      <c r="F65" s="4">
        <v>6</v>
      </c>
      <c r="G65" s="4">
        <v>2</v>
      </c>
      <c r="H65" s="8">
        <f t="shared" si="10"/>
        <v>24.65</v>
      </c>
      <c r="J65" s="142">
        <f>47+23.19</f>
        <v>70.19</v>
      </c>
      <c r="K65" s="142">
        <f>39.8+21.62</f>
        <v>61.42</v>
      </c>
      <c r="L65" s="142">
        <f>69.9+20.37</f>
        <v>90.27000000000001</v>
      </c>
    </row>
    <row r="66" spans="1:12" ht="28.5" x14ac:dyDescent="0.25">
      <c r="A66" s="23">
        <v>3</v>
      </c>
      <c r="B66" s="1" t="s">
        <v>136</v>
      </c>
      <c r="C66" s="3" t="s">
        <v>66</v>
      </c>
      <c r="D66" s="3" t="s">
        <v>86</v>
      </c>
      <c r="E66" s="10">
        <f>IFERROR(AVERAGE(J66:L66),"")</f>
        <v>94.76166666666667</v>
      </c>
      <c r="F66" s="4">
        <v>6</v>
      </c>
      <c r="G66" s="4">
        <v>2</v>
      </c>
      <c r="H66" s="8">
        <f t="shared" si="10"/>
        <v>31.59</v>
      </c>
      <c r="J66" s="142">
        <f>69.9+13.1</f>
        <v>83</v>
      </c>
      <c r="K66" s="142">
        <f>79+28.71</f>
        <v>107.71000000000001</v>
      </c>
      <c r="L66" s="142">
        <f>561.45/6</f>
        <v>93.575000000000003</v>
      </c>
    </row>
    <row r="67" spans="1:12" x14ac:dyDescent="0.25">
      <c r="A67" s="23">
        <v>4</v>
      </c>
      <c r="B67" s="1" t="s">
        <v>137</v>
      </c>
      <c r="C67" s="3" t="s">
        <v>138</v>
      </c>
      <c r="D67" s="3" t="s">
        <v>86</v>
      </c>
      <c r="E67" s="10">
        <f>IFERROR(AVERAGE(J67:L67),"")</f>
        <v>27.53</v>
      </c>
      <c r="F67" s="4">
        <v>6</v>
      </c>
      <c r="G67" s="4">
        <v>4</v>
      </c>
      <c r="H67" s="8">
        <f t="shared" si="10"/>
        <v>18.350000000000001</v>
      </c>
      <c r="J67" s="142">
        <f>20.75+4.9</f>
        <v>25.65</v>
      </c>
      <c r="K67" s="142">
        <v>20.149999999999999</v>
      </c>
      <c r="L67" s="142">
        <f>21.16+15.63</f>
        <v>36.79</v>
      </c>
    </row>
    <row r="68" spans="1:12" ht="15.75" x14ac:dyDescent="0.25">
      <c r="C68" s="267" t="s">
        <v>92</v>
      </c>
      <c r="D68" s="268"/>
      <c r="E68" s="268"/>
      <c r="F68" s="268"/>
      <c r="G68" s="269"/>
      <c r="H68" s="19">
        <f>SUM(H64:H67)</f>
        <v>106.88</v>
      </c>
    </row>
    <row r="70" spans="1:12" ht="15.75" x14ac:dyDescent="0.25">
      <c r="A70" s="264" t="s">
        <v>139</v>
      </c>
      <c r="B70" s="265"/>
      <c r="C70" s="265"/>
      <c r="D70" s="184"/>
      <c r="E70" s="184"/>
      <c r="F70" s="184"/>
      <c r="G70" s="184"/>
      <c r="H70" s="185"/>
    </row>
    <row r="71" spans="1:12" ht="25.5" x14ac:dyDescent="0.25">
      <c r="A71" s="17" t="s">
        <v>54</v>
      </c>
      <c r="B71" s="17" t="s">
        <v>55</v>
      </c>
      <c r="C71" s="17" t="s">
        <v>56</v>
      </c>
      <c r="D71" s="9" t="s">
        <v>57</v>
      </c>
      <c r="E71" s="17" t="s">
        <v>58</v>
      </c>
      <c r="F71" s="17" t="s">
        <v>59</v>
      </c>
      <c r="G71" s="17" t="s">
        <v>60</v>
      </c>
      <c r="H71" s="17" t="s">
        <v>61</v>
      </c>
      <c r="K71" s="138"/>
      <c r="L71" s="138"/>
    </row>
    <row r="72" spans="1:12" x14ac:dyDescent="0.25">
      <c r="A72" s="23">
        <v>1</v>
      </c>
      <c r="B72" s="1" t="s">
        <v>140</v>
      </c>
      <c r="C72" s="3" t="s">
        <v>138</v>
      </c>
      <c r="D72" s="26">
        <v>12892</v>
      </c>
      <c r="E72" s="10">
        <v>12.76</v>
      </c>
      <c r="F72" s="4">
        <v>12</v>
      </c>
      <c r="G72" s="4">
        <v>1</v>
      </c>
      <c r="H72" s="8">
        <f>IFERROR(ROUND(E72*G72/F72,2),"")</f>
        <v>1.06</v>
      </c>
      <c r="K72" s="138"/>
      <c r="L72" s="138"/>
    </row>
    <row r="73" spans="1:12" x14ac:dyDescent="0.25">
      <c r="A73" s="23">
        <v>2</v>
      </c>
      <c r="B73" s="1" t="s">
        <v>141</v>
      </c>
      <c r="C73" s="3" t="s">
        <v>138</v>
      </c>
      <c r="D73" s="26">
        <v>12893</v>
      </c>
      <c r="E73" s="10">
        <v>68.06</v>
      </c>
      <c r="F73" s="4">
        <v>6</v>
      </c>
      <c r="G73" s="4">
        <v>1</v>
      </c>
      <c r="H73" s="8">
        <f t="shared" ref="H73:H78" si="11">IFERROR(ROUND(E73*G73/F73,2),"")</f>
        <v>11.34</v>
      </c>
      <c r="K73" s="138"/>
      <c r="L73" s="138"/>
    </row>
    <row r="74" spans="1:12" x14ac:dyDescent="0.25">
      <c r="A74" s="23">
        <v>3</v>
      </c>
      <c r="B74" s="1" t="s">
        <v>142</v>
      </c>
      <c r="C74" s="3" t="s">
        <v>66</v>
      </c>
      <c r="D74" s="26">
        <v>12894</v>
      </c>
      <c r="E74" s="10">
        <v>18.43</v>
      </c>
      <c r="F74" s="4">
        <v>12</v>
      </c>
      <c r="G74" s="4">
        <v>1</v>
      </c>
      <c r="H74" s="8">
        <f t="shared" si="11"/>
        <v>1.54</v>
      </c>
      <c r="K74" s="138"/>
      <c r="L74" s="138"/>
    </row>
    <row r="75" spans="1:12" ht="23.25" customHeight="1" x14ac:dyDescent="0.25">
      <c r="A75" s="23">
        <v>4</v>
      </c>
      <c r="B75" s="1" t="s">
        <v>143</v>
      </c>
      <c r="C75" s="3" t="s">
        <v>66</v>
      </c>
      <c r="D75" s="26">
        <v>12895</v>
      </c>
      <c r="E75" s="10">
        <v>14.18</v>
      </c>
      <c r="F75" s="4">
        <v>12</v>
      </c>
      <c r="G75" s="4">
        <v>1</v>
      </c>
      <c r="H75" s="8">
        <f t="shared" si="11"/>
        <v>1.18</v>
      </c>
      <c r="K75" s="138"/>
      <c r="L75" s="138"/>
    </row>
    <row r="76" spans="1:12" ht="28.5" x14ac:dyDescent="0.25">
      <c r="A76" s="23">
        <v>5</v>
      </c>
      <c r="B76" s="1" t="s">
        <v>144</v>
      </c>
      <c r="C76" s="3" t="s">
        <v>66</v>
      </c>
      <c r="D76" s="26">
        <v>36142</v>
      </c>
      <c r="E76" s="10">
        <v>2.12</v>
      </c>
      <c r="F76" s="4">
        <v>6</v>
      </c>
      <c r="G76" s="4">
        <v>1</v>
      </c>
      <c r="H76" s="8">
        <f t="shared" si="11"/>
        <v>0.35</v>
      </c>
      <c r="K76" s="138"/>
      <c r="L76" s="138"/>
    </row>
    <row r="77" spans="1:12" ht="28.5" x14ac:dyDescent="0.25">
      <c r="A77" s="23">
        <v>6</v>
      </c>
      <c r="B77" s="1" t="s">
        <v>145</v>
      </c>
      <c r="C77" s="3" t="s">
        <v>66</v>
      </c>
      <c r="D77" s="26">
        <v>36148</v>
      </c>
      <c r="E77" s="10">
        <v>68.06</v>
      </c>
      <c r="F77" s="4">
        <v>12</v>
      </c>
      <c r="G77" s="4">
        <v>1</v>
      </c>
      <c r="H77" s="8">
        <f>IFERROR(ROUND(E77*G77/F77,2),"")</f>
        <v>5.67</v>
      </c>
      <c r="K77" s="138"/>
      <c r="L77" s="138"/>
    </row>
    <row r="78" spans="1:12" ht="28.5" x14ac:dyDescent="0.25">
      <c r="A78" s="23">
        <v>7</v>
      </c>
      <c r="B78" s="1" t="s">
        <v>146</v>
      </c>
      <c r="C78" s="3" t="s">
        <v>66</v>
      </c>
      <c r="D78" s="26">
        <v>36152</v>
      </c>
      <c r="E78" s="10">
        <v>5.53</v>
      </c>
      <c r="F78" s="4">
        <v>6</v>
      </c>
      <c r="G78" s="4">
        <v>1</v>
      </c>
      <c r="H78" s="8">
        <f t="shared" si="11"/>
        <v>0.92</v>
      </c>
      <c r="K78" s="138"/>
      <c r="L78" s="138"/>
    </row>
    <row r="79" spans="1:12" ht="15.75" x14ac:dyDescent="0.25">
      <c r="C79" s="267" t="s">
        <v>92</v>
      </c>
      <c r="D79" s="268"/>
      <c r="E79" s="268"/>
      <c r="F79" s="268"/>
      <c r="G79" s="269"/>
      <c r="H79" s="19">
        <f>SUM(H72:H78)</f>
        <v>22.060000000000002</v>
      </c>
    </row>
  </sheetData>
  <mergeCells count="10">
    <mergeCell ref="A1:H1"/>
    <mergeCell ref="C79:G79"/>
    <mergeCell ref="C16:G16"/>
    <mergeCell ref="C17:G17"/>
    <mergeCell ref="A62:H62"/>
    <mergeCell ref="A19:H19"/>
    <mergeCell ref="C59:G59"/>
    <mergeCell ref="C60:G60"/>
    <mergeCell ref="C68:G68"/>
    <mergeCell ref="A70:C70"/>
  </mergeCells>
  <phoneticPr fontId="2" type="noConversion"/>
  <pageMargins left="0.25" right="0.25" top="0.75" bottom="0.75" header="0.3" footer="0.3"/>
  <pageSetup paperSize="8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A51C8-7C59-45B0-A364-6C07D3121137}">
  <sheetPr>
    <tabColor theme="8" tint="0.39997558519241921"/>
    <pageSetUpPr fitToPage="1"/>
  </sheetPr>
  <dimension ref="A1:M11"/>
  <sheetViews>
    <sheetView showGridLines="0" zoomScaleNormal="100" workbookViewId="0">
      <selection activeCell="H21" sqref="H21"/>
    </sheetView>
  </sheetViews>
  <sheetFormatPr defaultRowHeight="15" x14ac:dyDescent="0.25"/>
  <cols>
    <col min="1" max="1" width="9.28515625" style="24" bestFit="1" customWidth="1"/>
    <col min="2" max="2" width="66.140625" style="25" customWidth="1"/>
    <col min="3" max="3" width="23.42578125" style="25" customWidth="1"/>
    <col min="4" max="4" width="20.42578125" style="25" customWidth="1"/>
    <col min="5" max="5" width="9.140625" style="25" bestFit="1" customWidth="1"/>
    <col min="6" max="6" width="20.42578125" style="25" customWidth="1"/>
    <col min="7" max="7" width="20" style="25" customWidth="1"/>
    <col min="8" max="8" width="17.28515625" style="25" customWidth="1"/>
    <col min="9" max="9" width="9.140625" style="21"/>
    <col min="10" max="10" width="13.28515625" style="141" bestFit="1" customWidth="1"/>
    <col min="11" max="11" width="12.28515625" style="141" bestFit="1" customWidth="1"/>
    <col min="12" max="12" width="12.28515625" style="141" customWidth="1"/>
    <col min="13" max="13" width="12.140625" customWidth="1"/>
  </cols>
  <sheetData>
    <row r="1" spans="1:13" ht="15.75" customHeight="1" x14ac:dyDescent="0.25">
      <c r="A1" s="264" t="s">
        <v>147</v>
      </c>
      <c r="B1" s="265"/>
      <c r="C1" s="265"/>
      <c r="D1" s="265"/>
      <c r="E1" s="265"/>
      <c r="F1" s="265"/>
      <c r="G1" s="265"/>
      <c r="H1" s="266"/>
    </row>
    <row r="2" spans="1:13" ht="25.5" x14ac:dyDescent="0.25">
      <c r="A2" s="5" t="s">
        <v>148</v>
      </c>
      <c r="B2" s="5" t="s">
        <v>149</v>
      </c>
      <c r="C2" s="5" t="s">
        <v>150</v>
      </c>
      <c r="D2" s="5" t="s">
        <v>151</v>
      </c>
      <c r="E2" s="5" t="s">
        <v>152</v>
      </c>
      <c r="F2" s="5" t="s">
        <v>153</v>
      </c>
      <c r="G2" s="5" t="s">
        <v>154</v>
      </c>
      <c r="H2" s="5" t="s">
        <v>155</v>
      </c>
      <c r="J2" s="17" t="s">
        <v>62</v>
      </c>
      <c r="K2" s="17" t="s">
        <v>63</v>
      </c>
      <c r="L2" s="17" t="s">
        <v>64</v>
      </c>
      <c r="M2" s="17" t="s">
        <v>156</v>
      </c>
    </row>
    <row r="3" spans="1:13" x14ac:dyDescent="0.25">
      <c r="A3" s="23">
        <v>1</v>
      </c>
      <c r="B3" s="2" t="s">
        <v>157</v>
      </c>
      <c r="C3" s="3" t="s">
        <v>158</v>
      </c>
      <c r="D3" s="10">
        <f>IFERROR(AVERAGE(J3:M3),"")</f>
        <v>2667.458333333333</v>
      </c>
      <c r="E3" s="183">
        <f>ROUND('ANEXO IX_CÁLCULO_BDI'!$B$9,4)</f>
        <v>0.29530000000000001</v>
      </c>
      <c r="F3" s="10">
        <f>ROUND((D3*(1+E3)),2)</f>
        <v>3455.16</v>
      </c>
      <c r="G3" s="8">
        <f>F3</f>
        <v>3455.16</v>
      </c>
      <c r="H3" s="8">
        <f>G3*12</f>
        <v>41461.919999999998</v>
      </c>
      <c r="J3" s="159">
        <f>2*1030.84</f>
        <v>2061.6799999999998</v>
      </c>
      <c r="K3" s="160">
        <v>3156.45</v>
      </c>
      <c r="L3" s="159">
        <v>2880</v>
      </c>
      <c r="M3" s="159">
        <f>1403.7+1094.67+(440/6)</f>
        <v>2571.7033333333334</v>
      </c>
    </row>
    <row r="4" spans="1:13" x14ac:dyDescent="0.25">
      <c r="A4" s="23">
        <v>2</v>
      </c>
      <c r="B4" s="2" t="s">
        <v>159</v>
      </c>
      <c r="C4" s="3" t="s">
        <v>160</v>
      </c>
      <c r="D4" s="10">
        <f>IFERROR(AVERAGE(J4:M4),"")</f>
        <v>2684.4549999999999</v>
      </c>
      <c r="E4" s="183">
        <f>ROUND('ANEXO IX_CÁLCULO_BDI'!$B$9,4)</f>
        <v>0.29530000000000001</v>
      </c>
      <c r="F4" s="10">
        <f>ROUND((D4*(1+E4)),2)</f>
        <v>3477.17</v>
      </c>
      <c r="G4" s="8">
        <f>ROUND(F4/6,2)</f>
        <v>579.53</v>
      </c>
      <c r="H4" s="8">
        <f>G4*12</f>
        <v>6954.36</v>
      </c>
      <c r="J4" s="159">
        <f>130.15*25</f>
        <v>3253.75</v>
      </c>
      <c r="K4" s="159">
        <v>2340</v>
      </c>
      <c r="L4" s="159">
        <f>133.55*25</f>
        <v>3338.7500000000005</v>
      </c>
      <c r="M4" s="159">
        <v>1805.32</v>
      </c>
    </row>
    <row r="5" spans="1:13" x14ac:dyDescent="0.25">
      <c r="A5" s="23">
        <v>3</v>
      </c>
      <c r="B5" s="2" t="s">
        <v>161</v>
      </c>
      <c r="C5" s="3" t="s">
        <v>158</v>
      </c>
      <c r="D5" s="10">
        <v>6000</v>
      </c>
      <c r="E5" s="183">
        <f>ROUND('ANEXO IX_CÁLCULO_BDI'!$B$9,4)</f>
        <v>0.29530000000000001</v>
      </c>
      <c r="F5" s="10">
        <f>ROUND((D5*(1+E5)),2)</f>
        <v>7771.8</v>
      </c>
      <c r="G5" s="8">
        <f>F5</f>
        <v>7771.8</v>
      </c>
      <c r="H5" s="8">
        <f>G5*12</f>
        <v>93261.6</v>
      </c>
      <c r="J5" s="270" t="s">
        <v>162</v>
      </c>
      <c r="K5" s="270"/>
      <c r="L5" s="270"/>
      <c r="M5" s="270"/>
    </row>
    <row r="6" spans="1:13" ht="15.75" x14ac:dyDescent="0.25">
      <c r="C6" s="271" t="s">
        <v>41</v>
      </c>
      <c r="D6" s="272"/>
      <c r="E6" s="272"/>
      <c r="F6" s="273"/>
      <c r="G6" s="143">
        <f>SUM(G3:G5)</f>
        <v>11806.49</v>
      </c>
      <c r="H6" s="144">
        <f>SUM(H3:H5)</f>
        <v>141677.88</v>
      </c>
    </row>
    <row r="8" spans="1:13" x14ac:dyDescent="0.25">
      <c r="E8" s="210"/>
    </row>
    <row r="10" spans="1:13" x14ac:dyDescent="0.25">
      <c r="J10" s="162"/>
    </row>
    <row r="11" spans="1:13" x14ac:dyDescent="0.25">
      <c r="J11" s="161"/>
    </row>
  </sheetData>
  <mergeCells count="3">
    <mergeCell ref="A1:H1"/>
    <mergeCell ref="J5:M5"/>
    <mergeCell ref="C6:F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A1:V53"/>
  <sheetViews>
    <sheetView showGridLines="0" workbookViewId="0">
      <selection activeCell="D3" sqref="D3:D51"/>
    </sheetView>
  </sheetViews>
  <sheetFormatPr defaultRowHeight="15" x14ac:dyDescent="0.25"/>
  <cols>
    <col min="1" max="1" width="9.140625" style="21" customWidth="1"/>
    <col min="2" max="2" width="67.85546875" style="21" customWidth="1"/>
    <col min="3" max="3" width="9.85546875" style="21" customWidth="1"/>
    <col min="4" max="4" width="9.140625" style="21"/>
    <col min="5" max="5" width="14.42578125" style="21" customWidth="1"/>
    <col min="6" max="6" width="9.140625" style="21"/>
    <col min="7" max="7" width="16.28515625" style="21" customWidth="1"/>
    <col min="8" max="8" width="18.42578125" style="21" customWidth="1"/>
    <col min="10" max="13" width="13.28515625" style="138" bestFit="1" customWidth="1"/>
    <col min="14" max="22" width="12.140625" style="138" bestFit="1" customWidth="1"/>
    <col min="16383" max="16384" width="9.140625" bestFit="1" customWidth="1"/>
  </cols>
  <sheetData>
    <row r="1" spans="1:22" ht="18.75" customHeight="1" x14ac:dyDescent="0.25">
      <c r="A1" s="264" t="s">
        <v>163</v>
      </c>
      <c r="B1" s="265"/>
      <c r="C1" s="265"/>
      <c r="D1" s="265"/>
      <c r="E1" s="265"/>
      <c r="F1" s="265"/>
      <c r="G1" s="265"/>
      <c r="H1" s="266"/>
    </row>
    <row r="2" spans="1:22" ht="22.5" customHeight="1" x14ac:dyDescent="0.25">
      <c r="A2" s="47" t="s">
        <v>148</v>
      </c>
      <c r="B2" s="47" t="s">
        <v>164</v>
      </c>
      <c r="C2" s="47" t="s">
        <v>165</v>
      </c>
      <c r="D2" s="47" t="s">
        <v>166</v>
      </c>
      <c r="E2" s="47" t="s">
        <v>167</v>
      </c>
      <c r="F2" s="47" t="s">
        <v>152</v>
      </c>
      <c r="G2" s="47" t="s">
        <v>168</v>
      </c>
      <c r="H2" s="168" t="s">
        <v>169</v>
      </c>
      <c r="J2" s="139" t="s">
        <v>62</v>
      </c>
      <c r="K2" s="139" t="s">
        <v>63</v>
      </c>
      <c r="L2" s="139" t="s">
        <v>64</v>
      </c>
      <c r="M2" s="139" t="s">
        <v>156</v>
      </c>
      <c r="N2" s="139" t="s">
        <v>170</v>
      </c>
      <c r="O2" s="139" t="s">
        <v>171</v>
      </c>
      <c r="P2" s="139" t="s">
        <v>172</v>
      </c>
      <c r="Q2" s="139" t="s">
        <v>173</v>
      </c>
      <c r="R2" s="139" t="s">
        <v>174</v>
      </c>
      <c r="S2" s="139" t="s">
        <v>175</v>
      </c>
      <c r="T2" s="139" t="s">
        <v>176</v>
      </c>
      <c r="U2" s="139" t="s">
        <v>177</v>
      </c>
      <c r="V2" s="139" t="s">
        <v>178</v>
      </c>
    </row>
    <row r="3" spans="1:22" x14ac:dyDescent="0.25">
      <c r="A3" s="43">
        <v>1</v>
      </c>
      <c r="B3" s="44" t="s">
        <v>179</v>
      </c>
      <c r="C3" s="43" t="s">
        <v>165</v>
      </c>
      <c r="D3" s="43">
        <v>1</v>
      </c>
      <c r="E3" s="45">
        <f t="shared" ref="E3:E34" si="0">AVERAGE(J3:V3)</f>
        <v>1644.3730769230772</v>
      </c>
      <c r="F3" s="169">
        <f>ROUND('ANEXO IX_CÁLCULO_BDI'!$C$9,4)</f>
        <v>0.22389999999999999</v>
      </c>
      <c r="G3" s="170">
        <f t="shared" ref="G3:G34" si="1">E3*(1+F3)</f>
        <v>2012.5482088461542</v>
      </c>
      <c r="H3" s="171">
        <f t="shared" ref="H3:H34" si="2">D3*G3</f>
        <v>2012.5482088461542</v>
      </c>
      <c r="J3" s="212">
        <v>1290</v>
      </c>
      <c r="K3" s="140">
        <v>1589.7</v>
      </c>
      <c r="L3" s="140">
        <v>2251.98</v>
      </c>
      <c r="M3" s="140">
        <v>1664.25</v>
      </c>
      <c r="N3" s="140">
        <v>1571.86</v>
      </c>
      <c r="O3" s="140">
        <v>1609.8</v>
      </c>
      <c r="P3" s="140">
        <v>1348.21</v>
      </c>
      <c r="Q3" s="140">
        <v>1740.76</v>
      </c>
      <c r="R3" s="140">
        <v>1568.7</v>
      </c>
      <c r="S3" s="140">
        <v>1568.7</v>
      </c>
      <c r="T3" s="140">
        <v>1736.1</v>
      </c>
      <c r="U3" s="140">
        <v>1738.8</v>
      </c>
      <c r="V3" s="140">
        <v>1697.99</v>
      </c>
    </row>
    <row r="4" spans="1:22" x14ac:dyDescent="0.25">
      <c r="A4" s="43">
        <v>2</v>
      </c>
      <c r="B4" s="44" t="s">
        <v>180</v>
      </c>
      <c r="C4" s="43" t="s">
        <v>165</v>
      </c>
      <c r="D4" s="43">
        <v>1</v>
      </c>
      <c r="E4" s="45">
        <f t="shared" si="0"/>
        <v>2286.3624999999997</v>
      </c>
      <c r="F4" s="169">
        <f>ROUND('ANEXO IX_CÁLCULO_BDI'!$C$9,4)</f>
        <v>0.22389999999999999</v>
      </c>
      <c r="G4" s="171">
        <f t="shared" si="1"/>
        <v>2798.2790637499998</v>
      </c>
      <c r="H4" s="171">
        <f t="shared" si="2"/>
        <v>2798.2790637499998</v>
      </c>
      <c r="J4" s="140">
        <v>1789</v>
      </c>
      <c r="K4" s="140">
        <v>1899</v>
      </c>
      <c r="L4" s="140">
        <v>2307.29</v>
      </c>
      <c r="M4" s="140">
        <v>2720.86</v>
      </c>
      <c r="N4" s="140">
        <v>2353.9699999999998</v>
      </c>
      <c r="O4" s="140">
        <v>2451.8000000000002</v>
      </c>
      <c r="P4" s="140">
        <v>2650.49</v>
      </c>
      <c r="Q4" s="140">
        <v>2118.4899999999998</v>
      </c>
      <c r="R4" s="140"/>
      <c r="S4" s="140"/>
      <c r="T4" s="140"/>
      <c r="U4" s="140"/>
      <c r="V4" s="140"/>
    </row>
    <row r="5" spans="1:22" ht="15" customHeight="1" x14ac:dyDescent="0.25">
      <c r="A5" s="43">
        <v>3</v>
      </c>
      <c r="B5" s="44" t="s">
        <v>181</v>
      </c>
      <c r="C5" s="43" t="s">
        <v>165</v>
      </c>
      <c r="D5" s="43">
        <v>1</v>
      </c>
      <c r="E5" s="45">
        <f t="shared" si="0"/>
        <v>10369.987499999999</v>
      </c>
      <c r="F5" s="169">
        <f>ROUND('ANEXO IX_CÁLCULO_BDI'!$C$9,4)</f>
        <v>0.22389999999999999</v>
      </c>
      <c r="G5" s="171">
        <f t="shared" si="1"/>
        <v>12691.827701249998</v>
      </c>
      <c r="H5" s="171">
        <f t="shared" si="2"/>
        <v>12691.827701249998</v>
      </c>
      <c r="J5" s="140">
        <v>12728.67</v>
      </c>
      <c r="K5" s="140">
        <v>14993.12</v>
      </c>
      <c r="L5" s="140">
        <v>13758.16</v>
      </c>
      <c r="M5" s="140">
        <v>0</v>
      </c>
      <c r="N5" s="140"/>
      <c r="O5" s="140"/>
      <c r="P5" s="140"/>
      <c r="Q5" s="140"/>
      <c r="R5" s="140"/>
      <c r="S5" s="140"/>
      <c r="T5" s="140"/>
      <c r="U5" s="140"/>
      <c r="V5" s="140"/>
    </row>
    <row r="6" spans="1:22" ht="15" customHeight="1" x14ac:dyDescent="0.25">
      <c r="A6" s="43">
        <v>4</v>
      </c>
      <c r="B6" s="44" t="s">
        <v>182</v>
      </c>
      <c r="C6" s="43" t="s">
        <v>165</v>
      </c>
      <c r="D6" s="43">
        <v>1</v>
      </c>
      <c r="E6" s="45">
        <f t="shared" si="0"/>
        <v>3881.5672727272727</v>
      </c>
      <c r="F6" s="169">
        <f>ROUND('ANEXO IX_CÁLCULO_BDI'!$C$9,4)</f>
        <v>0.22389999999999999</v>
      </c>
      <c r="G6" s="171">
        <f t="shared" si="1"/>
        <v>4750.650185090909</v>
      </c>
      <c r="H6" s="171">
        <f t="shared" si="2"/>
        <v>4750.650185090909</v>
      </c>
      <c r="J6" s="140">
        <v>3327.95</v>
      </c>
      <c r="K6" s="140">
        <v>2648.8</v>
      </c>
      <c r="L6" s="140">
        <v>3369</v>
      </c>
      <c r="M6" s="140">
        <v>3259</v>
      </c>
      <c r="N6" s="140">
        <v>3029</v>
      </c>
      <c r="O6" s="140">
        <v>4095.76</v>
      </c>
      <c r="P6" s="140">
        <v>4255.43</v>
      </c>
      <c r="Q6" s="140">
        <v>5866.6</v>
      </c>
      <c r="R6" s="140">
        <v>4404.53</v>
      </c>
      <c r="S6" s="140">
        <v>4022.17</v>
      </c>
      <c r="T6" s="140">
        <v>4419</v>
      </c>
      <c r="U6" s="140"/>
      <c r="V6" s="140"/>
    </row>
    <row r="7" spans="1:22" ht="15" customHeight="1" x14ac:dyDescent="0.25">
      <c r="A7" s="43">
        <v>5</v>
      </c>
      <c r="B7" s="44" t="s">
        <v>183</v>
      </c>
      <c r="C7" s="43" t="s">
        <v>165</v>
      </c>
      <c r="D7" s="43">
        <v>1</v>
      </c>
      <c r="E7" s="45">
        <f t="shared" si="0"/>
        <v>5182.6380000000008</v>
      </c>
      <c r="F7" s="169">
        <f>ROUND('ANEXO IX_CÁLCULO_BDI'!$C$9,4)</f>
        <v>0.22389999999999999</v>
      </c>
      <c r="G7" s="171">
        <f t="shared" si="1"/>
        <v>6343.0306482000005</v>
      </c>
      <c r="H7" s="171">
        <f t="shared" si="2"/>
        <v>6343.0306482000005</v>
      </c>
      <c r="J7" s="140">
        <v>5066.83</v>
      </c>
      <c r="K7" s="140">
        <v>5294.27</v>
      </c>
      <c r="L7" s="140">
        <v>5294.27</v>
      </c>
      <c r="M7" s="140">
        <v>5507.43</v>
      </c>
      <c r="N7" s="140">
        <v>4750.3900000000003</v>
      </c>
      <c r="O7" s="140"/>
      <c r="P7" s="140"/>
      <c r="Q7" s="140"/>
      <c r="R7" s="140"/>
      <c r="S7" s="140"/>
      <c r="T7" s="140"/>
      <c r="U7" s="140"/>
      <c r="V7" s="140"/>
    </row>
    <row r="8" spans="1:22" x14ac:dyDescent="0.25">
      <c r="A8" s="43">
        <v>6</v>
      </c>
      <c r="B8" s="44" t="s">
        <v>184</v>
      </c>
      <c r="C8" s="43" t="s">
        <v>165</v>
      </c>
      <c r="D8" s="43">
        <v>1</v>
      </c>
      <c r="E8" s="45">
        <f t="shared" si="0"/>
        <v>160.512</v>
      </c>
      <c r="F8" s="169">
        <f>ROUND('ANEXO IX_CÁLCULO_BDI'!$C$9,4)</f>
        <v>0.22389999999999999</v>
      </c>
      <c r="G8" s="171">
        <f t="shared" si="1"/>
        <v>196.45063680000001</v>
      </c>
      <c r="H8" s="171">
        <f t="shared" si="2"/>
        <v>196.45063680000001</v>
      </c>
      <c r="J8" s="140">
        <v>166.59</v>
      </c>
      <c r="K8" s="140">
        <v>146.21</v>
      </c>
      <c r="L8" s="140">
        <v>163.15</v>
      </c>
      <c r="M8" s="140">
        <v>138.51</v>
      </c>
      <c r="N8" s="140">
        <v>188.1</v>
      </c>
      <c r="O8" s="140"/>
      <c r="P8" s="140"/>
      <c r="Q8" s="140"/>
      <c r="R8" s="140"/>
      <c r="S8" s="140"/>
      <c r="T8" s="140"/>
      <c r="U8" s="140"/>
      <c r="V8" s="140"/>
    </row>
    <row r="9" spans="1:22" x14ac:dyDescent="0.25">
      <c r="A9" s="43">
        <v>7</v>
      </c>
      <c r="B9" s="44" t="s">
        <v>185</v>
      </c>
      <c r="C9" s="43" t="s">
        <v>165</v>
      </c>
      <c r="D9" s="43">
        <v>3</v>
      </c>
      <c r="E9" s="45">
        <f t="shared" si="0"/>
        <v>258.08800000000002</v>
      </c>
      <c r="F9" s="169">
        <f>ROUND('ANEXO IX_CÁLCULO_BDI'!$C$9,4)</f>
        <v>0.22389999999999999</v>
      </c>
      <c r="G9" s="171">
        <f t="shared" si="1"/>
        <v>315.87390320000003</v>
      </c>
      <c r="H9" s="171">
        <f t="shared" si="2"/>
        <v>947.62170960000003</v>
      </c>
      <c r="J9" s="140">
        <v>226.8</v>
      </c>
      <c r="K9" s="140">
        <v>310.99</v>
      </c>
      <c r="L9" s="140">
        <v>207.19</v>
      </c>
      <c r="M9" s="140">
        <v>198.08</v>
      </c>
      <c r="N9" s="140">
        <v>347.38</v>
      </c>
      <c r="O9" s="140"/>
      <c r="P9" s="140"/>
      <c r="Q9" s="140"/>
      <c r="R9" s="140"/>
      <c r="S9" s="140"/>
      <c r="T9" s="140"/>
      <c r="U9" s="140"/>
      <c r="V9" s="140"/>
    </row>
    <row r="10" spans="1:22" x14ac:dyDescent="0.25">
      <c r="A10" s="43">
        <v>8</v>
      </c>
      <c r="B10" s="44" t="s">
        <v>186</v>
      </c>
      <c r="C10" s="43" t="s">
        <v>165</v>
      </c>
      <c r="D10" s="43">
        <v>2</v>
      </c>
      <c r="E10" s="45">
        <f t="shared" si="0"/>
        <v>71.683999999999997</v>
      </c>
      <c r="F10" s="169">
        <f>ROUND('ANEXO IX_CÁLCULO_BDI'!$C$9,4)</f>
        <v>0.22389999999999999</v>
      </c>
      <c r="G10" s="171">
        <f t="shared" si="1"/>
        <v>87.734047599999997</v>
      </c>
      <c r="H10" s="171">
        <f t="shared" si="2"/>
        <v>175.46809519999999</v>
      </c>
      <c r="J10" s="140">
        <v>74.989999999999995</v>
      </c>
      <c r="K10" s="140">
        <v>65.819999999999993</v>
      </c>
      <c r="L10" s="140">
        <v>78.48</v>
      </c>
      <c r="M10" s="140">
        <v>110</v>
      </c>
      <c r="N10" s="140">
        <v>29.13</v>
      </c>
      <c r="O10" s="140"/>
      <c r="P10" s="140"/>
      <c r="Q10" s="140"/>
      <c r="R10" s="140"/>
      <c r="S10" s="140"/>
      <c r="T10" s="140"/>
      <c r="U10" s="140"/>
      <c r="V10" s="140"/>
    </row>
    <row r="11" spans="1:22" x14ac:dyDescent="0.25">
      <c r="A11" s="43">
        <v>9</v>
      </c>
      <c r="B11" s="44" t="s">
        <v>187</v>
      </c>
      <c r="C11" s="43" t="s">
        <v>165</v>
      </c>
      <c r="D11" s="43">
        <v>1</v>
      </c>
      <c r="E11" s="45">
        <f t="shared" si="0"/>
        <v>78.486666666666665</v>
      </c>
      <c r="F11" s="169">
        <f>ROUND('ANEXO IX_CÁLCULO_BDI'!$C$9,4)</f>
        <v>0.22389999999999999</v>
      </c>
      <c r="G11" s="171">
        <f t="shared" si="1"/>
        <v>96.059831333333335</v>
      </c>
      <c r="H11" s="171">
        <f t="shared" si="2"/>
        <v>96.059831333333335</v>
      </c>
      <c r="J11" s="140">
        <v>77.849999999999994</v>
      </c>
      <c r="K11" s="140">
        <v>71.819999999999993</v>
      </c>
      <c r="L11" s="140">
        <v>85.79</v>
      </c>
      <c r="M11" s="140"/>
      <c r="N11" s="140"/>
      <c r="O11" s="140"/>
      <c r="P11" s="140"/>
      <c r="Q11" s="140"/>
      <c r="R11" s="140"/>
      <c r="S11" s="140"/>
      <c r="T11" s="140"/>
      <c r="U11" s="140"/>
      <c r="V11" s="140"/>
    </row>
    <row r="12" spans="1:22" x14ac:dyDescent="0.25">
      <c r="A12" s="43">
        <v>10</v>
      </c>
      <c r="B12" s="44" t="s">
        <v>188</v>
      </c>
      <c r="C12" s="43" t="s">
        <v>165</v>
      </c>
      <c r="D12" s="43">
        <v>3</v>
      </c>
      <c r="E12" s="45">
        <f t="shared" si="0"/>
        <v>45.322857142857139</v>
      </c>
      <c r="F12" s="169">
        <f>ROUND('ANEXO IX_CÁLCULO_BDI'!$C$9,4)</f>
        <v>0.22389999999999999</v>
      </c>
      <c r="G12" s="171">
        <f t="shared" si="1"/>
        <v>55.470644857142851</v>
      </c>
      <c r="H12" s="171">
        <f t="shared" si="2"/>
        <v>166.41193457142856</v>
      </c>
      <c r="J12" s="140">
        <v>47.72</v>
      </c>
      <c r="K12" s="140">
        <v>34.9</v>
      </c>
      <c r="L12" s="140">
        <v>47.72</v>
      </c>
      <c r="M12" s="140">
        <v>44.31</v>
      </c>
      <c r="N12" s="140">
        <v>46.63</v>
      </c>
      <c r="O12" s="140">
        <v>44.96</v>
      </c>
      <c r="P12" s="140">
        <v>51.02</v>
      </c>
      <c r="Q12" s="140"/>
      <c r="R12" s="140"/>
      <c r="S12" s="140"/>
      <c r="T12" s="140"/>
      <c r="U12" s="140"/>
      <c r="V12" s="140"/>
    </row>
    <row r="13" spans="1:22" x14ac:dyDescent="0.25">
      <c r="A13" s="43">
        <v>11</v>
      </c>
      <c r="B13" s="44" t="s">
        <v>189</v>
      </c>
      <c r="C13" s="43" t="s">
        <v>165</v>
      </c>
      <c r="D13" s="43">
        <v>1</v>
      </c>
      <c r="E13" s="45">
        <f t="shared" si="0"/>
        <v>177.39499999999998</v>
      </c>
      <c r="F13" s="169">
        <f>ROUND('ANEXO IX_CÁLCULO_BDI'!$C$9,4)</f>
        <v>0.22389999999999999</v>
      </c>
      <c r="G13" s="171">
        <f t="shared" si="1"/>
        <v>217.11374049999998</v>
      </c>
      <c r="H13" s="171">
        <f t="shared" si="2"/>
        <v>217.11374049999998</v>
      </c>
      <c r="J13" s="140">
        <v>226.57</v>
      </c>
      <c r="K13" s="140">
        <v>162.99</v>
      </c>
      <c r="L13" s="140">
        <v>152.07</v>
      </c>
      <c r="M13" s="140">
        <v>167.95</v>
      </c>
      <c r="N13" s="140"/>
      <c r="O13" s="140"/>
      <c r="P13" s="140"/>
      <c r="Q13" s="140"/>
      <c r="R13" s="140"/>
      <c r="S13" s="140"/>
      <c r="T13" s="140"/>
      <c r="U13" s="140"/>
      <c r="V13" s="140"/>
    </row>
    <row r="14" spans="1:22" x14ac:dyDescent="0.25">
      <c r="A14" s="43">
        <v>12</v>
      </c>
      <c r="B14" s="44" t="s">
        <v>190</v>
      </c>
      <c r="C14" s="43" t="s">
        <v>165</v>
      </c>
      <c r="D14" s="43">
        <v>4</v>
      </c>
      <c r="E14" s="45">
        <f t="shared" si="0"/>
        <v>84.568000000000012</v>
      </c>
      <c r="F14" s="169">
        <f>ROUND('ANEXO IX_CÁLCULO_BDI'!$C$9,4)</f>
        <v>0.22389999999999999</v>
      </c>
      <c r="G14" s="171">
        <f t="shared" si="1"/>
        <v>103.50277520000002</v>
      </c>
      <c r="H14" s="171">
        <f t="shared" si="2"/>
        <v>414.01110080000007</v>
      </c>
      <c r="J14" s="140">
        <v>77.150000000000006</v>
      </c>
      <c r="K14" s="140">
        <v>92.95</v>
      </c>
      <c r="L14" s="140">
        <v>107.74</v>
      </c>
      <c r="M14" s="140">
        <v>75</v>
      </c>
      <c r="N14" s="140">
        <v>70</v>
      </c>
      <c r="O14" s="140"/>
      <c r="P14" s="140"/>
      <c r="Q14" s="140"/>
      <c r="R14" s="140"/>
      <c r="S14" s="140"/>
      <c r="T14" s="140"/>
      <c r="U14" s="140"/>
      <c r="V14" s="140"/>
    </row>
    <row r="15" spans="1:22" x14ac:dyDescent="0.25">
      <c r="A15" s="43">
        <v>13</v>
      </c>
      <c r="B15" s="44" t="s">
        <v>191</v>
      </c>
      <c r="C15" s="43" t="s">
        <v>165</v>
      </c>
      <c r="D15" s="43">
        <v>1</v>
      </c>
      <c r="E15" s="45">
        <f t="shared" si="0"/>
        <v>95.93</v>
      </c>
      <c r="F15" s="169">
        <f>ROUND('ANEXO IX_CÁLCULO_BDI'!$C$9,4)</f>
        <v>0.22389999999999999</v>
      </c>
      <c r="G15" s="171">
        <f t="shared" si="1"/>
        <v>117.40872700000001</v>
      </c>
      <c r="H15" s="171">
        <f t="shared" si="2"/>
        <v>117.40872700000001</v>
      </c>
      <c r="J15" s="140">
        <v>89.88</v>
      </c>
      <c r="K15" s="140">
        <v>115.61</v>
      </c>
      <c r="L15" s="140">
        <v>82.3</v>
      </c>
      <c r="M15" s="140"/>
      <c r="N15" s="140"/>
      <c r="O15" s="140"/>
      <c r="P15" s="140"/>
      <c r="Q15" s="140"/>
      <c r="R15" s="140"/>
      <c r="S15" s="140"/>
      <c r="T15" s="140"/>
      <c r="U15" s="140"/>
      <c r="V15" s="140"/>
    </row>
    <row r="16" spans="1:22" x14ac:dyDescent="0.25">
      <c r="A16" s="43">
        <v>14</v>
      </c>
      <c r="B16" s="44" t="s">
        <v>192</v>
      </c>
      <c r="C16" s="43" t="s">
        <v>165</v>
      </c>
      <c r="D16" s="43">
        <v>1</v>
      </c>
      <c r="E16" s="45">
        <f t="shared" si="0"/>
        <v>147.94666666666669</v>
      </c>
      <c r="F16" s="169">
        <f>ROUND('ANEXO IX_CÁLCULO_BDI'!$C$9,4)</f>
        <v>0.22389999999999999</v>
      </c>
      <c r="G16" s="171">
        <f t="shared" si="1"/>
        <v>181.07192533333335</v>
      </c>
      <c r="H16" s="171">
        <f t="shared" si="2"/>
        <v>181.07192533333335</v>
      </c>
      <c r="J16" s="140">
        <v>172.93</v>
      </c>
      <c r="K16" s="140">
        <v>131.9</v>
      </c>
      <c r="L16" s="140">
        <v>137.18</v>
      </c>
      <c r="M16" s="140">
        <v>147.31</v>
      </c>
      <c r="N16" s="140">
        <v>147.31</v>
      </c>
      <c r="O16" s="140">
        <v>151.05000000000001</v>
      </c>
      <c r="P16" s="140"/>
      <c r="Q16" s="140"/>
      <c r="R16" s="140"/>
      <c r="S16" s="140"/>
      <c r="T16" s="140"/>
      <c r="U16" s="140"/>
      <c r="V16" s="140"/>
    </row>
    <row r="17" spans="1:22" x14ac:dyDescent="0.25">
      <c r="A17" s="43">
        <v>15</v>
      </c>
      <c r="B17" s="44" t="s">
        <v>193</v>
      </c>
      <c r="C17" s="43" t="s">
        <v>165</v>
      </c>
      <c r="D17" s="43">
        <v>4</v>
      </c>
      <c r="E17" s="45">
        <f t="shared" si="0"/>
        <v>127.74166666666667</v>
      </c>
      <c r="F17" s="169">
        <f>ROUND('ANEXO IX_CÁLCULO_BDI'!$C$9,4)</f>
        <v>0.22389999999999999</v>
      </c>
      <c r="G17" s="171">
        <f t="shared" si="1"/>
        <v>156.34302583333334</v>
      </c>
      <c r="H17" s="171">
        <f t="shared" si="2"/>
        <v>625.37210333333337</v>
      </c>
      <c r="J17" s="140">
        <v>97.57</v>
      </c>
      <c r="K17" s="140">
        <v>102.99</v>
      </c>
      <c r="L17" s="140">
        <v>120.22</v>
      </c>
      <c r="M17" s="140">
        <v>147.31</v>
      </c>
      <c r="N17" s="140">
        <v>147.31</v>
      </c>
      <c r="O17" s="140">
        <v>151.05000000000001</v>
      </c>
      <c r="P17" s="140"/>
      <c r="Q17" s="140"/>
      <c r="R17" s="140"/>
      <c r="S17" s="140"/>
      <c r="T17" s="140"/>
      <c r="U17" s="140"/>
      <c r="V17" s="140"/>
    </row>
    <row r="18" spans="1:22" x14ac:dyDescent="0.25">
      <c r="A18" s="43">
        <v>16</v>
      </c>
      <c r="B18" s="44" t="s">
        <v>194</v>
      </c>
      <c r="C18" s="43" t="s">
        <v>165</v>
      </c>
      <c r="D18" s="43">
        <v>2</v>
      </c>
      <c r="E18" s="45">
        <f t="shared" si="0"/>
        <v>141.00333333333333</v>
      </c>
      <c r="F18" s="169">
        <f>ROUND('ANEXO IX_CÁLCULO_BDI'!$C$9,4)</f>
        <v>0.22389999999999999</v>
      </c>
      <c r="G18" s="171">
        <f t="shared" si="1"/>
        <v>172.57397966666667</v>
      </c>
      <c r="H18" s="171">
        <f t="shared" si="2"/>
        <v>345.14795933333335</v>
      </c>
      <c r="J18" s="140">
        <v>112.47</v>
      </c>
      <c r="K18" s="140">
        <v>144.5</v>
      </c>
      <c r="L18" s="140">
        <v>166.04</v>
      </c>
      <c r="M18" s="140"/>
      <c r="N18" s="140"/>
      <c r="O18" s="140"/>
      <c r="P18" s="140"/>
      <c r="Q18" s="140"/>
      <c r="R18" s="140"/>
      <c r="S18" s="140"/>
      <c r="T18" s="140"/>
      <c r="U18" s="140"/>
      <c r="V18" s="140"/>
    </row>
    <row r="19" spans="1:22" x14ac:dyDescent="0.25">
      <c r="A19" s="43">
        <v>17</v>
      </c>
      <c r="B19" s="44" t="s">
        <v>195</v>
      </c>
      <c r="C19" s="43" t="s">
        <v>165</v>
      </c>
      <c r="D19" s="43">
        <v>1</v>
      </c>
      <c r="E19" s="45">
        <f t="shared" si="0"/>
        <v>172.58</v>
      </c>
      <c r="F19" s="169">
        <f>ROUND('ANEXO IX_CÁLCULO_BDI'!$C$9,4)</f>
        <v>0.22389999999999999</v>
      </c>
      <c r="G19" s="171">
        <f t="shared" si="1"/>
        <v>211.220662</v>
      </c>
      <c r="H19" s="171">
        <f t="shared" si="2"/>
        <v>211.220662</v>
      </c>
      <c r="J19" s="140">
        <v>168.17</v>
      </c>
      <c r="K19" s="140">
        <v>206.95</v>
      </c>
      <c r="L19" s="140">
        <v>143.57</v>
      </c>
      <c r="M19" s="140">
        <v>194.89</v>
      </c>
      <c r="N19" s="140">
        <v>149.32</v>
      </c>
      <c r="O19" s="140"/>
      <c r="P19" s="140"/>
      <c r="Q19" s="140"/>
      <c r="R19" s="140"/>
      <c r="S19" s="140"/>
      <c r="T19" s="140"/>
      <c r="U19" s="140"/>
      <c r="V19" s="140"/>
    </row>
    <row r="20" spans="1:22" x14ac:dyDescent="0.25">
      <c r="A20" s="43">
        <v>18</v>
      </c>
      <c r="B20" s="44" t="s">
        <v>196</v>
      </c>
      <c r="C20" s="43" t="s">
        <v>165</v>
      </c>
      <c r="D20" s="43">
        <v>1</v>
      </c>
      <c r="E20" s="45">
        <f t="shared" si="0"/>
        <v>87.336666666666659</v>
      </c>
      <c r="F20" s="169">
        <f>ROUND('ANEXO IX_CÁLCULO_BDI'!$C$9,4)</f>
        <v>0.22389999999999999</v>
      </c>
      <c r="G20" s="171">
        <f t="shared" si="1"/>
        <v>106.89134633333332</v>
      </c>
      <c r="H20" s="171">
        <f t="shared" si="2"/>
        <v>106.89134633333332</v>
      </c>
      <c r="J20" s="140">
        <f>26.8+52</f>
        <v>78.8</v>
      </c>
      <c r="K20" s="140">
        <v>99.8</v>
      </c>
      <c r="L20" s="140">
        <v>83.41</v>
      </c>
      <c r="M20" s="42"/>
      <c r="N20" s="42"/>
      <c r="O20" s="42"/>
      <c r="P20" s="42"/>
      <c r="Q20" s="42"/>
      <c r="R20" s="42"/>
      <c r="S20" s="42"/>
      <c r="T20" s="42"/>
      <c r="U20" s="42"/>
      <c r="V20" s="42"/>
    </row>
    <row r="21" spans="1:22" x14ac:dyDescent="0.25">
      <c r="A21" s="43">
        <v>19</v>
      </c>
      <c r="B21" s="44" t="s">
        <v>197</v>
      </c>
      <c r="C21" s="43" t="s">
        <v>165</v>
      </c>
      <c r="D21" s="43">
        <v>4</v>
      </c>
      <c r="E21" s="45">
        <f t="shared" si="0"/>
        <v>110.2</v>
      </c>
      <c r="F21" s="169">
        <f>ROUND('ANEXO IX_CÁLCULO_BDI'!$C$9,4)</f>
        <v>0.22389999999999999</v>
      </c>
      <c r="G21" s="171">
        <f t="shared" si="1"/>
        <v>134.87378000000001</v>
      </c>
      <c r="H21" s="171">
        <f t="shared" si="2"/>
        <v>539.49512000000004</v>
      </c>
      <c r="J21" s="140">
        <f>86.39+20.2</f>
        <v>106.59</v>
      </c>
      <c r="K21" s="140">
        <f>73.21+39.92</f>
        <v>113.13</v>
      </c>
      <c r="L21" s="140">
        <f>86.14+24.74</f>
        <v>110.88</v>
      </c>
      <c r="M21" s="42"/>
      <c r="N21" s="42"/>
      <c r="O21" s="42"/>
      <c r="P21" s="42"/>
      <c r="Q21" s="42"/>
      <c r="R21" s="42"/>
      <c r="S21" s="42"/>
      <c r="T21" s="42"/>
      <c r="U21" s="42"/>
      <c r="V21" s="42"/>
    </row>
    <row r="22" spans="1:22" x14ac:dyDescent="0.25">
      <c r="A22" s="43">
        <v>20</v>
      </c>
      <c r="B22" s="44" t="s">
        <v>198</v>
      </c>
      <c r="C22" s="43" t="s">
        <v>165</v>
      </c>
      <c r="D22" s="43">
        <v>2</v>
      </c>
      <c r="E22" s="45">
        <f t="shared" si="0"/>
        <v>212.10333333333335</v>
      </c>
      <c r="F22" s="169">
        <f>ROUND('ANEXO IX_CÁLCULO_BDI'!$C$9,4)</f>
        <v>0.22389999999999999</v>
      </c>
      <c r="G22" s="171">
        <f t="shared" si="1"/>
        <v>259.59326966666669</v>
      </c>
      <c r="H22" s="171">
        <f t="shared" si="2"/>
        <v>519.18653933333337</v>
      </c>
      <c r="J22" s="140">
        <f>197.99+23.39</f>
        <v>221.38</v>
      </c>
      <c r="K22" s="140">
        <f>157.4+45.06</f>
        <v>202.46</v>
      </c>
      <c r="L22" s="140">
        <f>185.19+27.28</f>
        <v>212.47</v>
      </c>
      <c r="M22" s="42"/>
      <c r="N22" s="42"/>
      <c r="O22" s="42"/>
      <c r="P22" s="42"/>
      <c r="Q22" s="42"/>
      <c r="R22" s="42"/>
      <c r="S22" s="42"/>
      <c r="T22" s="42"/>
      <c r="U22" s="42"/>
      <c r="V22" s="42"/>
    </row>
    <row r="23" spans="1:22" x14ac:dyDescent="0.25">
      <c r="A23" s="43">
        <v>21</v>
      </c>
      <c r="B23" s="44" t="s">
        <v>199</v>
      </c>
      <c r="C23" s="43" t="s">
        <v>165</v>
      </c>
      <c r="D23" s="43">
        <v>5</v>
      </c>
      <c r="E23" s="45">
        <f t="shared" si="0"/>
        <v>69.893333333333331</v>
      </c>
      <c r="F23" s="169">
        <f>ROUND('ANEXO IX_CÁLCULO_BDI'!$C$9,4)</f>
        <v>0.22389999999999999</v>
      </c>
      <c r="G23" s="171">
        <f t="shared" si="1"/>
        <v>85.542450666666667</v>
      </c>
      <c r="H23" s="171">
        <f t="shared" si="2"/>
        <v>427.71225333333336</v>
      </c>
      <c r="J23" s="140">
        <f>45.89+19.16</f>
        <v>65.05</v>
      </c>
      <c r="K23" s="140">
        <f>37.16+39.05</f>
        <v>76.209999999999994</v>
      </c>
      <c r="L23" s="140">
        <f>43.74+24.68</f>
        <v>68.42</v>
      </c>
      <c r="M23" s="42"/>
      <c r="N23" s="42"/>
      <c r="O23" s="42"/>
      <c r="P23" s="42"/>
      <c r="Q23" s="42"/>
      <c r="R23" s="42"/>
      <c r="S23" s="42"/>
      <c r="T23" s="42"/>
      <c r="U23" s="42"/>
      <c r="V23" s="42"/>
    </row>
    <row r="24" spans="1:22" x14ac:dyDescent="0.25">
      <c r="A24" s="43">
        <v>22</v>
      </c>
      <c r="B24" s="44" t="s">
        <v>200</v>
      </c>
      <c r="C24" s="43" t="s">
        <v>165</v>
      </c>
      <c r="D24" s="43">
        <v>7</v>
      </c>
      <c r="E24" s="45">
        <f t="shared" si="0"/>
        <v>60.616666666666667</v>
      </c>
      <c r="F24" s="169">
        <f>ROUND('ANEXO IX_CÁLCULO_BDI'!$C$9,4)</f>
        <v>0.22389999999999999</v>
      </c>
      <c r="G24" s="171">
        <f t="shared" si="1"/>
        <v>74.188738333333333</v>
      </c>
      <c r="H24" s="171">
        <f t="shared" si="2"/>
        <v>519.32116833333339</v>
      </c>
      <c r="J24" s="140">
        <f>35.99+19.07</f>
        <v>55.06</v>
      </c>
      <c r="K24" s="140">
        <f>29.15+38.66</f>
        <v>67.81</v>
      </c>
      <c r="L24" s="140">
        <f>34.3+24.68</f>
        <v>58.98</v>
      </c>
      <c r="M24" s="42"/>
      <c r="N24" s="42"/>
      <c r="O24" s="42"/>
      <c r="P24" s="42"/>
      <c r="Q24" s="42"/>
      <c r="R24" s="42"/>
      <c r="S24" s="42"/>
      <c r="T24" s="42"/>
      <c r="U24" s="42"/>
      <c r="V24" s="42"/>
    </row>
    <row r="25" spans="1:22" x14ac:dyDescent="0.25">
      <c r="A25" s="43">
        <v>23</v>
      </c>
      <c r="B25" s="44" t="s">
        <v>201</v>
      </c>
      <c r="C25" s="43" t="s">
        <v>165</v>
      </c>
      <c r="D25" s="43">
        <v>3</v>
      </c>
      <c r="E25" s="45">
        <f t="shared" si="0"/>
        <v>51.053333333333342</v>
      </c>
      <c r="F25" s="169">
        <f>ROUND('ANEXO IX_CÁLCULO_BDI'!$C$9,4)</f>
        <v>0.22389999999999999</v>
      </c>
      <c r="G25" s="171">
        <f t="shared" si="1"/>
        <v>62.484174666666675</v>
      </c>
      <c r="H25" s="171">
        <f t="shared" si="2"/>
        <v>187.45252400000004</v>
      </c>
      <c r="J25" s="140">
        <f>25.19+18.98</f>
        <v>44.17</v>
      </c>
      <c r="K25" s="140">
        <f>21.09+38.67</f>
        <v>59.760000000000005</v>
      </c>
      <c r="L25" s="140">
        <f>24.55+24.68</f>
        <v>49.230000000000004</v>
      </c>
      <c r="M25" s="42"/>
      <c r="N25" s="42"/>
      <c r="O25" s="42"/>
      <c r="P25" s="42"/>
      <c r="Q25" s="42"/>
      <c r="R25" s="42"/>
      <c r="S25" s="42"/>
      <c r="T25" s="42"/>
      <c r="U25" s="42"/>
      <c r="V25" s="42"/>
    </row>
    <row r="26" spans="1:22" x14ac:dyDescent="0.25">
      <c r="A26" s="43">
        <v>24</v>
      </c>
      <c r="B26" s="44" t="s">
        <v>202</v>
      </c>
      <c r="C26" s="43" t="s">
        <v>165</v>
      </c>
      <c r="D26" s="43">
        <v>1</v>
      </c>
      <c r="E26" s="45">
        <f t="shared" si="0"/>
        <v>48.669999999999995</v>
      </c>
      <c r="F26" s="169">
        <f>ROUND('ANEXO IX_CÁLCULO_BDI'!$C$9,4)</f>
        <v>0.22389999999999999</v>
      </c>
      <c r="G26" s="171">
        <f t="shared" si="1"/>
        <v>59.567212999999995</v>
      </c>
      <c r="H26" s="171">
        <f t="shared" si="2"/>
        <v>59.567212999999995</v>
      </c>
      <c r="J26" s="140">
        <f>24.29+18.98</f>
        <v>43.269999999999996</v>
      </c>
      <c r="K26" s="140">
        <f>19.23+38.16</f>
        <v>57.39</v>
      </c>
      <c r="L26" s="140">
        <f>20.67+24.68</f>
        <v>45.35</v>
      </c>
      <c r="M26" s="42"/>
      <c r="N26" s="42"/>
      <c r="O26" s="42"/>
      <c r="P26" s="42"/>
      <c r="Q26" s="42"/>
      <c r="R26" s="42"/>
      <c r="S26" s="42"/>
      <c r="T26" s="42"/>
      <c r="U26" s="42"/>
      <c r="V26" s="42"/>
    </row>
    <row r="27" spans="1:22" x14ac:dyDescent="0.25">
      <c r="A27" s="43">
        <v>25</v>
      </c>
      <c r="B27" s="44" t="s">
        <v>203</v>
      </c>
      <c r="C27" s="43" t="s">
        <v>165</v>
      </c>
      <c r="D27" s="43">
        <v>4</v>
      </c>
      <c r="E27" s="45">
        <f t="shared" si="0"/>
        <v>36.776666666666671</v>
      </c>
      <c r="F27" s="169">
        <f>ROUND('ANEXO IX_CÁLCULO_BDI'!$C$9,4)</f>
        <v>0.22389999999999999</v>
      </c>
      <c r="G27" s="171">
        <f t="shared" si="1"/>
        <v>45.010962333333339</v>
      </c>
      <c r="H27" s="171">
        <f t="shared" si="2"/>
        <v>180.04384933333336</v>
      </c>
      <c r="J27" s="140">
        <f>22.18+26.91</f>
        <v>49.09</v>
      </c>
      <c r="K27" s="140">
        <f>8.66+13.57</f>
        <v>22.23</v>
      </c>
      <c r="L27" s="140">
        <f>17.02+21.99</f>
        <v>39.01</v>
      </c>
      <c r="M27" s="42"/>
      <c r="N27" s="42"/>
      <c r="O27" s="42"/>
      <c r="P27" s="42"/>
      <c r="Q27" s="42"/>
      <c r="R27" s="42"/>
      <c r="S27" s="42"/>
      <c r="T27" s="42"/>
      <c r="U27" s="42"/>
      <c r="V27" s="42"/>
    </row>
    <row r="28" spans="1:22" x14ac:dyDescent="0.25">
      <c r="A28" s="43">
        <v>26</v>
      </c>
      <c r="B28" s="44" t="s">
        <v>204</v>
      </c>
      <c r="C28" s="43" t="s">
        <v>165</v>
      </c>
      <c r="D28" s="43">
        <v>1</v>
      </c>
      <c r="E28" s="45">
        <f t="shared" si="0"/>
        <v>37.896666666666668</v>
      </c>
      <c r="F28" s="169">
        <f>ROUND('ANEXO IX_CÁLCULO_BDI'!$C$9,4)</f>
        <v>0.22389999999999999</v>
      </c>
      <c r="G28" s="171">
        <f t="shared" si="1"/>
        <v>46.381730333333337</v>
      </c>
      <c r="H28" s="171">
        <f t="shared" si="2"/>
        <v>46.381730333333337</v>
      </c>
      <c r="J28" s="140">
        <f>23.38+11.48</f>
        <v>34.86</v>
      </c>
      <c r="K28" s="140">
        <f>21.68+34</f>
        <v>55.68</v>
      </c>
      <c r="L28" s="140">
        <f>9.58+13.57</f>
        <v>23.15</v>
      </c>
      <c r="M28" s="42"/>
      <c r="N28" s="42"/>
      <c r="O28" s="42"/>
      <c r="P28" s="42"/>
      <c r="Q28" s="42"/>
      <c r="R28" s="42"/>
      <c r="S28" s="42"/>
      <c r="T28" s="42"/>
      <c r="U28" s="42"/>
      <c r="V28" s="42"/>
    </row>
    <row r="29" spans="1:22" x14ac:dyDescent="0.25">
      <c r="A29" s="43">
        <v>27</v>
      </c>
      <c r="B29" s="46" t="s">
        <v>205</v>
      </c>
      <c r="C29" s="43" t="s">
        <v>165</v>
      </c>
      <c r="D29" s="43">
        <v>3</v>
      </c>
      <c r="E29" s="45">
        <f t="shared" si="0"/>
        <v>195.40666666666667</v>
      </c>
      <c r="F29" s="169">
        <f>ROUND('ANEXO IX_CÁLCULO_BDI'!$C$9,4)</f>
        <v>0.22389999999999999</v>
      </c>
      <c r="G29" s="171">
        <f t="shared" si="1"/>
        <v>239.15821933333334</v>
      </c>
      <c r="H29" s="171">
        <f t="shared" si="2"/>
        <v>717.47465799999998</v>
      </c>
      <c r="J29" s="140">
        <f>214.37+26.3</f>
        <v>240.67000000000002</v>
      </c>
      <c r="K29" s="140">
        <f>125.99+19.82</f>
        <v>145.81</v>
      </c>
      <c r="L29" s="140">
        <f>182+17.74</f>
        <v>199.74</v>
      </c>
      <c r="M29" s="42"/>
      <c r="N29" s="42"/>
      <c r="O29" s="42"/>
      <c r="P29" s="42"/>
      <c r="Q29" s="42"/>
      <c r="R29" s="42"/>
      <c r="S29" s="42"/>
      <c r="T29" s="42"/>
      <c r="U29" s="42"/>
      <c r="V29" s="42"/>
    </row>
    <row r="30" spans="1:22" x14ac:dyDescent="0.25">
      <c r="A30" s="43">
        <v>28</v>
      </c>
      <c r="B30" s="44" t="s">
        <v>206</v>
      </c>
      <c r="C30" s="43" t="s">
        <v>165</v>
      </c>
      <c r="D30" s="43">
        <v>1</v>
      </c>
      <c r="E30" s="45">
        <f t="shared" si="0"/>
        <v>227.0566666666667</v>
      </c>
      <c r="F30" s="169">
        <f>ROUND('ANEXO IX_CÁLCULO_BDI'!$C$9,4)</f>
        <v>0.22389999999999999</v>
      </c>
      <c r="G30" s="171">
        <f t="shared" si="1"/>
        <v>277.89465433333339</v>
      </c>
      <c r="H30" s="171">
        <f t="shared" si="2"/>
        <v>277.89465433333339</v>
      </c>
      <c r="J30" s="140">
        <f>173.34+34.1</f>
        <v>207.44</v>
      </c>
      <c r="K30" s="140">
        <f>225+50.42</f>
        <v>275.42</v>
      </c>
      <c r="L30" s="140">
        <v>198.31</v>
      </c>
      <c r="M30" s="42"/>
      <c r="N30" s="42"/>
      <c r="O30" s="42"/>
      <c r="P30" s="42"/>
      <c r="Q30" s="42"/>
      <c r="R30" s="42"/>
      <c r="S30" s="42"/>
      <c r="T30" s="42"/>
      <c r="U30" s="42"/>
      <c r="V30" s="42"/>
    </row>
    <row r="31" spans="1:22" x14ac:dyDescent="0.25">
      <c r="A31" s="43">
        <v>29</v>
      </c>
      <c r="B31" s="44" t="s">
        <v>207</v>
      </c>
      <c r="C31" s="43" t="s">
        <v>165</v>
      </c>
      <c r="D31" s="43">
        <v>1</v>
      </c>
      <c r="E31" s="45">
        <f t="shared" si="0"/>
        <v>137.38333333333335</v>
      </c>
      <c r="F31" s="169">
        <f>ROUND('ANEXO IX_CÁLCULO_BDI'!$C$9,4)</f>
        <v>0.22389999999999999</v>
      </c>
      <c r="G31" s="171">
        <f t="shared" si="1"/>
        <v>168.1434616666667</v>
      </c>
      <c r="H31" s="171">
        <f t="shared" si="2"/>
        <v>168.1434616666667</v>
      </c>
      <c r="J31" s="140">
        <f>105+29.27</f>
        <v>134.27000000000001</v>
      </c>
      <c r="K31" s="140">
        <f>138.88+22.56</f>
        <v>161.44</v>
      </c>
      <c r="L31" s="140">
        <v>116.44</v>
      </c>
      <c r="M31" s="42"/>
      <c r="N31" s="42"/>
      <c r="O31" s="42"/>
      <c r="P31" s="42"/>
      <c r="Q31" s="42"/>
      <c r="R31" s="42"/>
      <c r="S31" s="42"/>
      <c r="T31" s="42"/>
      <c r="U31" s="42"/>
      <c r="V31" s="42"/>
    </row>
    <row r="32" spans="1:22" x14ac:dyDescent="0.25">
      <c r="A32" s="43">
        <v>30</v>
      </c>
      <c r="B32" s="44" t="s">
        <v>208</v>
      </c>
      <c r="C32" s="43" t="s">
        <v>165</v>
      </c>
      <c r="D32" s="43">
        <v>1</v>
      </c>
      <c r="E32" s="45">
        <f t="shared" si="0"/>
        <v>312.16000000000003</v>
      </c>
      <c r="F32" s="169">
        <f>ROUND('ANEXO IX_CÁLCULO_BDI'!$C$9,4)</f>
        <v>0.22389999999999999</v>
      </c>
      <c r="G32" s="171">
        <f t="shared" si="1"/>
        <v>382.05262400000004</v>
      </c>
      <c r="H32" s="171">
        <f t="shared" si="2"/>
        <v>382.05262400000004</v>
      </c>
      <c r="J32" s="140">
        <f>274.54+38.71</f>
        <v>313.25</v>
      </c>
      <c r="K32" s="140">
        <f>337+53.56</f>
        <v>390.56</v>
      </c>
      <c r="L32" s="140">
        <f>212.99+19.68</f>
        <v>232.67000000000002</v>
      </c>
      <c r="M32" s="42"/>
      <c r="N32" s="42"/>
      <c r="O32" s="42"/>
      <c r="P32" s="42"/>
      <c r="Q32" s="42"/>
      <c r="R32" s="42"/>
      <c r="S32" s="42"/>
      <c r="T32" s="42"/>
      <c r="U32" s="42"/>
      <c r="V32" s="42"/>
    </row>
    <row r="33" spans="1:22" x14ac:dyDescent="0.25">
      <c r="A33" s="43">
        <v>31</v>
      </c>
      <c r="B33" s="44" t="s">
        <v>209</v>
      </c>
      <c r="C33" s="43" t="s">
        <v>165</v>
      </c>
      <c r="D33" s="43">
        <v>1</v>
      </c>
      <c r="E33" s="45">
        <f t="shared" si="0"/>
        <v>87.410000000000011</v>
      </c>
      <c r="F33" s="169">
        <f>ROUND('ANEXO IX_CÁLCULO_BDI'!$C$9,4)</f>
        <v>0.22389999999999999</v>
      </c>
      <c r="G33" s="171">
        <f t="shared" si="1"/>
        <v>106.98109900000001</v>
      </c>
      <c r="H33" s="171">
        <f t="shared" si="2"/>
        <v>106.98109900000001</v>
      </c>
      <c r="J33" s="140">
        <f>63.98+35.3</f>
        <v>99.28</v>
      </c>
      <c r="K33" s="140">
        <f>35.36+63.98</f>
        <v>99.34</v>
      </c>
      <c r="L33" s="140">
        <f>35.66+27.95</f>
        <v>63.61</v>
      </c>
      <c r="M33" s="42"/>
      <c r="N33" s="42"/>
      <c r="O33" s="42"/>
      <c r="P33" s="42"/>
      <c r="Q33" s="42"/>
      <c r="R33" s="42"/>
      <c r="S33" s="42"/>
      <c r="T33" s="42"/>
      <c r="U33" s="42"/>
      <c r="V33" s="42"/>
    </row>
    <row r="34" spans="1:22" x14ac:dyDescent="0.25">
      <c r="A34" s="43">
        <v>32</v>
      </c>
      <c r="B34" s="44" t="s">
        <v>210</v>
      </c>
      <c r="C34" s="43" t="s">
        <v>165</v>
      </c>
      <c r="D34" s="43">
        <v>1</v>
      </c>
      <c r="E34" s="45">
        <f t="shared" si="0"/>
        <v>79.726666666666674</v>
      </c>
      <c r="F34" s="169">
        <f>ROUND('ANEXO IX_CÁLCULO_BDI'!$C$9,4)</f>
        <v>0.22389999999999999</v>
      </c>
      <c r="G34" s="171">
        <f t="shared" si="1"/>
        <v>97.577467333333345</v>
      </c>
      <c r="H34" s="171">
        <f t="shared" si="2"/>
        <v>97.577467333333345</v>
      </c>
      <c r="J34" s="140">
        <f>91.65</f>
        <v>91.65</v>
      </c>
      <c r="K34" s="140">
        <f>23.78+57.07</f>
        <v>80.849999999999994</v>
      </c>
      <c r="L34" s="140">
        <f>38.73+27.95</f>
        <v>66.679999999999993</v>
      </c>
      <c r="M34" s="42"/>
      <c r="N34" s="42"/>
      <c r="O34" s="42"/>
      <c r="P34" s="42"/>
      <c r="Q34" s="42"/>
      <c r="R34" s="42"/>
      <c r="S34" s="42"/>
      <c r="T34" s="42"/>
      <c r="U34" s="42"/>
      <c r="V34" s="42"/>
    </row>
    <row r="35" spans="1:22" x14ac:dyDescent="0.25">
      <c r="A35" s="43">
        <v>33</v>
      </c>
      <c r="B35" s="44" t="s">
        <v>211</v>
      </c>
      <c r="C35" s="43" t="s">
        <v>165</v>
      </c>
      <c r="D35" s="43">
        <v>2</v>
      </c>
      <c r="E35" s="45">
        <f t="shared" ref="E35:E51" si="3">AVERAGE(J35:V35)</f>
        <v>66.190000000000012</v>
      </c>
      <c r="F35" s="169">
        <f>ROUND('ANEXO IX_CÁLCULO_BDI'!$C$9,4)</f>
        <v>0.22389999999999999</v>
      </c>
      <c r="G35" s="171">
        <f t="shared" ref="G35:G51" si="4">E35*(1+F35)</f>
        <v>81.009941000000012</v>
      </c>
      <c r="H35" s="171">
        <f t="shared" ref="H35:H51" si="5">D35*G35</f>
        <v>162.01988200000002</v>
      </c>
      <c r="J35" s="140">
        <f>57.42+19.62</f>
        <v>77.040000000000006</v>
      </c>
      <c r="K35" s="140">
        <f>40.04+20.71</f>
        <v>60.75</v>
      </c>
      <c r="L35" s="140">
        <f>34.68+26.1</f>
        <v>60.78</v>
      </c>
      <c r="M35" s="42"/>
      <c r="N35" s="42"/>
      <c r="O35" s="42"/>
      <c r="P35" s="42"/>
      <c r="Q35" s="42"/>
      <c r="R35" s="42"/>
      <c r="S35" s="42"/>
      <c r="T35" s="42"/>
      <c r="U35" s="42"/>
      <c r="V35" s="42"/>
    </row>
    <row r="36" spans="1:22" x14ac:dyDescent="0.25">
      <c r="A36" s="43">
        <v>34</v>
      </c>
      <c r="B36" s="44" t="s">
        <v>212</v>
      </c>
      <c r="C36" s="43" t="s">
        <v>165</v>
      </c>
      <c r="D36" s="43">
        <v>1</v>
      </c>
      <c r="E36" s="45">
        <f t="shared" si="3"/>
        <v>61.576666666666675</v>
      </c>
      <c r="F36" s="169">
        <f>ROUND('ANEXO IX_CÁLCULO_BDI'!$C$9,4)</f>
        <v>0.22389999999999999</v>
      </c>
      <c r="G36" s="171">
        <f t="shared" si="4"/>
        <v>75.363682333333344</v>
      </c>
      <c r="H36" s="171">
        <f t="shared" si="5"/>
        <v>75.363682333333344</v>
      </c>
      <c r="J36" s="140">
        <f>47.69+25.8</f>
        <v>73.489999999999995</v>
      </c>
      <c r="K36" s="140">
        <f>31.94+20.71</f>
        <v>52.650000000000006</v>
      </c>
      <c r="L36" s="140">
        <f>31.19+27.4</f>
        <v>58.59</v>
      </c>
      <c r="M36" s="42"/>
      <c r="N36" s="42"/>
      <c r="O36" s="42"/>
      <c r="P36" s="42"/>
      <c r="Q36" s="42"/>
      <c r="R36" s="42"/>
      <c r="S36" s="42"/>
      <c r="T36" s="42"/>
      <c r="U36" s="42"/>
      <c r="V36" s="42"/>
    </row>
    <row r="37" spans="1:22" x14ac:dyDescent="0.25">
      <c r="A37" s="43">
        <v>35</v>
      </c>
      <c r="B37" s="44" t="s">
        <v>213</v>
      </c>
      <c r="C37" s="43" t="s">
        <v>165</v>
      </c>
      <c r="D37" s="43">
        <v>1</v>
      </c>
      <c r="E37" s="45">
        <f t="shared" si="3"/>
        <v>59.316666666666663</v>
      </c>
      <c r="F37" s="169">
        <f>ROUND('ANEXO IX_CÁLCULO_BDI'!$C$9,4)</f>
        <v>0.22389999999999999</v>
      </c>
      <c r="G37" s="171">
        <f t="shared" si="4"/>
        <v>72.597668333333331</v>
      </c>
      <c r="H37" s="171">
        <f t="shared" si="5"/>
        <v>72.597668333333331</v>
      </c>
      <c r="J37" s="140">
        <f>43.36+17.94</f>
        <v>61.3</v>
      </c>
      <c r="K37" s="140">
        <f>31.56+28.18</f>
        <v>59.739999999999995</v>
      </c>
      <c r="L37" s="140">
        <f>30.81+26.1</f>
        <v>56.91</v>
      </c>
      <c r="M37" s="42"/>
      <c r="N37" s="42"/>
      <c r="O37" s="42"/>
      <c r="P37" s="42"/>
      <c r="Q37" s="42"/>
      <c r="R37" s="42"/>
      <c r="S37" s="42"/>
      <c r="T37" s="42"/>
      <c r="U37" s="42"/>
      <c r="V37" s="42"/>
    </row>
    <row r="38" spans="1:22" x14ac:dyDescent="0.25">
      <c r="A38" s="43">
        <v>36</v>
      </c>
      <c r="B38" s="44" t="s">
        <v>214</v>
      </c>
      <c r="C38" s="43" t="s">
        <v>165</v>
      </c>
      <c r="D38" s="43">
        <v>2</v>
      </c>
      <c r="E38" s="45">
        <f t="shared" si="3"/>
        <v>53.576666666666675</v>
      </c>
      <c r="F38" s="169">
        <f>ROUND('ANEXO IX_CÁLCULO_BDI'!$C$9,4)</f>
        <v>0.22389999999999999</v>
      </c>
      <c r="G38" s="171">
        <f t="shared" si="4"/>
        <v>65.57248233333334</v>
      </c>
      <c r="H38" s="171">
        <f t="shared" si="5"/>
        <v>131.14496466666668</v>
      </c>
      <c r="J38" s="140">
        <f>26.28+27.37</f>
        <v>53.650000000000006</v>
      </c>
      <c r="K38" s="140">
        <f>31.15+20.71</f>
        <v>51.86</v>
      </c>
      <c r="L38" s="140">
        <f>30.42+24.8</f>
        <v>55.22</v>
      </c>
      <c r="M38" s="42"/>
      <c r="N38" s="42"/>
      <c r="O38" s="42"/>
      <c r="P38" s="42"/>
      <c r="Q38" s="42"/>
      <c r="R38" s="42"/>
      <c r="S38" s="42"/>
      <c r="T38" s="42"/>
      <c r="U38" s="42"/>
      <c r="V38" s="42"/>
    </row>
    <row r="39" spans="1:22" x14ac:dyDescent="0.25">
      <c r="A39" s="43">
        <v>37</v>
      </c>
      <c r="B39" s="44" t="s">
        <v>215</v>
      </c>
      <c r="C39" s="43" t="s">
        <v>165</v>
      </c>
      <c r="D39" s="43">
        <v>4</v>
      </c>
      <c r="E39" s="45">
        <f t="shared" si="3"/>
        <v>57.776666666666664</v>
      </c>
      <c r="F39" s="169">
        <f>ROUND('ANEXO IX_CÁLCULO_BDI'!$C$9,4)</f>
        <v>0.22389999999999999</v>
      </c>
      <c r="G39" s="171">
        <f t="shared" si="4"/>
        <v>70.712862333333334</v>
      </c>
      <c r="H39" s="171">
        <f t="shared" si="5"/>
        <v>282.85144933333333</v>
      </c>
      <c r="J39" s="140">
        <f>34.14+23.95</f>
        <v>58.09</v>
      </c>
      <c r="K39" s="140">
        <f>28.89+27.4</f>
        <v>56.29</v>
      </c>
      <c r="L39" s="140">
        <f>36.96+21.99</f>
        <v>58.95</v>
      </c>
      <c r="M39" s="42"/>
      <c r="N39" s="42"/>
      <c r="O39" s="42"/>
      <c r="P39" s="42"/>
      <c r="Q39" s="42"/>
      <c r="R39" s="42"/>
      <c r="S39" s="42"/>
      <c r="T39" s="42"/>
      <c r="U39" s="42"/>
      <c r="V39" s="42"/>
    </row>
    <row r="40" spans="1:22" x14ac:dyDescent="0.25">
      <c r="A40" s="43">
        <v>38</v>
      </c>
      <c r="B40" s="44" t="s">
        <v>216</v>
      </c>
      <c r="C40" s="43" t="s">
        <v>165</v>
      </c>
      <c r="D40" s="43">
        <v>2</v>
      </c>
      <c r="E40" s="45">
        <f t="shared" si="3"/>
        <v>62.126666666666665</v>
      </c>
      <c r="F40" s="169">
        <f>ROUND('ANEXO IX_CÁLCULO_BDI'!$C$9,4)</f>
        <v>0.22389999999999999</v>
      </c>
      <c r="G40" s="171">
        <f t="shared" si="4"/>
        <v>76.036827333333335</v>
      </c>
      <c r="H40" s="171">
        <f t="shared" si="5"/>
        <v>152.07365466666667</v>
      </c>
      <c r="J40" s="140">
        <f>43.19+19.13</f>
        <v>62.319999999999993</v>
      </c>
      <c r="K40" s="140">
        <f>35.26+28.71</f>
        <v>63.97</v>
      </c>
      <c r="L40" s="140">
        <f>40.47+19.62</f>
        <v>60.09</v>
      </c>
      <c r="M40" s="42"/>
      <c r="N40" s="42"/>
      <c r="O40" s="42"/>
      <c r="P40" s="42"/>
      <c r="Q40" s="42"/>
      <c r="R40" s="42"/>
      <c r="S40" s="42"/>
      <c r="T40" s="42"/>
      <c r="U40" s="42"/>
      <c r="V40" s="42"/>
    </row>
    <row r="41" spans="1:22" x14ac:dyDescent="0.25">
      <c r="A41" s="43">
        <v>39</v>
      </c>
      <c r="B41" s="44" t="s">
        <v>217</v>
      </c>
      <c r="C41" s="43" t="s">
        <v>165</v>
      </c>
      <c r="D41" s="43">
        <v>2</v>
      </c>
      <c r="E41" s="45">
        <f t="shared" si="3"/>
        <v>64.133333333333326</v>
      </c>
      <c r="F41" s="169">
        <f>ROUND('ANEXO IX_CÁLCULO_BDI'!$C$9,4)</f>
        <v>0.22389999999999999</v>
      </c>
      <c r="G41" s="171">
        <f t="shared" si="4"/>
        <v>78.49278666666666</v>
      </c>
      <c r="H41" s="171">
        <f t="shared" si="5"/>
        <v>156.98557333333332</v>
      </c>
      <c r="J41" s="140">
        <f>32.55+29.4</f>
        <v>61.949999999999996</v>
      </c>
      <c r="K41" s="140">
        <f>37.34+38.73</f>
        <v>76.069999999999993</v>
      </c>
      <c r="L41" s="140">
        <f>26.98+27.4</f>
        <v>54.379999999999995</v>
      </c>
      <c r="M41" s="42"/>
      <c r="N41" s="42"/>
      <c r="O41" s="42"/>
      <c r="P41" s="42"/>
      <c r="Q41" s="42"/>
      <c r="R41" s="42"/>
      <c r="S41" s="42"/>
      <c r="T41" s="42"/>
      <c r="U41" s="42"/>
      <c r="V41" s="42"/>
    </row>
    <row r="42" spans="1:22" x14ac:dyDescent="0.25">
      <c r="A42" s="43">
        <v>40</v>
      </c>
      <c r="B42" s="44" t="s">
        <v>218</v>
      </c>
      <c r="C42" s="43" t="s">
        <v>165</v>
      </c>
      <c r="D42" s="43">
        <v>1</v>
      </c>
      <c r="E42" s="45">
        <f t="shared" si="3"/>
        <v>58.723333333333336</v>
      </c>
      <c r="F42" s="169">
        <f>ROUND('ANEXO IX_CÁLCULO_BDI'!$C$9,4)</f>
        <v>0.22389999999999999</v>
      </c>
      <c r="G42" s="171">
        <f t="shared" si="4"/>
        <v>71.871487666666667</v>
      </c>
      <c r="H42" s="171">
        <f t="shared" si="5"/>
        <v>71.871487666666667</v>
      </c>
      <c r="J42" s="140">
        <f>35.95+28.37</f>
        <v>64.320000000000007</v>
      </c>
      <c r="K42" s="140">
        <f>38.6+19.62</f>
        <v>58.22</v>
      </c>
      <c r="L42" s="140">
        <f>26.23+27.4</f>
        <v>53.629999999999995</v>
      </c>
      <c r="M42" s="42"/>
      <c r="N42" s="42"/>
      <c r="O42" s="42"/>
      <c r="P42" s="42"/>
      <c r="Q42" s="42"/>
      <c r="R42" s="42"/>
      <c r="S42" s="42"/>
      <c r="T42" s="42"/>
      <c r="U42" s="42"/>
      <c r="V42" s="42"/>
    </row>
    <row r="43" spans="1:22" x14ac:dyDescent="0.25">
      <c r="A43" s="43">
        <v>41</v>
      </c>
      <c r="B43" s="44" t="s">
        <v>219</v>
      </c>
      <c r="C43" s="43" t="s">
        <v>165</v>
      </c>
      <c r="D43" s="43">
        <v>5</v>
      </c>
      <c r="E43" s="45">
        <f t="shared" si="3"/>
        <v>329.755</v>
      </c>
      <c r="F43" s="169">
        <f>ROUND('ANEXO IX_CÁLCULO_BDI'!$C$9,4)</f>
        <v>0.22389999999999999</v>
      </c>
      <c r="G43" s="171">
        <f t="shared" si="4"/>
        <v>403.58714449999997</v>
      </c>
      <c r="H43" s="171">
        <f t="shared" si="5"/>
        <v>2017.9357224999999</v>
      </c>
      <c r="J43" s="140">
        <f>292.63+23.24</f>
        <v>315.87</v>
      </c>
      <c r="K43" s="140">
        <v>369.97</v>
      </c>
      <c r="L43" s="140">
        <f>312.3+28.4</f>
        <v>340.7</v>
      </c>
      <c r="M43" s="140">
        <v>292.48</v>
      </c>
      <c r="N43" s="140"/>
      <c r="O43" s="42"/>
      <c r="P43" s="42"/>
      <c r="Q43" s="42"/>
      <c r="R43" s="42"/>
      <c r="S43" s="42"/>
      <c r="T43" s="42"/>
      <c r="U43" s="42"/>
      <c r="V43" s="42"/>
    </row>
    <row r="44" spans="1:22" ht="15" customHeight="1" x14ac:dyDescent="0.25">
      <c r="A44" s="43">
        <v>42</v>
      </c>
      <c r="B44" s="44" t="s">
        <v>220</v>
      </c>
      <c r="C44" s="43" t="s">
        <v>165</v>
      </c>
      <c r="D44" s="43">
        <v>1</v>
      </c>
      <c r="E44" s="45">
        <f t="shared" si="3"/>
        <v>3352.8700000000003</v>
      </c>
      <c r="F44" s="169">
        <f>ROUND('ANEXO IX_CÁLCULO_BDI'!$C$9,4)</f>
        <v>0.22389999999999999</v>
      </c>
      <c r="G44" s="171">
        <f t="shared" si="4"/>
        <v>4103.577593</v>
      </c>
      <c r="H44" s="171">
        <f t="shared" si="5"/>
        <v>4103.577593</v>
      </c>
      <c r="J44" s="140">
        <v>2673.62</v>
      </c>
      <c r="K44" s="140">
        <v>3966</v>
      </c>
      <c r="L44" s="140">
        <v>3418.99</v>
      </c>
      <c r="M44" s="140"/>
      <c r="N44" s="140"/>
      <c r="O44" s="42"/>
      <c r="P44" s="42"/>
      <c r="Q44" s="42"/>
      <c r="R44" s="42"/>
      <c r="S44" s="42"/>
      <c r="T44" s="42"/>
      <c r="U44" s="42"/>
      <c r="V44" s="42"/>
    </row>
    <row r="45" spans="1:22" ht="14.25" customHeight="1" x14ac:dyDescent="0.25">
      <c r="A45" s="43">
        <v>43</v>
      </c>
      <c r="B45" s="44" t="s">
        <v>221</v>
      </c>
      <c r="C45" s="43" t="s">
        <v>222</v>
      </c>
      <c r="D45" s="43">
        <v>60</v>
      </c>
      <c r="E45" s="45">
        <f t="shared" si="3"/>
        <v>88.535883333333345</v>
      </c>
      <c r="F45" s="169">
        <f>ROUND('ANEXO IX_CÁLCULO_BDI'!$C$9,4)</f>
        <v>0.22389999999999999</v>
      </c>
      <c r="G45" s="171">
        <f t="shared" si="4"/>
        <v>108.35906761166667</v>
      </c>
      <c r="H45" s="171">
        <f t="shared" si="5"/>
        <v>6501.5440567000005</v>
      </c>
      <c r="J45" s="140">
        <f>16250/200</f>
        <v>81.25</v>
      </c>
      <c r="K45" s="140">
        <f>(15500+7122.09)/200</f>
        <v>113.11045</v>
      </c>
      <c r="L45" s="140">
        <f>14249.44/200</f>
        <v>71.247200000000007</v>
      </c>
      <c r="M45" s="140"/>
      <c r="N45" s="140"/>
      <c r="O45" s="42"/>
      <c r="P45" s="42"/>
      <c r="Q45" s="42"/>
      <c r="R45" s="42"/>
      <c r="S45" s="42"/>
      <c r="T45" s="42"/>
      <c r="U45" s="42"/>
      <c r="V45" s="42"/>
    </row>
    <row r="46" spans="1:22" x14ac:dyDescent="0.25">
      <c r="A46" s="43">
        <v>44</v>
      </c>
      <c r="B46" s="44" t="s">
        <v>223</v>
      </c>
      <c r="C46" s="43" t="s">
        <v>165</v>
      </c>
      <c r="D46" s="43">
        <v>1</v>
      </c>
      <c r="E46" s="45">
        <f t="shared" si="3"/>
        <v>281.04799999999994</v>
      </c>
      <c r="F46" s="169">
        <f>ROUND('ANEXO IX_CÁLCULO_BDI'!$C$9,4)</f>
        <v>0.22389999999999999</v>
      </c>
      <c r="G46" s="171">
        <f t="shared" si="4"/>
        <v>343.97464719999994</v>
      </c>
      <c r="H46" s="171">
        <f t="shared" si="5"/>
        <v>343.97464719999994</v>
      </c>
      <c r="J46" s="140">
        <v>232.75</v>
      </c>
      <c r="K46" s="140">
        <f>275.42+39.9</f>
        <v>315.32</v>
      </c>
      <c r="L46" s="140">
        <f>257.4+61.91</f>
        <v>319.30999999999995</v>
      </c>
      <c r="M46" s="140">
        <f>198+61</f>
        <v>259</v>
      </c>
      <c r="N46" s="140">
        <f>6*41.31+31</f>
        <v>278.86</v>
      </c>
      <c r="O46" s="42"/>
      <c r="P46" s="42"/>
      <c r="Q46" s="42"/>
      <c r="R46" s="42"/>
      <c r="S46" s="42"/>
      <c r="T46" s="42"/>
      <c r="U46" s="42"/>
      <c r="V46" s="42"/>
    </row>
    <row r="47" spans="1:22" ht="14.25" customHeight="1" x14ac:dyDescent="0.25">
      <c r="A47" s="43">
        <v>45</v>
      </c>
      <c r="B47" s="44" t="s">
        <v>224</v>
      </c>
      <c r="C47" s="43" t="s">
        <v>165</v>
      </c>
      <c r="D47" s="43">
        <v>3</v>
      </c>
      <c r="E47" s="45">
        <f t="shared" si="3"/>
        <v>58.337499999999991</v>
      </c>
      <c r="F47" s="169">
        <f>ROUND('ANEXO IX_CÁLCULO_BDI'!$C$9,4)</f>
        <v>0.22389999999999999</v>
      </c>
      <c r="G47" s="171">
        <f t="shared" si="4"/>
        <v>71.399266249999982</v>
      </c>
      <c r="H47" s="171">
        <f t="shared" si="5"/>
        <v>214.19779874999995</v>
      </c>
      <c r="J47" s="140">
        <f>21.9+17.89</f>
        <v>39.79</v>
      </c>
      <c r="K47" s="140">
        <f>40.55+31.3</f>
        <v>71.849999999999994</v>
      </c>
      <c r="L47" s="140">
        <v>48.89</v>
      </c>
      <c r="M47" s="140">
        <f>37+35.82</f>
        <v>72.819999999999993</v>
      </c>
      <c r="N47" s="140"/>
      <c r="O47" s="42"/>
      <c r="P47" s="42"/>
      <c r="Q47" s="42"/>
      <c r="R47" s="42"/>
      <c r="S47" s="42"/>
      <c r="T47" s="42"/>
      <c r="U47" s="42"/>
      <c r="V47" s="42"/>
    </row>
    <row r="48" spans="1:22" ht="15" customHeight="1" x14ac:dyDescent="0.25">
      <c r="A48" s="43">
        <v>46</v>
      </c>
      <c r="B48" s="44" t="s">
        <v>225</v>
      </c>
      <c r="C48" s="43" t="s">
        <v>165</v>
      </c>
      <c r="D48" s="43">
        <v>3</v>
      </c>
      <c r="E48" s="45">
        <f t="shared" si="3"/>
        <v>374.38250000000005</v>
      </c>
      <c r="F48" s="169">
        <f>ROUND('ANEXO IX_CÁLCULO_BDI'!$C$9,4)</f>
        <v>0.22389999999999999</v>
      </c>
      <c r="G48" s="171">
        <f t="shared" si="4"/>
        <v>458.20674175000005</v>
      </c>
      <c r="H48" s="171">
        <f t="shared" si="5"/>
        <v>1374.6202252500002</v>
      </c>
      <c r="J48" s="140">
        <f>192.15+33.59</f>
        <v>225.74</v>
      </c>
      <c r="K48" s="140">
        <f>390+33.7</f>
        <v>423.7</v>
      </c>
      <c r="L48" s="140">
        <v>480</v>
      </c>
      <c r="M48" s="140">
        <f>335+33.09</f>
        <v>368.09000000000003</v>
      </c>
      <c r="N48" s="140"/>
      <c r="O48" s="42"/>
      <c r="P48" s="42"/>
      <c r="Q48" s="42"/>
      <c r="R48" s="42"/>
      <c r="S48" s="42"/>
      <c r="T48" s="42"/>
      <c r="U48" s="42"/>
      <c r="V48" s="42"/>
    </row>
    <row r="49" spans="1:22" ht="15" customHeight="1" x14ac:dyDescent="0.25">
      <c r="A49" s="43">
        <v>47</v>
      </c>
      <c r="B49" s="44" t="s">
        <v>226</v>
      </c>
      <c r="C49" s="43" t="s">
        <v>165</v>
      </c>
      <c r="D49" s="43">
        <v>3</v>
      </c>
      <c r="E49" s="45">
        <f t="shared" si="3"/>
        <v>209.72199999999998</v>
      </c>
      <c r="F49" s="169">
        <f>ROUND('ANEXO IX_CÁLCULO_BDI'!$C$9,4)</f>
        <v>0.22389999999999999</v>
      </c>
      <c r="G49" s="171">
        <f t="shared" si="4"/>
        <v>256.67875579999998</v>
      </c>
      <c r="H49" s="171">
        <f t="shared" si="5"/>
        <v>770.03626739999993</v>
      </c>
      <c r="J49" s="140">
        <f>164.2+35.17</f>
        <v>199.37</v>
      </c>
      <c r="K49" s="140">
        <v>221.16</v>
      </c>
      <c r="L49" s="140">
        <f>141.64+36.2</f>
        <v>177.83999999999997</v>
      </c>
      <c r="M49" s="140">
        <v>197.04</v>
      </c>
      <c r="N49" s="140">
        <v>253.2</v>
      </c>
      <c r="O49" s="42"/>
      <c r="P49" s="42"/>
      <c r="Q49" s="42"/>
      <c r="R49" s="42"/>
      <c r="S49" s="42"/>
      <c r="T49" s="42"/>
      <c r="U49" s="42"/>
      <c r="V49" s="42"/>
    </row>
    <row r="50" spans="1:22" x14ac:dyDescent="0.25">
      <c r="A50" s="43">
        <v>48</v>
      </c>
      <c r="B50" s="44" t="s">
        <v>227</v>
      </c>
      <c r="C50" s="43" t="s">
        <v>165</v>
      </c>
      <c r="D50" s="43">
        <v>1</v>
      </c>
      <c r="E50" s="45">
        <f t="shared" si="3"/>
        <v>9890</v>
      </c>
      <c r="F50" s="169">
        <f>ROUND('ANEXO IX_CÁLCULO_BDI'!$C$9,4)</f>
        <v>0.22389999999999999</v>
      </c>
      <c r="G50" s="171">
        <f t="shared" si="4"/>
        <v>12104.370999999999</v>
      </c>
      <c r="H50" s="171">
        <f t="shared" si="5"/>
        <v>12104.370999999999</v>
      </c>
      <c r="J50" s="140">
        <v>9890</v>
      </c>
      <c r="K50" s="278" t="s">
        <v>228</v>
      </c>
      <c r="L50" s="279"/>
      <c r="M50" s="279"/>
      <c r="N50" s="280"/>
      <c r="O50" s="42"/>
      <c r="P50" s="42"/>
      <c r="Q50" s="42"/>
      <c r="R50" s="42"/>
      <c r="S50" s="42"/>
      <c r="T50" s="42"/>
      <c r="U50" s="42"/>
      <c r="V50" s="42"/>
    </row>
    <row r="51" spans="1:22" x14ac:dyDescent="0.25">
      <c r="A51" s="43">
        <v>49</v>
      </c>
      <c r="B51" s="44" t="s">
        <v>229</v>
      </c>
      <c r="C51" s="43" t="s">
        <v>165</v>
      </c>
      <c r="D51" s="43">
        <v>1</v>
      </c>
      <c r="E51" s="45">
        <f t="shared" si="3"/>
        <v>6780</v>
      </c>
      <c r="F51" s="169">
        <f>ROUND('ANEXO IX_CÁLCULO_BDI'!$C$9,4)</f>
        <v>0.22389999999999999</v>
      </c>
      <c r="G51" s="171">
        <f t="shared" si="4"/>
        <v>8298.0419999999995</v>
      </c>
      <c r="H51" s="171">
        <f t="shared" si="5"/>
        <v>8298.0419999999995</v>
      </c>
      <c r="J51" s="140">
        <v>6780</v>
      </c>
      <c r="K51" s="278" t="s">
        <v>228</v>
      </c>
      <c r="L51" s="279"/>
      <c r="M51" s="279"/>
      <c r="N51" s="280"/>
      <c r="O51" s="42"/>
      <c r="P51" s="42"/>
      <c r="Q51" s="42"/>
      <c r="R51" s="42"/>
      <c r="S51" s="42"/>
      <c r="T51" s="42"/>
      <c r="U51" s="42"/>
      <c r="V51" s="42"/>
    </row>
    <row r="52" spans="1:22" ht="15.75" x14ac:dyDescent="0.25">
      <c r="A52" s="274" t="s">
        <v>467</v>
      </c>
      <c r="B52" s="275"/>
      <c r="C52" s="275"/>
      <c r="D52" s="275"/>
      <c r="E52" s="275"/>
      <c r="F52" s="275"/>
      <c r="G52" s="276"/>
      <c r="H52" s="211">
        <f>SUM(H3:H51)</f>
        <v>73459.07761440851</v>
      </c>
    </row>
    <row r="53" spans="1:22" ht="15.75" x14ac:dyDescent="0.25">
      <c r="A53" s="277" t="s">
        <v>230</v>
      </c>
      <c r="B53" s="275"/>
      <c r="C53" s="275"/>
      <c r="D53" s="275"/>
      <c r="E53" s="275"/>
      <c r="F53" s="275"/>
      <c r="G53" s="276"/>
      <c r="H53" s="213">
        <f>H52/12</f>
        <v>6121.5898012007092</v>
      </c>
    </row>
  </sheetData>
  <mergeCells count="5">
    <mergeCell ref="A52:G52"/>
    <mergeCell ref="A53:G53"/>
    <mergeCell ref="K50:N50"/>
    <mergeCell ref="K51:N51"/>
    <mergeCell ref="A1:H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9B80F-1398-436D-9EE2-02C3903266F1}">
  <sheetPr>
    <pageSetUpPr fitToPage="1"/>
  </sheetPr>
  <dimension ref="A1:D14"/>
  <sheetViews>
    <sheetView showGridLines="0" workbookViewId="0">
      <selection activeCell="D23" sqref="D23"/>
    </sheetView>
  </sheetViews>
  <sheetFormatPr defaultRowHeight="15" x14ac:dyDescent="0.25"/>
  <cols>
    <col min="1" max="1" width="29.7109375" bestFit="1" customWidth="1"/>
    <col min="2" max="2" width="21" bestFit="1" customWidth="1"/>
    <col min="3" max="3" width="22" bestFit="1" customWidth="1"/>
    <col min="4" max="4" width="58.28515625" bestFit="1" customWidth="1"/>
  </cols>
  <sheetData>
    <row r="1" spans="1:4" ht="15.75" x14ac:dyDescent="0.25">
      <c r="A1" s="281" t="s">
        <v>231</v>
      </c>
      <c r="B1" s="281"/>
      <c r="C1" s="281"/>
      <c r="D1" s="175"/>
    </row>
    <row r="2" spans="1:4" x14ac:dyDescent="0.25">
      <c r="A2" s="176" t="s">
        <v>232</v>
      </c>
      <c r="B2" s="177" t="s">
        <v>233</v>
      </c>
      <c r="C2" s="177" t="s">
        <v>234</v>
      </c>
      <c r="D2" s="178" t="s">
        <v>235</v>
      </c>
    </row>
    <row r="3" spans="1:4" x14ac:dyDescent="0.25">
      <c r="A3" s="179" t="s">
        <v>236</v>
      </c>
      <c r="B3" s="192">
        <v>3.4500000000000003E-2</v>
      </c>
      <c r="C3" s="192">
        <v>3.4500000000000003E-2</v>
      </c>
      <c r="D3" s="282" t="s">
        <v>237</v>
      </c>
    </row>
    <row r="4" spans="1:4" x14ac:dyDescent="0.25">
      <c r="A4" s="179" t="s">
        <v>238</v>
      </c>
      <c r="B4" s="192">
        <v>4.7999999999999996E-3</v>
      </c>
      <c r="C4" s="192">
        <v>4.7999999999999996E-3</v>
      </c>
      <c r="D4" s="282"/>
    </row>
    <row r="5" spans="1:4" x14ac:dyDescent="0.25">
      <c r="A5" s="179" t="s">
        <v>239</v>
      </c>
      <c r="B5" s="192">
        <v>8.5000000000000006E-3</v>
      </c>
      <c r="C5" s="192">
        <v>8.5000000000000006E-3</v>
      </c>
      <c r="D5" s="282"/>
    </row>
    <row r="6" spans="1:4" x14ac:dyDescent="0.25">
      <c r="A6" s="179" t="s">
        <v>240</v>
      </c>
      <c r="B6" s="192">
        <v>8.5000000000000006E-3</v>
      </c>
      <c r="C6" s="192">
        <v>8.5000000000000006E-3</v>
      </c>
      <c r="D6" s="282"/>
    </row>
    <row r="7" spans="1:4" x14ac:dyDescent="0.25">
      <c r="A7" s="179" t="s">
        <v>241</v>
      </c>
      <c r="B7" s="192">
        <v>5.11E-2</v>
      </c>
      <c r="C7" s="192">
        <v>5.11E-2</v>
      </c>
      <c r="D7" s="282"/>
    </row>
    <row r="8" spans="1:4" x14ac:dyDescent="0.25">
      <c r="A8" s="179" t="s">
        <v>242</v>
      </c>
      <c r="B8" s="193">
        <v>0.14249999999999999</v>
      </c>
      <c r="C8" s="193">
        <v>9.2499999999999999E-2</v>
      </c>
      <c r="D8" s="194" t="s">
        <v>243</v>
      </c>
    </row>
    <row r="9" spans="1:4" x14ac:dyDescent="0.25">
      <c r="A9" s="180" t="s">
        <v>244</v>
      </c>
      <c r="B9" s="182">
        <f>((((1+(B3+B4+B5))*(1+B6)*(1+B7))/(1-B8))-1)</f>
        <v>0.29528162324198237</v>
      </c>
      <c r="C9" s="182">
        <f>((((1+(C3+C4+C5))*(1+C6)*(1+C7))/(1-C8))-1)</f>
        <v>0.22391624455096415</v>
      </c>
      <c r="D9" s="175"/>
    </row>
    <row r="10" spans="1:4" x14ac:dyDescent="0.25">
      <c r="A10" s="181"/>
      <c r="B10" s="181"/>
      <c r="C10" s="181"/>
      <c r="D10" s="175"/>
    </row>
    <row r="11" spans="1:4" x14ac:dyDescent="0.25">
      <c r="B11" s="284" t="s">
        <v>245</v>
      </c>
      <c r="C11" s="284"/>
      <c r="D11" s="175"/>
    </row>
    <row r="12" spans="1:4" x14ac:dyDescent="0.25">
      <c r="B12" s="195" t="s">
        <v>246</v>
      </c>
      <c r="C12" s="196">
        <v>7.5999999999999998E-2</v>
      </c>
      <c r="D12" s="283" t="s">
        <v>247</v>
      </c>
    </row>
    <row r="13" spans="1:4" x14ac:dyDescent="0.25">
      <c r="B13" s="195" t="s">
        <v>248</v>
      </c>
      <c r="C13" s="196">
        <v>1.6500000000000001E-2</v>
      </c>
      <c r="D13" s="283"/>
    </row>
    <row r="14" spans="1:4" x14ac:dyDescent="0.25">
      <c r="B14" s="195" t="s">
        <v>249</v>
      </c>
      <c r="C14" s="196">
        <v>0.05</v>
      </c>
      <c r="D14" s="194"/>
    </row>
  </sheetData>
  <mergeCells count="4">
    <mergeCell ref="A1:C1"/>
    <mergeCell ref="D3:D7"/>
    <mergeCell ref="D12:D13"/>
    <mergeCell ref="B11:C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E009D-C41F-483C-8EF5-C343BAB48320}">
  <sheetPr>
    <tabColor theme="4" tint="0.79998168889431442"/>
    <pageSetUpPr fitToPage="1"/>
  </sheetPr>
  <dimension ref="A1:E125"/>
  <sheetViews>
    <sheetView showGridLines="0" workbookViewId="0">
      <selection activeCell="E110" sqref="E110"/>
    </sheetView>
  </sheetViews>
  <sheetFormatPr defaultColWidth="8.85546875" defaultRowHeight="14.25" x14ac:dyDescent="0.25"/>
  <cols>
    <col min="1" max="1" width="3.85546875" style="58" customWidth="1"/>
    <col min="2" max="2" width="70.7109375" style="67" customWidth="1"/>
    <col min="3" max="3" width="14.7109375" style="58" customWidth="1"/>
    <col min="4" max="4" width="23.7109375" style="136" customWidth="1"/>
    <col min="5" max="5" width="100.140625" style="49" customWidth="1"/>
    <col min="6" max="222" width="8.85546875" style="7"/>
    <col min="223" max="223" width="1.85546875" style="7" customWidth="1"/>
    <col min="224" max="224" width="7.28515625" style="7" customWidth="1"/>
    <col min="225" max="225" width="9.85546875" style="7" customWidth="1"/>
    <col min="226" max="226" width="12.7109375" style="7" customWidth="1"/>
    <col min="227" max="227" width="11.140625" style="7" customWidth="1"/>
    <col min="228" max="228" width="10.85546875" style="7" customWidth="1"/>
    <col min="229" max="229" width="11.42578125" style="7" customWidth="1"/>
    <col min="230" max="230" width="13.42578125" style="7" customWidth="1"/>
    <col min="231" max="231" width="11.140625" style="7" customWidth="1"/>
    <col min="232" max="232" width="11.28515625" style="7" bestFit="1" customWidth="1"/>
    <col min="233" max="233" width="11.42578125" style="7" customWidth="1"/>
    <col min="234" max="234" width="8.85546875" style="7" customWidth="1"/>
    <col min="235" max="235" width="9.85546875" style="7" bestFit="1" customWidth="1"/>
    <col min="236" max="236" width="8.85546875" style="7"/>
    <col min="237" max="237" width="9.42578125" style="7" bestFit="1" customWidth="1"/>
    <col min="238" max="478" width="8.85546875" style="7"/>
    <col min="479" max="479" width="1.85546875" style="7" customWidth="1"/>
    <col min="480" max="480" width="7.28515625" style="7" customWidth="1"/>
    <col min="481" max="481" width="9.85546875" style="7" customWidth="1"/>
    <col min="482" max="482" width="12.7109375" style="7" customWidth="1"/>
    <col min="483" max="483" width="11.140625" style="7" customWidth="1"/>
    <col min="484" max="484" width="10.85546875" style="7" customWidth="1"/>
    <col min="485" max="485" width="11.42578125" style="7" customWidth="1"/>
    <col min="486" max="486" width="13.42578125" style="7" customWidth="1"/>
    <col min="487" max="487" width="11.140625" style="7" customWidth="1"/>
    <col min="488" max="488" width="11.28515625" style="7" bestFit="1" customWidth="1"/>
    <col min="489" max="489" width="11.42578125" style="7" customWidth="1"/>
    <col min="490" max="490" width="8.85546875" style="7" customWidth="1"/>
    <col min="491" max="491" width="9.85546875" style="7" bestFit="1" customWidth="1"/>
    <col min="492" max="492" width="8.85546875" style="7"/>
    <col min="493" max="493" width="9.42578125" style="7" bestFit="1" customWidth="1"/>
    <col min="494" max="734" width="8.85546875" style="7"/>
    <col min="735" max="735" width="1.85546875" style="7" customWidth="1"/>
    <col min="736" max="736" width="7.28515625" style="7" customWidth="1"/>
    <col min="737" max="737" width="9.85546875" style="7" customWidth="1"/>
    <col min="738" max="738" width="12.7109375" style="7" customWidth="1"/>
    <col min="739" max="739" width="11.140625" style="7" customWidth="1"/>
    <col min="740" max="740" width="10.85546875" style="7" customWidth="1"/>
    <col min="741" max="741" width="11.42578125" style="7" customWidth="1"/>
    <col min="742" max="742" width="13.42578125" style="7" customWidth="1"/>
    <col min="743" max="743" width="11.140625" style="7" customWidth="1"/>
    <col min="744" max="744" width="11.28515625" style="7" bestFit="1" customWidth="1"/>
    <col min="745" max="745" width="11.42578125" style="7" customWidth="1"/>
    <col min="746" max="746" width="8.85546875" style="7" customWidth="1"/>
    <col min="747" max="747" width="9.85546875" style="7" bestFit="1" customWidth="1"/>
    <col min="748" max="748" width="8.85546875" style="7"/>
    <col min="749" max="749" width="9.42578125" style="7" bestFit="1" customWidth="1"/>
    <col min="750" max="990" width="8.85546875" style="7"/>
    <col min="991" max="991" width="1.85546875" style="7" customWidth="1"/>
    <col min="992" max="992" width="7.28515625" style="7" customWidth="1"/>
    <col min="993" max="993" width="9.85546875" style="7" customWidth="1"/>
    <col min="994" max="994" width="12.7109375" style="7" customWidth="1"/>
    <col min="995" max="995" width="11.140625" style="7" customWidth="1"/>
    <col min="996" max="996" width="10.85546875" style="7" customWidth="1"/>
    <col min="997" max="997" width="11.42578125" style="7" customWidth="1"/>
    <col min="998" max="998" width="13.42578125" style="7" customWidth="1"/>
    <col min="999" max="999" width="11.140625" style="7" customWidth="1"/>
    <col min="1000" max="1000" width="11.28515625" style="7" bestFit="1" customWidth="1"/>
    <col min="1001" max="1001" width="11.42578125" style="7" customWidth="1"/>
    <col min="1002" max="1002" width="8.85546875" style="7" customWidth="1"/>
    <col min="1003" max="1003" width="9.85546875" style="7" bestFit="1" customWidth="1"/>
    <col min="1004" max="1004" width="8.85546875" style="7"/>
    <col min="1005" max="1005" width="9.42578125" style="7" bestFit="1" customWidth="1"/>
    <col min="1006" max="1246" width="8.85546875" style="7"/>
    <col min="1247" max="1247" width="1.85546875" style="7" customWidth="1"/>
    <col min="1248" max="1248" width="7.28515625" style="7" customWidth="1"/>
    <col min="1249" max="1249" width="9.85546875" style="7" customWidth="1"/>
    <col min="1250" max="1250" width="12.7109375" style="7" customWidth="1"/>
    <col min="1251" max="1251" width="11.140625" style="7" customWidth="1"/>
    <col min="1252" max="1252" width="10.85546875" style="7" customWidth="1"/>
    <col min="1253" max="1253" width="11.42578125" style="7" customWidth="1"/>
    <col min="1254" max="1254" width="13.42578125" style="7" customWidth="1"/>
    <col min="1255" max="1255" width="11.140625" style="7" customWidth="1"/>
    <col min="1256" max="1256" width="11.28515625" style="7" bestFit="1" customWidth="1"/>
    <col min="1257" max="1257" width="11.42578125" style="7" customWidth="1"/>
    <col min="1258" max="1258" width="8.85546875" style="7" customWidth="1"/>
    <col min="1259" max="1259" width="9.85546875" style="7" bestFit="1" customWidth="1"/>
    <col min="1260" max="1260" width="8.85546875" style="7"/>
    <col min="1261" max="1261" width="9.42578125" style="7" bestFit="1" customWidth="1"/>
    <col min="1262" max="1502" width="8.85546875" style="7"/>
    <col min="1503" max="1503" width="1.85546875" style="7" customWidth="1"/>
    <col min="1504" max="1504" width="7.28515625" style="7" customWidth="1"/>
    <col min="1505" max="1505" width="9.85546875" style="7" customWidth="1"/>
    <col min="1506" max="1506" width="12.7109375" style="7" customWidth="1"/>
    <col min="1507" max="1507" width="11.140625" style="7" customWidth="1"/>
    <col min="1508" max="1508" width="10.85546875" style="7" customWidth="1"/>
    <col min="1509" max="1509" width="11.42578125" style="7" customWidth="1"/>
    <col min="1510" max="1510" width="13.42578125" style="7" customWidth="1"/>
    <col min="1511" max="1511" width="11.140625" style="7" customWidth="1"/>
    <col min="1512" max="1512" width="11.28515625" style="7" bestFit="1" customWidth="1"/>
    <col min="1513" max="1513" width="11.42578125" style="7" customWidth="1"/>
    <col min="1514" max="1514" width="8.85546875" style="7" customWidth="1"/>
    <col min="1515" max="1515" width="9.85546875" style="7" bestFit="1" customWidth="1"/>
    <col min="1516" max="1516" width="8.85546875" style="7"/>
    <col min="1517" max="1517" width="9.42578125" style="7" bestFit="1" customWidth="1"/>
    <col min="1518" max="1758" width="8.85546875" style="7"/>
    <col min="1759" max="1759" width="1.85546875" style="7" customWidth="1"/>
    <col min="1760" max="1760" width="7.28515625" style="7" customWidth="1"/>
    <col min="1761" max="1761" width="9.85546875" style="7" customWidth="1"/>
    <col min="1762" max="1762" width="12.7109375" style="7" customWidth="1"/>
    <col min="1763" max="1763" width="11.140625" style="7" customWidth="1"/>
    <col min="1764" max="1764" width="10.85546875" style="7" customWidth="1"/>
    <col min="1765" max="1765" width="11.42578125" style="7" customWidth="1"/>
    <col min="1766" max="1766" width="13.42578125" style="7" customWidth="1"/>
    <col min="1767" max="1767" width="11.140625" style="7" customWidth="1"/>
    <col min="1768" max="1768" width="11.28515625" style="7" bestFit="1" customWidth="1"/>
    <col min="1769" max="1769" width="11.42578125" style="7" customWidth="1"/>
    <col min="1770" max="1770" width="8.85546875" style="7" customWidth="1"/>
    <col min="1771" max="1771" width="9.85546875" style="7" bestFit="1" customWidth="1"/>
    <col min="1772" max="1772" width="8.85546875" style="7"/>
    <col min="1773" max="1773" width="9.42578125" style="7" bestFit="1" customWidth="1"/>
    <col min="1774" max="2014" width="8.85546875" style="7"/>
    <col min="2015" max="2015" width="1.85546875" style="7" customWidth="1"/>
    <col min="2016" max="2016" width="7.28515625" style="7" customWidth="1"/>
    <col min="2017" max="2017" width="9.85546875" style="7" customWidth="1"/>
    <col min="2018" max="2018" width="12.7109375" style="7" customWidth="1"/>
    <col min="2019" max="2019" width="11.140625" style="7" customWidth="1"/>
    <col min="2020" max="2020" width="10.85546875" style="7" customWidth="1"/>
    <col min="2021" max="2021" width="11.42578125" style="7" customWidth="1"/>
    <col min="2022" max="2022" width="13.42578125" style="7" customWidth="1"/>
    <col min="2023" max="2023" width="11.140625" style="7" customWidth="1"/>
    <col min="2024" max="2024" width="11.28515625" style="7" bestFit="1" customWidth="1"/>
    <col min="2025" max="2025" width="11.42578125" style="7" customWidth="1"/>
    <col min="2026" max="2026" width="8.85546875" style="7" customWidth="1"/>
    <col min="2027" max="2027" width="9.85546875" style="7" bestFit="1" customWidth="1"/>
    <col min="2028" max="2028" width="8.85546875" style="7"/>
    <col min="2029" max="2029" width="9.42578125" style="7" bestFit="1" customWidth="1"/>
    <col min="2030" max="2270" width="8.85546875" style="7"/>
    <col min="2271" max="2271" width="1.85546875" style="7" customWidth="1"/>
    <col min="2272" max="2272" width="7.28515625" style="7" customWidth="1"/>
    <col min="2273" max="2273" width="9.85546875" style="7" customWidth="1"/>
    <col min="2274" max="2274" width="12.7109375" style="7" customWidth="1"/>
    <col min="2275" max="2275" width="11.140625" style="7" customWidth="1"/>
    <col min="2276" max="2276" width="10.85546875" style="7" customWidth="1"/>
    <col min="2277" max="2277" width="11.42578125" style="7" customWidth="1"/>
    <col min="2278" max="2278" width="13.42578125" style="7" customWidth="1"/>
    <col min="2279" max="2279" width="11.140625" style="7" customWidth="1"/>
    <col min="2280" max="2280" width="11.28515625" style="7" bestFit="1" customWidth="1"/>
    <col min="2281" max="2281" width="11.42578125" style="7" customWidth="1"/>
    <col min="2282" max="2282" width="8.85546875" style="7" customWidth="1"/>
    <col min="2283" max="2283" width="9.85546875" style="7" bestFit="1" customWidth="1"/>
    <col min="2284" max="2284" width="8.85546875" style="7"/>
    <col min="2285" max="2285" width="9.42578125" style="7" bestFit="1" customWidth="1"/>
    <col min="2286" max="2526" width="8.85546875" style="7"/>
    <col min="2527" max="2527" width="1.85546875" style="7" customWidth="1"/>
    <col min="2528" max="2528" width="7.28515625" style="7" customWidth="1"/>
    <col min="2529" max="2529" width="9.85546875" style="7" customWidth="1"/>
    <col min="2530" max="2530" width="12.7109375" style="7" customWidth="1"/>
    <col min="2531" max="2531" width="11.140625" style="7" customWidth="1"/>
    <col min="2532" max="2532" width="10.85546875" style="7" customWidth="1"/>
    <col min="2533" max="2533" width="11.42578125" style="7" customWidth="1"/>
    <col min="2534" max="2534" width="13.42578125" style="7" customWidth="1"/>
    <col min="2535" max="2535" width="11.140625" style="7" customWidth="1"/>
    <col min="2536" max="2536" width="11.28515625" style="7" bestFit="1" customWidth="1"/>
    <col min="2537" max="2537" width="11.42578125" style="7" customWidth="1"/>
    <col min="2538" max="2538" width="8.85546875" style="7" customWidth="1"/>
    <col min="2539" max="2539" width="9.85546875" style="7" bestFit="1" customWidth="1"/>
    <col min="2540" max="2540" width="8.85546875" style="7"/>
    <col min="2541" max="2541" width="9.42578125" style="7" bestFit="1" customWidth="1"/>
    <col min="2542" max="2782" width="8.85546875" style="7"/>
    <col min="2783" max="2783" width="1.85546875" style="7" customWidth="1"/>
    <col min="2784" max="2784" width="7.28515625" style="7" customWidth="1"/>
    <col min="2785" max="2785" width="9.85546875" style="7" customWidth="1"/>
    <col min="2786" max="2786" width="12.7109375" style="7" customWidth="1"/>
    <col min="2787" max="2787" width="11.140625" style="7" customWidth="1"/>
    <col min="2788" max="2788" width="10.85546875" style="7" customWidth="1"/>
    <col min="2789" max="2789" width="11.42578125" style="7" customWidth="1"/>
    <col min="2790" max="2790" width="13.42578125" style="7" customWidth="1"/>
    <col min="2791" max="2791" width="11.140625" style="7" customWidth="1"/>
    <col min="2792" max="2792" width="11.28515625" style="7" bestFit="1" customWidth="1"/>
    <col min="2793" max="2793" width="11.42578125" style="7" customWidth="1"/>
    <col min="2794" max="2794" width="8.85546875" style="7" customWidth="1"/>
    <col min="2795" max="2795" width="9.85546875" style="7" bestFit="1" customWidth="1"/>
    <col min="2796" max="2796" width="8.85546875" style="7"/>
    <col min="2797" max="2797" width="9.42578125" style="7" bestFit="1" customWidth="1"/>
    <col min="2798" max="3038" width="8.85546875" style="7"/>
    <col min="3039" max="3039" width="1.85546875" style="7" customWidth="1"/>
    <col min="3040" max="3040" width="7.28515625" style="7" customWidth="1"/>
    <col min="3041" max="3041" width="9.85546875" style="7" customWidth="1"/>
    <col min="3042" max="3042" width="12.7109375" style="7" customWidth="1"/>
    <col min="3043" max="3043" width="11.140625" style="7" customWidth="1"/>
    <col min="3044" max="3044" width="10.85546875" style="7" customWidth="1"/>
    <col min="3045" max="3045" width="11.42578125" style="7" customWidth="1"/>
    <col min="3046" max="3046" width="13.42578125" style="7" customWidth="1"/>
    <col min="3047" max="3047" width="11.140625" style="7" customWidth="1"/>
    <col min="3048" max="3048" width="11.28515625" style="7" bestFit="1" customWidth="1"/>
    <col min="3049" max="3049" width="11.42578125" style="7" customWidth="1"/>
    <col min="3050" max="3050" width="8.85546875" style="7" customWidth="1"/>
    <col min="3051" max="3051" width="9.85546875" style="7" bestFit="1" customWidth="1"/>
    <col min="3052" max="3052" width="8.85546875" style="7"/>
    <col min="3053" max="3053" width="9.42578125" style="7" bestFit="1" customWidth="1"/>
    <col min="3054" max="3294" width="8.85546875" style="7"/>
    <col min="3295" max="3295" width="1.85546875" style="7" customWidth="1"/>
    <col min="3296" max="3296" width="7.28515625" style="7" customWidth="1"/>
    <col min="3297" max="3297" width="9.85546875" style="7" customWidth="1"/>
    <col min="3298" max="3298" width="12.7109375" style="7" customWidth="1"/>
    <col min="3299" max="3299" width="11.140625" style="7" customWidth="1"/>
    <col min="3300" max="3300" width="10.85546875" style="7" customWidth="1"/>
    <col min="3301" max="3301" width="11.42578125" style="7" customWidth="1"/>
    <col min="3302" max="3302" width="13.42578125" style="7" customWidth="1"/>
    <col min="3303" max="3303" width="11.140625" style="7" customWidth="1"/>
    <col min="3304" max="3304" width="11.28515625" style="7" bestFit="1" customWidth="1"/>
    <col min="3305" max="3305" width="11.42578125" style="7" customWidth="1"/>
    <col min="3306" max="3306" width="8.85546875" style="7" customWidth="1"/>
    <col min="3307" max="3307" width="9.85546875" style="7" bestFit="1" customWidth="1"/>
    <col min="3308" max="3308" width="8.85546875" style="7"/>
    <col min="3309" max="3309" width="9.42578125" style="7" bestFit="1" customWidth="1"/>
    <col min="3310" max="3550" width="8.85546875" style="7"/>
    <col min="3551" max="3551" width="1.85546875" style="7" customWidth="1"/>
    <col min="3552" max="3552" width="7.28515625" style="7" customWidth="1"/>
    <col min="3553" max="3553" width="9.85546875" style="7" customWidth="1"/>
    <col min="3554" max="3554" width="12.7109375" style="7" customWidth="1"/>
    <col min="3555" max="3555" width="11.140625" style="7" customWidth="1"/>
    <col min="3556" max="3556" width="10.85546875" style="7" customWidth="1"/>
    <col min="3557" max="3557" width="11.42578125" style="7" customWidth="1"/>
    <col min="3558" max="3558" width="13.42578125" style="7" customWidth="1"/>
    <col min="3559" max="3559" width="11.140625" style="7" customWidth="1"/>
    <col min="3560" max="3560" width="11.28515625" style="7" bestFit="1" customWidth="1"/>
    <col min="3561" max="3561" width="11.42578125" style="7" customWidth="1"/>
    <col min="3562" max="3562" width="8.85546875" style="7" customWidth="1"/>
    <col min="3563" max="3563" width="9.85546875" style="7" bestFit="1" customWidth="1"/>
    <col min="3564" max="3564" width="8.85546875" style="7"/>
    <col min="3565" max="3565" width="9.42578125" style="7" bestFit="1" customWidth="1"/>
    <col min="3566" max="3806" width="8.85546875" style="7"/>
    <col min="3807" max="3807" width="1.85546875" style="7" customWidth="1"/>
    <col min="3808" max="3808" width="7.28515625" style="7" customWidth="1"/>
    <col min="3809" max="3809" width="9.85546875" style="7" customWidth="1"/>
    <col min="3810" max="3810" width="12.7109375" style="7" customWidth="1"/>
    <col min="3811" max="3811" width="11.140625" style="7" customWidth="1"/>
    <col min="3812" max="3812" width="10.85546875" style="7" customWidth="1"/>
    <col min="3813" max="3813" width="11.42578125" style="7" customWidth="1"/>
    <col min="3814" max="3814" width="13.42578125" style="7" customWidth="1"/>
    <col min="3815" max="3815" width="11.140625" style="7" customWidth="1"/>
    <col min="3816" max="3816" width="11.28515625" style="7" bestFit="1" customWidth="1"/>
    <col min="3817" max="3817" width="11.42578125" style="7" customWidth="1"/>
    <col min="3818" max="3818" width="8.85546875" style="7" customWidth="1"/>
    <col min="3819" max="3819" width="9.85546875" style="7" bestFit="1" customWidth="1"/>
    <col min="3820" max="3820" width="8.85546875" style="7"/>
    <col min="3821" max="3821" width="9.42578125" style="7" bestFit="1" customWidth="1"/>
    <col min="3822" max="4062" width="8.85546875" style="7"/>
    <col min="4063" max="4063" width="1.85546875" style="7" customWidth="1"/>
    <col min="4064" max="4064" width="7.28515625" style="7" customWidth="1"/>
    <col min="4065" max="4065" width="9.85546875" style="7" customWidth="1"/>
    <col min="4066" max="4066" width="12.7109375" style="7" customWidth="1"/>
    <col min="4067" max="4067" width="11.140625" style="7" customWidth="1"/>
    <col min="4068" max="4068" width="10.85546875" style="7" customWidth="1"/>
    <col min="4069" max="4069" width="11.42578125" style="7" customWidth="1"/>
    <col min="4070" max="4070" width="13.42578125" style="7" customWidth="1"/>
    <col min="4071" max="4071" width="11.140625" style="7" customWidth="1"/>
    <col min="4072" max="4072" width="11.28515625" style="7" bestFit="1" customWidth="1"/>
    <col min="4073" max="4073" width="11.42578125" style="7" customWidth="1"/>
    <col min="4074" max="4074" width="8.85546875" style="7" customWidth="1"/>
    <col min="4075" max="4075" width="9.85546875" style="7" bestFit="1" customWidth="1"/>
    <col min="4076" max="4076" width="8.85546875" style="7"/>
    <col min="4077" max="4077" width="9.42578125" style="7" bestFit="1" customWidth="1"/>
    <col min="4078" max="4318" width="8.85546875" style="7"/>
    <col min="4319" max="4319" width="1.85546875" style="7" customWidth="1"/>
    <col min="4320" max="4320" width="7.28515625" style="7" customWidth="1"/>
    <col min="4321" max="4321" width="9.85546875" style="7" customWidth="1"/>
    <col min="4322" max="4322" width="12.7109375" style="7" customWidth="1"/>
    <col min="4323" max="4323" width="11.140625" style="7" customWidth="1"/>
    <col min="4324" max="4324" width="10.85546875" style="7" customWidth="1"/>
    <col min="4325" max="4325" width="11.42578125" style="7" customWidth="1"/>
    <col min="4326" max="4326" width="13.42578125" style="7" customWidth="1"/>
    <col min="4327" max="4327" width="11.140625" style="7" customWidth="1"/>
    <col min="4328" max="4328" width="11.28515625" style="7" bestFit="1" customWidth="1"/>
    <col min="4329" max="4329" width="11.42578125" style="7" customWidth="1"/>
    <col min="4330" max="4330" width="8.85546875" style="7" customWidth="1"/>
    <col min="4331" max="4331" width="9.85546875" style="7" bestFit="1" customWidth="1"/>
    <col min="4332" max="4332" width="8.85546875" style="7"/>
    <col min="4333" max="4333" width="9.42578125" style="7" bestFit="1" customWidth="1"/>
    <col min="4334" max="4574" width="8.85546875" style="7"/>
    <col min="4575" max="4575" width="1.85546875" style="7" customWidth="1"/>
    <col min="4576" max="4576" width="7.28515625" style="7" customWidth="1"/>
    <col min="4577" max="4577" width="9.85546875" style="7" customWidth="1"/>
    <col min="4578" max="4578" width="12.7109375" style="7" customWidth="1"/>
    <col min="4579" max="4579" width="11.140625" style="7" customWidth="1"/>
    <col min="4580" max="4580" width="10.85546875" style="7" customWidth="1"/>
    <col min="4581" max="4581" width="11.42578125" style="7" customWidth="1"/>
    <col min="4582" max="4582" width="13.42578125" style="7" customWidth="1"/>
    <col min="4583" max="4583" width="11.140625" style="7" customWidth="1"/>
    <col min="4584" max="4584" width="11.28515625" style="7" bestFit="1" customWidth="1"/>
    <col min="4585" max="4585" width="11.42578125" style="7" customWidth="1"/>
    <col min="4586" max="4586" width="8.85546875" style="7" customWidth="1"/>
    <col min="4587" max="4587" width="9.85546875" style="7" bestFit="1" customWidth="1"/>
    <col min="4588" max="4588" width="8.85546875" style="7"/>
    <col min="4589" max="4589" width="9.42578125" style="7" bestFit="1" customWidth="1"/>
    <col min="4590" max="4830" width="8.85546875" style="7"/>
    <col min="4831" max="4831" width="1.85546875" style="7" customWidth="1"/>
    <col min="4832" max="4832" width="7.28515625" style="7" customWidth="1"/>
    <col min="4833" max="4833" width="9.85546875" style="7" customWidth="1"/>
    <col min="4834" max="4834" width="12.7109375" style="7" customWidth="1"/>
    <col min="4835" max="4835" width="11.140625" style="7" customWidth="1"/>
    <col min="4836" max="4836" width="10.85546875" style="7" customWidth="1"/>
    <col min="4837" max="4837" width="11.42578125" style="7" customWidth="1"/>
    <col min="4838" max="4838" width="13.42578125" style="7" customWidth="1"/>
    <col min="4839" max="4839" width="11.140625" style="7" customWidth="1"/>
    <col min="4840" max="4840" width="11.28515625" style="7" bestFit="1" customWidth="1"/>
    <col min="4841" max="4841" width="11.42578125" style="7" customWidth="1"/>
    <col min="4842" max="4842" width="8.85546875" style="7" customWidth="1"/>
    <col min="4843" max="4843" width="9.85546875" style="7" bestFit="1" customWidth="1"/>
    <col min="4844" max="4844" width="8.85546875" style="7"/>
    <col min="4845" max="4845" width="9.42578125" style="7" bestFit="1" customWidth="1"/>
    <col min="4846" max="5086" width="8.85546875" style="7"/>
    <col min="5087" max="5087" width="1.85546875" style="7" customWidth="1"/>
    <col min="5088" max="5088" width="7.28515625" style="7" customWidth="1"/>
    <col min="5089" max="5089" width="9.85546875" style="7" customWidth="1"/>
    <col min="5090" max="5090" width="12.7109375" style="7" customWidth="1"/>
    <col min="5091" max="5091" width="11.140625" style="7" customWidth="1"/>
    <col min="5092" max="5092" width="10.85546875" style="7" customWidth="1"/>
    <col min="5093" max="5093" width="11.42578125" style="7" customWidth="1"/>
    <col min="5094" max="5094" width="13.42578125" style="7" customWidth="1"/>
    <col min="5095" max="5095" width="11.140625" style="7" customWidth="1"/>
    <col min="5096" max="5096" width="11.28515625" style="7" bestFit="1" customWidth="1"/>
    <col min="5097" max="5097" width="11.42578125" style="7" customWidth="1"/>
    <col min="5098" max="5098" width="8.85546875" style="7" customWidth="1"/>
    <col min="5099" max="5099" width="9.85546875" style="7" bestFit="1" customWidth="1"/>
    <col min="5100" max="5100" width="8.85546875" style="7"/>
    <col min="5101" max="5101" width="9.42578125" style="7" bestFit="1" customWidth="1"/>
    <col min="5102" max="5342" width="8.85546875" style="7"/>
    <col min="5343" max="5343" width="1.85546875" style="7" customWidth="1"/>
    <col min="5344" max="5344" width="7.28515625" style="7" customWidth="1"/>
    <col min="5345" max="5345" width="9.85546875" style="7" customWidth="1"/>
    <col min="5346" max="5346" width="12.7109375" style="7" customWidth="1"/>
    <col min="5347" max="5347" width="11.140625" style="7" customWidth="1"/>
    <col min="5348" max="5348" width="10.85546875" style="7" customWidth="1"/>
    <col min="5349" max="5349" width="11.42578125" style="7" customWidth="1"/>
    <col min="5350" max="5350" width="13.42578125" style="7" customWidth="1"/>
    <col min="5351" max="5351" width="11.140625" style="7" customWidth="1"/>
    <col min="5352" max="5352" width="11.28515625" style="7" bestFit="1" customWidth="1"/>
    <col min="5353" max="5353" width="11.42578125" style="7" customWidth="1"/>
    <col min="5354" max="5354" width="8.85546875" style="7" customWidth="1"/>
    <col min="5355" max="5355" width="9.85546875" style="7" bestFit="1" customWidth="1"/>
    <col min="5356" max="5356" width="8.85546875" style="7"/>
    <col min="5357" max="5357" width="9.42578125" style="7" bestFit="1" customWidth="1"/>
    <col min="5358" max="5598" width="8.85546875" style="7"/>
    <col min="5599" max="5599" width="1.85546875" style="7" customWidth="1"/>
    <col min="5600" max="5600" width="7.28515625" style="7" customWidth="1"/>
    <col min="5601" max="5601" width="9.85546875" style="7" customWidth="1"/>
    <col min="5602" max="5602" width="12.7109375" style="7" customWidth="1"/>
    <col min="5603" max="5603" width="11.140625" style="7" customWidth="1"/>
    <col min="5604" max="5604" width="10.85546875" style="7" customWidth="1"/>
    <col min="5605" max="5605" width="11.42578125" style="7" customWidth="1"/>
    <col min="5606" max="5606" width="13.42578125" style="7" customWidth="1"/>
    <col min="5607" max="5607" width="11.140625" style="7" customWidth="1"/>
    <col min="5608" max="5608" width="11.28515625" style="7" bestFit="1" customWidth="1"/>
    <col min="5609" max="5609" width="11.42578125" style="7" customWidth="1"/>
    <col min="5610" max="5610" width="8.85546875" style="7" customWidth="1"/>
    <col min="5611" max="5611" width="9.85546875" style="7" bestFit="1" customWidth="1"/>
    <col min="5612" max="5612" width="8.85546875" style="7"/>
    <col min="5613" max="5613" width="9.42578125" style="7" bestFit="1" customWidth="1"/>
    <col min="5614" max="5854" width="8.85546875" style="7"/>
    <col min="5855" max="5855" width="1.85546875" style="7" customWidth="1"/>
    <col min="5856" max="5856" width="7.28515625" style="7" customWidth="1"/>
    <col min="5857" max="5857" width="9.85546875" style="7" customWidth="1"/>
    <col min="5858" max="5858" width="12.7109375" style="7" customWidth="1"/>
    <col min="5859" max="5859" width="11.140625" style="7" customWidth="1"/>
    <col min="5860" max="5860" width="10.85546875" style="7" customWidth="1"/>
    <col min="5861" max="5861" width="11.42578125" style="7" customWidth="1"/>
    <col min="5862" max="5862" width="13.42578125" style="7" customWidth="1"/>
    <col min="5863" max="5863" width="11.140625" style="7" customWidth="1"/>
    <col min="5864" max="5864" width="11.28515625" style="7" bestFit="1" customWidth="1"/>
    <col min="5865" max="5865" width="11.42578125" style="7" customWidth="1"/>
    <col min="5866" max="5866" width="8.85546875" style="7" customWidth="1"/>
    <col min="5867" max="5867" width="9.85546875" style="7" bestFit="1" customWidth="1"/>
    <col min="5868" max="5868" width="8.85546875" style="7"/>
    <col min="5869" max="5869" width="9.42578125" style="7" bestFit="1" customWidth="1"/>
    <col min="5870" max="6110" width="8.85546875" style="7"/>
    <col min="6111" max="6111" width="1.85546875" style="7" customWidth="1"/>
    <col min="6112" max="6112" width="7.28515625" style="7" customWidth="1"/>
    <col min="6113" max="6113" width="9.85546875" style="7" customWidth="1"/>
    <col min="6114" max="6114" width="12.7109375" style="7" customWidth="1"/>
    <col min="6115" max="6115" width="11.140625" style="7" customWidth="1"/>
    <col min="6116" max="6116" width="10.85546875" style="7" customWidth="1"/>
    <col min="6117" max="6117" width="11.42578125" style="7" customWidth="1"/>
    <col min="6118" max="6118" width="13.42578125" style="7" customWidth="1"/>
    <col min="6119" max="6119" width="11.140625" style="7" customWidth="1"/>
    <col min="6120" max="6120" width="11.28515625" style="7" bestFit="1" customWidth="1"/>
    <col min="6121" max="6121" width="11.42578125" style="7" customWidth="1"/>
    <col min="6122" max="6122" width="8.85546875" style="7" customWidth="1"/>
    <col min="6123" max="6123" width="9.85546875" style="7" bestFit="1" customWidth="1"/>
    <col min="6124" max="6124" width="8.85546875" style="7"/>
    <col min="6125" max="6125" width="9.42578125" style="7" bestFit="1" customWidth="1"/>
    <col min="6126" max="6366" width="8.85546875" style="7"/>
    <col min="6367" max="6367" width="1.85546875" style="7" customWidth="1"/>
    <col min="6368" max="6368" width="7.28515625" style="7" customWidth="1"/>
    <col min="6369" max="6369" width="9.85546875" style="7" customWidth="1"/>
    <col min="6370" max="6370" width="12.7109375" style="7" customWidth="1"/>
    <col min="6371" max="6371" width="11.140625" style="7" customWidth="1"/>
    <col min="6372" max="6372" width="10.85546875" style="7" customWidth="1"/>
    <col min="6373" max="6373" width="11.42578125" style="7" customWidth="1"/>
    <col min="6374" max="6374" width="13.42578125" style="7" customWidth="1"/>
    <col min="6375" max="6375" width="11.140625" style="7" customWidth="1"/>
    <col min="6376" max="6376" width="11.28515625" style="7" bestFit="1" customWidth="1"/>
    <col min="6377" max="6377" width="11.42578125" style="7" customWidth="1"/>
    <col min="6378" max="6378" width="8.85546875" style="7" customWidth="1"/>
    <col min="6379" max="6379" width="9.85546875" style="7" bestFit="1" customWidth="1"/>
    <col min="6380" max="6380" width="8.85546875" style="7"/>
    <col min="6381" max="6381" width="9.42578125" style="7" bestFit="1" customWidth="1"/>
    <col min="6382" max="6622" width="8.85546875" style="7"/>
    <col min="6623" max="6623" width="1.85546875" style="7" customWidth="1"/>
    <col min="6624" max="6624" width="7.28515625" style="7" customWidth="1"/>
    <col min="6625" max="6625" width="9.85546875" style="7" customWidth="1"/>
    <col min="6626" max="6626" width="12.7109375" style="7" customWidth="1"/>
    <col min="6627" max="6627" width="11.140625" style="7" customWidth="1"/>
    <col min="6628" max="6628" width="10.85546875" style="7" customWidth="1"/>
    <col min="6629" max="6629" width="11.42578125" style="7" customWidth="1"/>
    <col min="6630" max="6630" width="13.42578125" style="7" customWidth="1"/>
    <col min="6631" max="6631" width="11.140625" style="7" customWidth="1"/>
    <col min="6632" max="6632" width="11.28515625" style="7" bestFit="1" customWidth="1"/>
    <col min="6633" max="6633" width="11.42578125" style="7" customWidth="1"/>
    <col min="6634" max="6634" width="8.85546875" style="7" customWidth="1"/>
    <col min="6635" max="6635" width="9.85546875" style="7" bestFit="1" customWidth="1"/>
    <col min="6636" max="6636" width="8.85546875" style="7"/>
    <col min="6637" max="6637" width="9.42578125" style="7" bestFit="1" customWidth="1"/>
    <col min="6638" max="6878" width="8.85546875" style="7"/>
    <col min="6879" max="6879" width="1.85546875" style="7" customWidth="1"/>
    <col min="6880" max="6880" width="7.28515625" style="7" customWidth="1"/>
    <col min="6881" max="6881" width="9.85546875" style="7" customWidth="1"/>
    <col min="6882" max="6882" width="12.7109375" style="7" customWidth="1"/>
    <col min="6883" max="6883" width="11.140625" style="7" customWidth="1"/>
    <col min="6884" max="6884" width="10.85546875" style="7" customWidth="1"/>
    <col min="6885" max="6885" width="11.42578125" style="7" customWidth="1"/>
    <col min="6886" max="6886" width="13.42578125" style="7" customWidth="1"/>
    <col min="6887" max="6887" width="11.140625" style="7" customWidth="1"/>
    <col min="6888" max="6888" width="11.28515625" style="7" bestFit="1" customWidth="1"/>
    <col min="6889" max="6889" width="11.42578125" style="7" customWidth="1"/>
    <col min="6890" max="6890" width="8.85546875" style="7" customWidth="1"/>
    <col min="6891" max="6891" width="9.85546875" style="7" bestFit="1" customWidth="1"/>
    <col min="6892" max="6892" width="8.85546875" style="7"/>
    <col min="6893" max="6893" width="9.42578125" style="7" bestFit="1" customWidth="1"/>
    <col min="6894" max="7134" width="8.85546875" style="7"/>
    <col min="7135" max="7135" width="1.85546875" style="7" customWidth="1"/>
    <col min="7136" max="7136" width="7.28515625" style="7" customWidth="1"/>
    <col min="7137" max="7137" width="9.85546875" style="7" customWidth="1"/>
    <col min="7138" max="7138" width="12.7109375" style="7" customWidth="1"/>
    <col min="7139" max="7139" width="11.140625" style="7" customWidth="1"/>
    <col min="7140" max="7140" width="10.85546875" style="7" customWidth="1"/>
    <col min="7141" max="7141" width="11.42578125" style="7" customWidth="1"/>
    <col min="7142" max="7142" width="13.42578125" style="7" customWidth="1"/>
    <col min="7143" max="7143" width="11.140625" style="7" customWidth="1"/>
    <col min="7144" max="7144" width="11.28515625" style="7" bestFit="1" customWidth="1"/>
    <col min="7145" max="7145" width="11.42578125" style="7" customWidth="1"/>
    <col min="7146" max="7146" width="8.85546875" style="7" customWidth="1"/>
    <col min="7147" max="7147" width="9.85546875" style="7" bestFit="1" customWidth="1"/>
    <col min="7148" max="7148" width="8.85546875" style="7"/>
    <col min="7149" max="7149" width="9.42578125" style="7" bestFit="1" customWidth="1"/>
    <col min="7150" max="7390" width="8.85546875" style="7"/>
    <col min="7391" max="7391" width="1.85546875" style="7" customWidth="1"/>
    <col min="7392" max="7392" width="7.28515625" style="7" customWidth="1"/>
    <col min="7393" max="7393" width="9.85546875" style="7" customWidth="1"/>
    <col min="7394" max="7394" width="12.7109375" style="7" customWidth="1"/>
    <col min="7395" max="7395" width="11.140625" style="7" customWidth="1"/>
    <col min="7396" max="7396" width="10.85546875" style="7" customWidth="1"/>
    <col min="7397" max="7397" width="11.42578125" style="7" customWidth="1"/>
    <col min="7398" max="7398" width="13.42578125" style="7" customWidth="1"/>
    <col min="7399" max="7399" width="11.140625" style="7" customWidth="1"/>
    <col min="7400" max="7400" width="11.28515625" style="7" bestFit="1" customWidth="1"/>
    <col min="7401" max="7401" width="11.42578125" style="7" customWidth="1"/>
    <col min="7402" max="7402" width="8.85546875" style="7" customWidth="1"/>
    <col min="7403" max="7403" width="9.85546875" style="7" bestFit="1" customWidth="1"/>
    <col min="7404" max="7404" width="8.85546875" style="7"/>
    <col min="7405" max="7405" width="9.42578125" style="7" bestFit="1" customWidth="1"/>
    <col min="7406" max="7646" width="8.85546875" style="7"/>
    <col min="7647" max="7647" width="1.85546875" style="7" customWidth="1"/>
    <col min="7648" max="7648" width="7.28515625" style="7" customWidth="1"/>
    <col min="7649" max="7649" width="9.85546875" style="7" customWidth="1"/>
    <col min="7650" max="7650" width="12.7109375" style="7" customWidth="1"/>
    <col min="7651" max="7651" width="11.140625" style="7" customWidth="1"/>
    <col min="7652" max="7652" width="10.85546875" style="7" customWidth="1"/>
    <col min="7653" max="7653" width="11.42578125" style="7" customWidth="1"/>
    <col min="7654" max="7654" width="13.42578125" style="7" customWidth="1"/>
    <col min="7655" max="7655" width="11.140625" style="7" customWidth="1"/>
    <col min="7656" max="7656" width="11.28515625" style="7" bestFit="1" customWidth="1"/>
    <col min="7657" max="7657" width="11.42578125" style="7" customWidth="1"/>
    <col min="7658" max="7658" width="8.85546875" style="7" customWidth="1"/>
    <col min="7659" max="7659" width="9.85546875" style="7" bestFit="1" customWidth="1"/>
    <col min="7660" max="7660" width="8.85546875" style="7"/>
    <col min="7661" max="7661" width="9.42578125" style="7" bestFit="1" customWidth="1"/>
    <col min="7662" max="7902" width="8.85546875" style="7"/>
    <col min="7903" max="7903" width="1.85546875" style="7" customWidth="1"/>
    <col min="7904" max="7904" width="7.28515625" style="7" customWidth="1"/>
    <col min="7905" max="7905" width="9.85546875" style="7" customWidth="1"/>
    <col min="7906" max="7906" width="12.7109375" style="7" customWidth="1"/>
    <col min="7907" max="7907" width="11.140625" style="7" customWidth="1"/>
    <col min="7908" max="7908" width="10.85546875" style="7" customWidth="1"/>
    <col min="7909" max="7909" width="11.42578125" style="7" customWidth="1"/>
    <col min="7910" max="7910" width="13.42578125" style="7" customWidth="1"/>
    <col min="7911" max="7911" width="11.140625" style="7" customWidth="1"/>
    <col min="7912" max="7912" width="11.28515625" style="7" bestFit="1" customWidth="1"/>
    <col min="7913" max="7913" width="11.42578125" style="7" customWidth="1"/>
    <col min="7914" max="7914" width="8.85546875" style="7" customWidth="1"/>
    <col min="7915" max="7915" width="9.85546875" style="7" bestFit="1" customWidth="1"/>
    <col min="7916" max="7916" width="8.85546875" style="7"/>
    <col min="7917" max="7917" width="9.42578125" style="7" bestFit="1" customWidth="1"/>
    <col min="7918" max="8158" width="8.85546875" style="7"/>
    <col min="8159" max="8159" width="1.85546875" style="7" customWidth="1"/>
    <col min="8160" max="8160" width="7.28515625" style="7" customWidth="1"/>
    <col min="8161" max="8161" width="9.85546875" style="7" customWidth="1"/>
    <col min="8162" max="8162" width="12.7109375" style="7" customWidth="1"/>
    <col min="8163" max="8163" width="11.140625" style="7" customWidth="1"/>
    <col min="8164" max="8164" width="10.85546875" style="7" customWidth="1"/>
    <col min="8165" max="8165" width="11.42578125" style="7" customWidth="1"/>
    <col min="8166" max="8166" width="13.42578125" style="7" customWidth="1"/>
    <col min="8167" max="8167" width="11.140625" style="7" customWidth="1"/>
    <col min="8168" max="8168" width="11.28515625" style="7" bestFit="1" customWidth="1"/>
    <col min="8169" max="8169" width="11.42578125" style="7" customWidth="1"/>
    <col min="8170" max="8170" width="8.85546875" style="7" customWidth="1"/>
    <col min="8171" max="8171" width="9.85546875" style="7" bestFit="1" customWidth="1"/>
    <col min="8172" max="8172" width="8.85546875" style="7"/>
    <col min="8173" max="8173" width="9.42578125" style="7" bestFit="1" customWidth="1"/>
    <col min="8174" max="8414" width="8.85546875" style="7"/>
    <col min="8415" max="8415" width="1.85546875" style="7" customWidth="1"/>
    <col min="8416" max="8416" width="7.28515625" style="7" customWidth="1"/>
    <col min="8417" max="8417" width="9.85546875" style="7" customWidth="1"/>
    <col min="8418" max="8418" width="12.7109375" style="7" customWidth="1"/>
    <col min="8419" max="8419" width="11.140625" style="7" customWidth="1"/>
    <col min="8420" max="8420" width="10.85546875" style="7" customWidth="1"/>
    <col min="8421" max="8421" width="11.42578125" style="7" customWidth="1"/>
    <col min="8422" max="8422" width="13.42578125" style="7" customWidth="1"/>
    <col min="8423" max="8423" width="11.140625" style="7" customWidth="1"/>
    <col min="8424" max="8424" width="11.28515625" style="7" bestFit="1" customWidth="1"/>
    <col min="8425" max="8425" width="11.42578125" style="7" customWidth="1"/>
    <col min="8426" max="8426" width="8.85546875" style="7" customWidth="1"/>
    <col min="8427" max="8427" width="9.85546875" style="7" bestFit="1" customWidth="1"/>
    <col min="8428" max="8428" width="8.85546875" style="7"/>
    <col min="8429" max="8429" width="9.42578125" style="7" bestFit="1" customWidth="1"/>
    <col min="8430" max="8670" width="8.85546875" style="7"/>
    <col min="8671" max="8671" width="1.85546875" style="7" customWidth="1"/>
    <col min="8672" max="8672" width="7.28515625" style="7" customWidth="1"/>
    <col min="8673" max="8673" width="9.85546875" style="7" customWidth="1"/>
    <col min="8674" max="8674" width="12.7109375" style="7" customWidth="1"/>
    <col min="8675" max="8675" width="11.140625" style="7" customWidth="1"/>
    <col min="8676" max="8676" width="10.85546875" style="7" customWidth="1"/>
    <col min="8677" max="8677" width="11.42578125" style="7" customWidth="1"/>
    <col min="8678" max="8678" width="13.42578125" style="7" customWidth="1"/>
    <col min="8679" max="8679" width="11.140625" style="7" customWidth="1"/>
    <col min="8680" max="8680" width="11.28515625" style="7" bestFit="1" customWidth="1"/>
    <col min="8681" max="8681" width="11.42578125" style="7" customWidth="1"/>
    <col min="8682" max="8682" width="8.85546875" style="7" customWidth="1"/>
    <col min="8683" max="8683" width="9.85546875" style="7" bestFit="1" customWidth="1"/>
    <col min="8684" max="8684" width="8.85546875" style="7"/>
    <col min="8685" max="8685" width="9.42578125" style="7" bestFit="1" customWidth="1"/>
    <col min="8686" max="8926" width="8.85546875" style="7"/>
    <col min="8927" max="8927" width="1.85546875" style="7" customWidth="1"/>
    <col min="8928" max="8928" width="7.28515625" style="7" customWidth="1"/>
    <col min="8929" max="8929" width="9.85546875" style="7" customWidth="1"/>
    <col min="8930" max="8930" width="12.7109375" style="7" customWidth="1"/>
    <col min="8931" max="8931" width="11.140625" style="7" customWidth="1"/>
    <col min="8932" max="8932" width="10.85546875" style="7" customWidth="1"/>
    <col min="8933" max="8933" width="11.42578125" style="7" customWidth="1"/>
    <col min="8934" max="8934" width="13.42578125" style="7" customWidth="1"/>
    <col min="8935" max="8935" width="11.140625" style="7" customWidth="1"/>
    <col min="8936" max="8936" width="11.28515625" style="7" bestFit="1" customWidth="1"/>
    <col min="8937" max="8937" width="11.42578125" style="7" customWidth="1"/>
    <col min="8938" max="8938" width="8.85546875" style="7" customWidth="1"/>
    <col min="8939" max="8939" width="9.85546875" style="7" bestFit="1" customWidth="1"/>
    <col min="8940" max="8940" width="8.85546875" style="7"/>
    <col min="8941" max="8941" width="9.42578125" style="7" bestFit="1" customWidth="1"/>
    <col min="8942" max="9182" width="8.85546875" style="7"/>
    <col min="9183" max="9183" width="1.85546875" style="7" customWidth="1"/>
    <col min="9184" max="9184" width="7.28515625" style="7" customWidth="1"/>
    <col min="9185" max="9185" width="9.85546875" style="7" customWidth="1"/>
    <col min="9186" max="9186" width="12.7109375" style="7" customWidth="1"/>
    <col min="9187" max="9187" width="11.140625" style="7" customWidth="1"/>
    <col min="9188" max="9188" width="10.85546875" style="7" customWidth="1"/>
    <col min="9189" max="9189" width="11.42578125" style="7" customWidth="1"/>
    <col min="9190" max="9190" width="13.42578125" style="7" customWidth="1"/>
    <col min="9191" max="9191" width="11.140625" style="7" customWidth="1"/>
    <col min="9192" max="9192" width="11.28515625" style="7" bestFit="1" customWidth="1"/>
    <col min="9193" max="9193" width="11.42578125" style="7" customWidth="1"/>
    <col min="9194" max="9194" width="8.85546875" style="7" customWidth="1"/>
    <col min="9195" max="9195" width="9.85546875" style="7" bestFit="1" customWidth="1"/>
    <col min="9196" max="9196" width="8.85546875" style="7"/>
    <col min="9197" max="9197" width="9.42578125" style="7" bestFit="1" customWidth="1"/>
    <col min="9198" max="9438" width="8.85546875" style="7"/>
    <col min="9439" max="9439" width="1.85546875" style="7" customWidth="1"/>
    <col min="9440" max="9440" width="7.28515625" style="7" customWidth="1"/>
    <col min="9441" max="9441" width="9.85546875" style="7" customWidth="1"/>
    <col min="9442" max="9442" width="12.7109375" style="7" customWidth="1"/>
    <col min="9443" max="9443" width="11.140625" style="7" customWidth="1"/>
    <col min="9444" max="9444" width="10.85546875" style="7" customWidth="1"/>
    <col min="9445" max="9445" width="11.42578125" style="7" customWidth="1"/>
    <col min="9446" max="9446" width="13.42578125" style="7" customWidth="1"/>
    <col min="9447" max="9447" width="11.140625" style="7" customWidth="1"/>
    <col min="9448" max="9448" width="11.28515625" style="7" bestFit="1" customWidth="1"/>
    <col min="9449" max="9449" width="11.42578125" style="7" customWidth="1"/>
    <col min="9450" max="9450" width="8.85546875" style="7" customWidth="1"/>
    <col min="9451" max="9451" width="9.85546875" style="7" bestFit="1" customWidth="1"/>
    <col min="9452" max="9452" width="8.85546875" style="7"/>
    <col min="9453" max="9453" width="9.42578125" style="7" bestFit="1" customWidth="1"/>
    <col min="9454" max="9694" width="8.85546875" style="7"/>
    <col min="9695" max="9695" width="1.85546875" style="7" customWidth="1"/>
    <col min="9696" max="9696" width="7.28515625" style="7" customWidth="1"/>
    <col min="9697" max="9697" width="9.85546875" style="7" customWidth="1"/>
    <col min="9698" max="9698" width="12.7109375" style="7" customWidth="1"/>
    <col min="9699" max="9699" width="11.140625" style="7" customWidth="1"/>
    <col min="9700" max="9700" width="10.85546875" style="7" customWidth="1"/>
    <col min="9701" max="9701" width="11.42578125" style="7" customWidth="1"/>
    <col min="9702" max="9702" width="13.42578125" style="7" customWidth="1"/>
    <col min="9703" max="9703" width="11.140625" style="7" customWidth="1"/>
    <col min="9704" max="9704" width="11.28515625" style="7" bestFit="1" customWidth="1"/>
    <col min="9705" max="9705" width="11.42578125" style="7" customWidth="1"/>
    <col min="9706" max="9706" width="8.85546875" style="7" customWidth="1"/>
    <col min="9707" max="9707" width="9.85546875" style="7" bestFit="1" customWidth="1"/>
    <col min="9708" max="9708" width="8.85546875" style="7"/>
    <col min="9709" max="9709" width="9.42578125" style="7" bestFit="1" customWidth="1"/>
    <col min="9710" max="9950" width="8.85546875" style="7"/>
    <col min="9951" max="9951" width="1.85546875" style="7" customWidth="1"/>
    <col min="9952" max="9952" width="7.28515625" style="7" customWidth="1"/>
    <col min="9953" max="9953" width="9.85546875" style="7" customWidth="1"/>
    <col min="9954" max="9954" width="12.7109375" style="7" customWidth="1"/>
    <col min="9955" max="9955" width="11.140625" style="7" customWidth="1"/>
    <col min="9956" max="9956" width="10.85546875" style="7" customWidth="1"/>
    <col min="9957" max="9957" width="11.42578125" style="7" customWidth="1"/>
    <col min="9958" max="9958" width="13.42578125" style="7" customWidth="1"/>
    <col min="9959" max="9959" width="11.140625" style="7" customWidth="1"/>
    <col min="9960" max="9960" width="11.28515625" style="7" bestFit="1" customWidth="1"/>
    <col min="9961" max="9961" width="11.42578125" style="7" customWidth="1"/>
    <col min="9962" max="9962" width="8.85546875" style="7" customWidth="1"/>
    <col min="9963" max="9963" width="9.85546875" style="7" bestFit="1" customWidth="1"/>
    <col min="9964" max="9964" width="8.85546875" style="7"/>
    <col min="9965" max="9965" width="9.42578125" style="7" bestFit="1" customWidth="1"/>
    <col min="9966" max="10206" width="8.85546875" style="7"/>
    <col min="10207" max="10207" width="1.85546875" style="7" customWidth="1"/>
    <col min="10208" max="10208" width="7.28515625" style="7" customWidth="1"/>
    <col min="10209" max="10209" width="9.85546875" style="7" customWidth="1"/>
    <col min="10210" max="10210" width="12.7109375" style="7" customWidth="1"/>
    <col min="10211" max="10211" width="11.140625" style="7" customWidth="1"/>
    <col min="10212" max="10212" width="10.85546875" style="7" customWidth="1"/>
    <col min="10213" max="10213" width="11.42578125" style="7" customWidth="1"/>
    <col min="10214" max="10214" width="13.42578125" style="7" customWidth="1"/>
    <col min="10215" max="10215" width="11.140625" style="7" customWidth="1"/>
    <col min="10216" max="10216" width="11.28515625" style="7" bestFit="1" customWidth="1"/>
    <col min="10217" max="10217" width="11.42578125" style="7" customWidth="1"/>
    <col min="10218" max="10218" width="8.85546875" style="7" customWidth="1"/>
    <col min="10219" max="10219" width="9.85546875" style="7" bestFit="1" customWidth="1"/>
    <col min="10220" max="10220" width="8.85546875" style="7"/>
    <col min="10221" max="10221" width="9.42578125" style="7" bestFit="1" customWidth="1"/>
    <col min="10222" max="10462" width="8.85546875" style="7"/>
    <col min="10463" max="10463" width="1.85546875" style="7" customWidth="1"/>
    <col min="10464" max="10464" width="7.28515625" style="7" customWidth="1"/>
    <col min="10465" max="10465" width="9.85546875" style="7" customWidth="1"/>
    <col min="10466" max="10466" width="12.7109375" style="7" customWidth="1"/>
    <col min="10467" max="10467" width="11.140625" style="7" customWidth="1"/>
    <col min="10468" max="10468" width="10.85546875" style="7" customWidth="1"/>
    <col min="10469" max="10469" width="11.42578125" style="7" customWidth="1"/>
    <col min="10470" max="10470" width="13.42578125" style="7" customWidth="1"/>
    <col min="10471" max="10471" width="11.140625" style="7" customWidth="1"/>
    <col min="10472" max="10472" width="11.28515625" style="7" bestFit="1" customWidth="1"/>
    <col min="10473" max="10473" width="11.42578125" style="7" customWidth="1"/>
    <col min="10474" max="10474" width="8.85546875" style="7" customWidth="1"/>
    <col min="10475" max="10475" width="9.85546875" style="7" bestFit="1" customWidth="1"/>
    <col min="10476" max="10476" width="8.85546875" style="7"/>
    <col min="10477" max="10477" width="9.42578125" style="7" bestFit="1" customWidth="1"/>
    <col min="10478" max="10718" width="8.85546875" style="7"/>
    <col min="10719" max="10719" width="1.85546875" style="7" customWidth="1"/>
    <col min="10720" max="10720" width="7.28515625" style="7" customWidth="1"/>
    <col min="10721" max="10721" width="9.85546875" style="7" customWidth="1"/>
    <col min="10722" max="10722" width="12.7109375" style="7" customWidth="1"/>
    <col min="10723" max="10723" width="11.140625" style="7" customWidth="1"/>
    <col min="10724" max="10724" width="10.85546875" style="7" customWidth="1"/>
    <col min="10725" max="10725" width="11.42578125" style="7" customWidth="1"/>
    <col min="10726" max="10726" width="13.42578125" style="7" customWidth="1"/>
    <col min="10727" max="10727" width="11.140625" style="7" customWidth="1"/>
    <col min="10728" max="10728" width="11.28515625" style="7" bestFit="1" customWidth="1"/>
    <col min="10729" max="10729" width="11.42578125" style="7" customWidth="1"/>
    <col min="10730" max="10730" width="8.85546875" style="7" customWidth="1"/>
    <col min="10731" max="10731" width="9.85546875" style="7" bestFit="1" customWidth="1"/>
    <col min="10732" max="10732" width="8.85546875" style="7"/>
    <col min="10733" max="10733" width="9.42578125" style="7" bestFit="1" customWidth="1"/>
    <col min="10734" max="10974" width="8.85546875" style="7"/>
    <col min="10975" max="10975" width="1.85546875" style="7" customWidth="1"/>
    <col min="10976" max="10976" width="7.28515625" style="7" customWidth="1"/>
    <col min="10977" max="10977" width="9.85546875" style="7" customWidth="1"/>
    <col min="10978" max="10978" width="12.7109375" style="7" customWidth="1"/>
    <col min="10979" max="10979" width="11.140625" style="7" customWidth="1"/>
    <col min="10980" max="10980" width="10.85546875" style="7" customWidth="1"/>
    <col min="10981" max="10981" width="11.42578125" style="7" customWidth="1"/>
    <col min="10982" max="10982" width="13.42578125" style="7" customWidth="1"/>
    <col min="10983" max="10983" width="11.140625" style="7" customWidth="1"/>
    <col min="10984" max="10984" width="11.28515625" style="7" bestFit="1" customWidth="1"/>
    <col min="10985" max="10985" width="11.42578125" style="7" customWidth="1"/>
    <col min="10986" max="10986" width="8.85546875" style="7" customWidth="1"/>
    <col min="10987" max="10987" width="9.85546875" style="7" bestFit="1" customWidth="1"/>
    <col min="10988" max="10988" width="8.85546875" style="7"/>
    <col min="10989" max="10989" width="9.42578125" style="7" bestFit="1" customWidth="1"/>
    <col min="10990" max="11230" width="8.85546875" style="7"/>
    <col min="11231" max="11231" width="1.85546875" style="7" customWidth="1"/>
    <col min="11232" max="11232" width="7.28515625" style="7" customWidth="1"/>
    <col min="11233" max="11233" width="9.85546875" style="7" customWidth="1"/>
    <col min="11234" max="11234" width="12.7109375" style="7" customWidth="1"/>
    <col min="11235" max="11235" width="11.140625" style="7" customWidth="1"/>
    <col min="11236" max="11236" width="10.85546875" style="7" customWidth="1"/>
    <col min="11237" max="11237" width="11.42578125" style="7" customWidth="1"/>
    <col min="11238" max="11238" width="13.42578125" style="7" customWidth="1"/>
    <col min="11239" max="11239" width="11.140625" style="7" customWidth="1"/>
    <col min="11240" max="11240" width="11.28515625" style="7" bestFit="1" customWidth="1"/>
    <col min="11241" max="11241" width="11.42578125" style="7" customWidth="1"/>
    <col min="11242" max="11242" width="8.85546875" style="7" customWidth="1"/>
    <col min="11243" max="11243" width="9.85546875" style="7" bestFit="1" customWidth="1"/>
    <col min="11244" max="11244" width="8.85546875" style="7"/>
    <col min="11245" max="11245" width="9.42578125" style="7" bestFit="1" customWidth="1"/>
    <col min="11246" max="11486" width="8.85546875" style="7"/>
    <col min="11487" max="11487" width="1.85546875" style="7" customWidth="1"/>
    <col min="11488" max="11488" width="7.28515625" style="7" customWidth="1"/>
    <col min="11489" max="11489" width="9.85546875" style="7" customWidth="1"/>
    <col min="11490" max="11490" width="12.7109375" style="7" customWidth="1"/>
    <col min="11491" max="11491" width="11.140625" style="7" customWidth="1"/>
    <col min="11492" max="11492" width="10.85546875" style="7" customWidth="1"/>
    <col min="11493" max="11493" width="11.42578125" style="7" customWidth="1"/>
    <col min="11494" max="11494" width="13.42578125" style="7" customWidth="1"/>
    <col min="11495" max="11495" width="11.140625" style="7" customWidth="1"/>
    <col min="11496" max="11496" width="11.28515625" style="7" bestFit="1" customWidth="1"/>
    <col min="11497" max="11497" width="11.42578125" style="7" customWidth="1"/>
    <col min="11498" max="11498" width="8.85546875" style="7" customWidth="1"/>
    <col min="11499" max="11499" width="9.85546875" style="7" bestFit="1" customWidth="1"/>
    <col min="11500" max="11500" width="8.85546875" style="7"/>
    <col min="11501" max="11501" width="9.42578125" style="7" bestFit="1" customWidth="1"/>
    <col min="11502" max="11742" width="8.85546875" style="7"/>
    <col min="11743" max="11743" width="1.85546875" style="7" customWidth="1"/>
    <col min="11744" max="11744" width="7.28515625" style="7" customWidth="1"/>
    <col min="11745" max="11745" width="9.85546875" style="7" customWidth="1"/>
    <col min="11746" max="11746" width="12.7109375" style="7" customWidth="1"/>
    <col min="11747" max="11747" width="11.140625" style="7" customWidth="1"/>
    <col min="11748" max="11748" width="10.85546875" style="7" customWidth="1"/>
    <col min="11749" max="11749" width="11.42578125" style="7" customWidth="1"/>
    <col min="11750" max="11750" width="13.42578125" style="7" customWidth="1"/>
    <col min="11751" max="11751" width="11.140625" style="7" customWidth="1"/>
    <col min="11752" max="11752" width="11.28515625" style="7" bestFit="1" customWidth="1"/>
    <col min="11753" max="11753" width="11.42578125" style="7" customWidth="1"/>
    <col min="11754" max="11754" width="8.85546875" style="7" customWidth="1"/>
    <col min="11755" max="11755" width="9.85546875" style="7" bestFit="1" customWidth="1"/>
    <col min="11756" max="11756" width="8.85546875" style="7"/>
    <col min="11757" max="11757" width="9.42578125" style="7" bestFit="1" customWidth="1"/>
    <col min="11758" max="11998" width="8.85546875" style="7"/>
    <col min="11999" max="11999" width="1.85546875" style="7" customWidth="1"/>
    <col min="12000" max="12000" width="7.28515625" style="7" customWidth="1"/>
    <col min="12001" max="12001" width="9.85546875" style="7" customWidth="1"/>
    <col min="12002" max="12002" width="12.7109375" style="7" customWidth="1"/>
    <col min="12003" max="12003" width="11.140625" style="7" customWidth="1"/>
    <col min="12004" max="12004" width="10.85546875" style="7" customWidth="1"/>
    <col min="12005" max="12005" width="11.42578125" style="7" customWidth="1"/>
    <col min="12006" max="12006" width="13.42578125" style="7" customWidth="1"/>
    <col min="12007" max="12007" width="11.140625" style="7" customWidth="1"/>
    <col min="12008" max="12008" width="11.28515625" style="7" bestFit="1" customWidth="1"/>
    <col min="12009" max="12009" width="11.42578125" style="7" customWidth="1"/>
    <col min="12010" max="12010" width="8.85546875" style="7" customWidth="1"/>
    <col min="12011" max="12011" width="9.85546875" style="7" bestFit="1" customWidth="1"/>
    <col min="12012" max="12012" width="8.85546875" style="7"/>
    <col min="12013" max="12013" width="9.42578125" style="7" bestFit="1" customWidth="1"/>
    <col min="12014" max="12254" width="8.85546875" style="7"/>
    <col min="12255" max="12255" width="1.85546875" style="7" customWidth="1"/>
    <col min="12256" max="12256" width="7.28515625" style="7" customWidth="1"/>
    <col min="12257" max="12257" width="9.85546875" style="7" customWidth="1"/>
    <col min="12258" max="12258" width="12.7109375" style="7" customWidth="1"/>
    <col min="12259" max="12259" width="11.140625" style="7" customWidth="1"/>
    <col min="12260" max="12260" width="10.85546875" style="7" customWidth="1"/>
    <col min="12261" max="12261" width="11.42578125" style="7" customWidth="1"/>
    <col min="12262" max="12262" width="13.42578125" style="7" customWidth="1"/>
    <col min="12263" max="12263" width="11.140625" style="7" customWidth="1"/>
    <col min="12264" max="12264" width="11.28515625" style="7" bestFit="1" customWidth="1"/>
    <col min="12265" max="12265" width="11.42578125" style="7" customWidth="1"/>
    <col min="12266" max="12266" width="8.85546875" style="7" customWidth="1"/>
    <col min="12267" max="12267" width="9.85546875" style="7" bestFit="1" customWidth="1"/>
    <col min="12268" max="12268" width="8.85546875" style="7"/>
    <col min="12269" max="12269" width="9.42578125" style="7" bestFit="1" customWidth="1"/>
    <col min="12270" max="12510" width="8.85546875" style="7"/>
    <col min="12511" max="12511" width="1.85546875" style="7" customWidth="1"/>
    <col min="12512" max="12512" width="7.28515625" style="7" customWidth="1"/>
    <col min="12513" max="12513" width="9.85546875" style="7" customWidth="1"/>
    <col min="12514" max="12514" width="12.7109375" style="7" customWidth="1"/>
    <col min="12515" max="12515" width="11.140625" style="7" customWidth="1"/>
    <col min="12516" max="12516" width="10.85546875" style="7" customWidth="1"/>
    <col min="12517" max="12517" width="11.42578125" style="7" customWidth="1"/>
    <col min="12518" max="12518" width="13.42578125" style="7" customWidth="1"/>
    <col min="12519" max="12519" width="11.140625" style="7" customWidth="1"/>
    <col min="12520" max="12520" width="11.28515625" style="7" bestFit="1" customWidth="1"/>
    <col min="12521" max="12521" width="11.42578125" style="7" customWidth="1"/>
    <col min="12522" max="12522" width="8.85546875" style="7" customWidth="1"/>
    <col min="12523" max="12523" width="9.85546875" style="7" bestFit="1" customWidth="1"/>
    <col min="12524" max="12524" width="8.85546875" style="7"/>
    <col min="12525" max="12525" width="9.42578125" style="7" bestFit="1" customWidth="1"/>
    <col min="12526" max="12766" width="8.85546875" style="7"/>
    <col min="12767" max="12767" width="1.85546875" style="7" customWidth="1"/>
    <col min="12768" max="12768" width="7.28515625" style="7" customWidth="1"/>
    <col min="12769" max="12769" width="9.85546875" style="7" customWidth="1"/>
    <col min="12770" max="12770" width="12.7109375" style="7" customWidth="1"/>
    <col min="12771" max="12771" width="11.140625" style="7" customWidth="1"/>
    <col min="12772" max="12772" width="10.85546875" style="7" customWidth="1"/>
    <col min="12773" max="12773" width="11.42578125" style="7" customWidth="1"/>
    <col min="12774" max="12774" width="13.42578125" style="7" customWidth="1"/>
    <col min="12775" max="12775" width="11.140625" style="7" customWidth="1"/>
    <col min="12776" max="12776" width="11.28515625" style="7" bestFit="1" customWidth="1"/>
    <col min="12777" max="12777" width="11.42578125" style="7" customWidth="1"/>
    <col min="12778" max="12778" width="8.85546875" style="7" customWidth="1"/>
    <col min="12779" max="12779" width="9.85546875" style="7" bestFit="1" customWidth="1"/>
    <col min="12780" max="12780" width="8.85546875" style="7"/>
    <col min="12781" max="12781" width="9.42578125" style="7" bestFit="1" customWidth="1"/>
    <col min="12782" max="13022" width="8.85546875" style="7"/>
    <col min="13023" max="13023" width="1.85546875" style="7" customWidth="1"/>
    <col min="13024" max="13024" width="7.28515625" style="7" customWidth="1"/>
    <col min="13025" max="13025" width="9.85546875" style="7" customWidth="1"/>
    <col min="13026" max="13026" width="12.7109375" style="7" customWidth="1"/>
    <col min="13027" max="13027" width="11.140625" style="7" customWidth="1"/>
    <col min="13028" max="13028" width="10.85546875" style="7" customWidth="1"/>
    <col min="13029" max="13029" width="11.42578125" style="7" customWidth="1"/>
    <col min="13030" max="13030" width="13.42578125" style="7" customWidth="1"/>
    <col min="13031" max="13031" width="11.140625" style="7" customWidth="1"/>
    <col min="13032" max="13032" width="11.28515625" style="7" bestFit="1" customWidth="1"/>
    <col min="13033" max="13033" width="11.42578125" style="7" customWidth="1"/>
    <col min="13034" max="13034" width="8.85546875" style="7" customWidth="1"/>
    <col min="13035" max="13035" width="9.85546875" style="7" bestFit="1" customWidth="1"/>
    <col min="13036" max="13036" width="8.85546875" style="7"/>
    <col min="13037" max="13037" width="9.42578125" style="7" bestFit="1" customWidth="1"/>
    <col min="13038" max="13278" width="8.85546875" style="7"/>
    <col min="13279" max="13279" width="1.85546875" style="7" customWidth="1"/>
    <col min="13280" max="13280" width="7.28515625" style="7" customWidth="1"/>
    <col min="13281" max="13281" width="9.85546875" style="7" customWidth="1"/>
    <col min="13282" max="13282" width="12.7109375" style="7" customWidth="1"/>
    <col min="13283" max="13283" width="11.140625" style="7" customWidth="1"/>
    <col min="13284" max="13284" width="10.85546875" style="7" customWidth="1"/>
    <col min="13285" max="13285" width="11.42578125" style="7" customWidth="1"/>
    <col min="13286" max="13286" width="13.42578125" style="7" customWidth="1"/>
    <col min="13287" max="13287" width="11.140625" style="7" customWidth="1"/>
    <col min="13288" max="13288" width="11.28515625" style="7" bestFit="1" customWidth="1"/>
    <col min="13289" max="13289" width="11.42578125" style="7" customWidth="1"/>
    <col min="13290" max="13290" width="8.85546875" style="7" customWidth="1"/>
    <col min="13291" max="13291" width="9.85546875" style="7" bestFit="1" customWidth="1"/>
    <col min="13292" max="13292" width="8.85546875" style="7"/>
    <col min="13293" max="13293" width="9.42578125" style="7" bestFit="1" customWidth="1"/>
    <col min="13294" max="13534" width="8.85546875" style="7"/>
    <col min="13535" max="13535" width="1.85546875" style="7" customWidth="1"/>
    <col min="13536" max="13536" width="7.28515625" style="7" customWidth="1"/>
    <col min="13537" max="13537" width="9.85546875" style="7" customWidth="1"/>
    <col min="13538" max="13538" width="12.7109375" style="7" customWidth="1"/>
    <col min="13539" max="13539" width="11.140625" style="7" customWidth="1"/>
    <col min="13540" max="13540" width="10.85546875" style="7" customWidth="1"/>
    <col min="13541" max="13541" width="11.42578125" style="7" customWidth="1"/>
    <col min="13542" max="13542" width="13.42578125" style="7" customWidth="1"/>
    <col min="13543" max="13543" width="11.140625" style="7" customWidth="1"/>
    <col min="13544" max="13544" width="11.28515625" style="7" bestFit="1" customWidth="1"/>
    <col min="13545" max="13545" width="11.42578125" style="7" customWidth="1"/>
    <col min="13546" max="13546" width="8.85546875" style="7" customWidth="1"/>
    <col min="13547" max="13547" width="9.85546875" style="7" bestFit="1" customWidth="1"/>
    <col min="13548" max="13548" width="8.85546875" style="7"/>
    <col min="13549" max="13549" width="9.42578125" style="7" bestFit="1" customWidth="1"/>
    <col min="13550" max="13790" width="8.85546875" style="7"/>
    <col min="13791" max="13791" width="1.85546875" style="7" customWidth="1"/>
    <col min="13792" max="13792" width="7.28515625" style="7" customWidth="1"/>
    <col min="13793" max="13793" width="9.85546875" style="7" customWidth="1"/>
    <col min="13794" max="13794" width="12.7109375" style="7" customWidth="1"/>
    <col min="13795" max="13795" width="11.140625" style="7" customWidth="1"/>
    <col min="13796" max="13796" width="10.85546875" style="7" customWidth="1"/>
    <col min="13797" max="13797" width="11.42578125" style="7" customWidth="1"/>
    <col min="13798" max="13798" width="13.42578125" style="7" customWidth="1"/>
    <col min="13799" max="13799" width="11.140625" style="7" customWidth="1"/>
    <col min="13800" max="13800" width="11.28515625" style="7" bestFit="1" customWidth="1"/>
    <col min="13801" max="13801" width="11.42578125" style="7" customWidth="1"/>
    <col min="13802" max="13802" width="8.85546875" style="7" customWidth="1"/>
    <col min="13803" max="13803" width="9.85546875" style="7" bestFit="1" customWidth="1"/>
    <col min="13804" max="13804" width="8.85546875" style="7"/>
    <col min="13805" max="13805" width="9.42578125" style="7" bestFit="1" customWidth="1"/>
    <col min="13806" max="14046" width="8.85546875" style="7"/>
    <col min="14047" max="14047" width="1.85546875" style="7" customWidth="1"/>
    <col min="14048" max="14048" width="7.28515625" style="7" customWidth="1"/>
    <col min="14049" max="14049" width="9.85546875" style="7" customWidth="1"/>
    <col min="14050" max="14050" width="12.7109375" style="7" customWidth="1"/>
    <col min="14051" max="14051" width="11.140625" style="7" customWidth="1"/>
    <col min="14052" max="14052" width="10.85546875" style="7" customWidth="1"/>
    <col min="14053" max="14053" width="11.42578125" style="7" customWidth="1"/>
    <col min="14054" max="14054" width="13.42578125" style="7" customWidth="1"/>
    <col min="14055" max="14055" width="11.140625" style="7" customWidth="1"/>
    <col min="14056" max="14056" width="11.28515625" style="7" bestFit="1" customWidth="1"/>
    <col min="14057" max="14057" width="11.42578125" style="7" customWidth="1"/>
    <col min="14058" max="14058" width="8.85546875" style="7" customWidth="1"/>
    <col min="14059" max="14059" width="9.85546875" style="7" bestFit="1" customWidth="1"/>
    <col min="14060" max="14060" width="8.85546875" style="7"/>
    <col min="14061" max="14061" width="9.42578125" style="7" bestFit="1" customWidth="1"/>
    <col min="14062" max="14302" width="8.85546875" style="7"/>
    <col min="14303" max="14303" width="1.85546875" style="7" customWidth="1"/>
    <col min="14304" max="14304" width="7.28515625" style="7" customWidth="1"/>
    <col min="14305" max="14305" width="9.85546875" style="7" customWidth="1"/>
    <col min="14306" max="14306" width="12.7109375" style="7" customWidth="1"/>
    <col min="14307" max="14307" width="11.140625" style="7" customWidth="1"/>
    <col min="14308" max="14308" width="10.85546875" style="7" customWidth="1"/>
    <col min="14309" max="14309" width="11.42578125" style="7" customWidth="1"/>
    <col min="14310" max="14310" width="13.42578125" style="7" customWidth="1"/>
    <col min="14311" max="14311" width="11.140625" style="7" customWidth="1"/>
    <col min="14312" max="14312" width="11.28515625" style="7" bestFit="1" customWidth="1"/>
    <col min="14313" max="14313" width="11.42578125" style="7" customWidth="1"/>
    <col min="14314" max="14314" width="8.85546875" style="7" customWidth="1"/>
    <col min="14315" max="14315" width="9.85546875" style="7" bestFit="1" customWidth="1"/>
    <col min="14316" max="14316" width="8.85546875" style="7"/>
    <col min="14317" max="14317" width="9.42578125" style="7" bestFit="1" customWidth="1"/>
    <col min="14318" max="14558" width="8.85546875" style="7"/>
    <col min="14559" max="14559" width="1.85546875" style="7" customWidth="1"/>
    <col min="14560" max="14560" width="7.28515625" style="7" customWidth="1"/>
    <col min="14561" max="14561" width="9.85546875" style="7" customWidth="1"/>
    <col min="14562" max="14562" width="12.7109375" style="7" customWidth="1"/>
    <col min="14563" max="14563" width="11.140625" style="7" customWidth="1"/>
    <col min="14564" max="14564" width="10.85546875" style="7" customWidth="1"/>
    <col min="14565" max="14565" width="11.42578125" style="7" customWidth="1"/>
    <col min="14566" max="14566" width="13.42578125" style="7" customWidth="1"/>
    <col min="14567" max="14567" width="11.140625" style="7" customWidth="1"/>
    <col min="14568" max="14568" width="11.28515625" style="7" bestFit="1" customWidth="1"/>
    <col min="14569" max="14569" width="11.42578125" style="7" customWidth="1"/>
    <col min="14570" max="14570" width="8.85546875" style="7" customWidth="1"/>
    <col min="14571" max="14571" width="9.85546875" style="7" bestFit="1" customWidth="1"/>
    <col min="14572" max="14572" width="8.85546875" style="7"/>
    <col min="14573" max="14573" width="9.42578125" style="7" bestFit="1" customWidth="1"/>
    <col min="14574" max="14814" width="8.85546875" style="7"/>
    <col min="14815" max="14815" width="1.85546875" style="7" customWidth="1"/>
    <col min="14816" max="14816" width="7.28515625" style="7" customWidth="1"/>
    <col min="14817" max="14817" width="9.85546875" style="7" customWidth="1"/>
    <col min="14818" max="14818" width="12.7109375" style="7" customWidth="1"/>
    <col min="14819" max="14819" width="11.140625" style="7" customWidth="1"/>
    <col min="14820" max="14820" width="10.85546875" style="7" customWidth="1"/>
    <col min="14821" max="14821" width="11.42578125" style="7" customWidth="1"/>
    <col min="14822" max="14822" width="13.42578125" style="7" customWidth="1"/>
    <col min="14823" max="14823" width="11.140625" style="7" customWidth="1"/>
    <col min="14824" max="14824" width="11.28515625" style="7" bestFit="1" customWidth="1"/>
    <col min="14825" max="14825" width="11.42578125" style="7" customWidth="1"/>
    <col min="14826" max="14826" width="8.85546875" style="7" customWidth="1"/>
    <col min="14827" max="14827" width="9.85546875" style="7" bestFit="1" customWidth="1"/>
    <col min="14828" max="14828" width="8.85546875" style="7"/>
    <col min="14829" max="14829" width="9.42578125" style="7" bestFit="1" customWidth="1"/>
    <col min="14830" max="15070" width="8.85546875" style="7"/>
    <col min="15071" max="15071" width="1.85546875" style="7" customWidth="1"/>
    <col min="15072" max="15072" width="7.28515625" style="7" customWidth="1"/>
    <col min="15073" max="15073" width="9.85546875" style="7" customWidth="1"/>
    <col min="15074" max="15074" width="12.7109375" style="7" customWidth="1"/>
    <col min="15075" max="15075" width="11.140625" style="7" customWidth="1"/>
    <col min="15076" max="15076" width="10.85546875" style="7" customWidth="1"/>
    <col min="15077" max="15077" width="11.42578125" style="7" customWidth="1"/>
    <col min="15078" max="15078" width="13.42578125" style="7" customWidth="1"/>
    <col min="15079" max="15079" width="11.140625" style="7" customWidth="1"/>
    <col min="15080" max="15080" width="11.28515625" style="7" bestFit="1" customWidth="1"/>
    <col min="15081" max="15081" width="11.42578125" style="7" customWidth="1"/>
    <col min="15082" max="15082" width="8.85546875" style="7" customWidth="1"/>
    <col min="15083" max="15083" width="9.85546875" style="7" bestFit="1" customWidth="1"/>
    <col min="15084" max="15084" width="8.85546875" style="7"/>
    <col min="15085" max="15085" width="9.42578125" style="7" bestFit="1" customWidth="1"/>
    <col min="15086" max="15326" width="8.85546875" style="7"/>
    <col min="15327" max="15327" width="1.85546875" style="7" customWidth="1"/>
    <col min="15328" max="15328" width="7.28515625" style="7" customWidth="1"/>
    <col min="15329" max="15329" width="9.85546875" style="7" customWidth="1"/>
    <col min="15330" max="15330" width="12.7109375" style="7" customWidth="1"/>
    <col min="15331" max="15331" width="11.140625" style="7" customWidth="1"/>
    <col min="15332" max="15332" width="10.85546875" style="7" customWidth="1"/>
    <col min="15333" max="15333" width="11.42578125" style="7" customWidth="1"/>
    <col min="15334" max="15334" width="13.42578125" style="7" customWidth="1"/>
    <col min="15335" max="15335" width="11.140625" style="7" customWidth="1"/>
    <col min="15336" max="15336" width="11.28515625" style="7" bestFit="1" customWidth="1"/>
    <col min="15337" max="15337" width="11.42578125" style="7" customWidth="1"/>
    <col min="15338" max="15338" width="8.85546875" style="7" customWidth="1"/>
    <col min="15339" max="15339" width="9.85546875" style="7" bestFit="1" customWidth="1"/>
    <col min="15340" max="15340" width="8.85546875" style="7"/>
    <col min="15341" max="15341" width="9.42578125" style="7" bestFit="1" customWidth="1"/>
    <col min="15342" max="15582" width="8.85546875" style="7"/>
    <col min="15583" max="15583" width="1.85546875" style="7" customWidth="1"/>
    <col min="15584" max="15584" width="7.28515625" style="7" customWidth="1"/>
    <col min="15585" max="15585" width="9.85546875" style="7" customWidth="1"/>
    <col min="15586" max="15586" width="12.7109375" style="7" customWidth="1"/>
    <col min="15587" max="15587" width="11.140625" style="7" customWidth="1"/>
    <col min="15588" max="15588" width="10.85546875" style="7" customWidth="1"/>
    <col min="15589" max="15589" width="11.42578125" style="7" customWidth="1"/>
    <col min="15590" max="15590" width="13.42578125" style="7" customWidth="1"/>
    <col min="15591" max="15591" width="11.140625" style="7" customWidth="1"/>
    <col min="15592" max="15592" width="11.28515625" style="7" bestFit="1" customWidth="1"/>
    <col min="15593" max="15593" width="11.42578125" style="7" customWidth="1"/>
    <col min="15594" max="15594" width="8.85546875" style="7" customWidth="1"/>
    <col min="15595" max="15595" width="9.85546875" style="7" bestFit="1" customWidth="1"/>
    <col min="15596" max="15596" width="8.85546875" style="7"/>
    <col min="15597" max="15597" width="9.42578125" style="7" bestFit="1" customWidth="1"/>
    <col min="15598" max="15838" width="8.85546875" style="7"/>
    <col min="15839" max="15839" width="1.85546875" style="7" customWidth="1"/>
    <col min="15840" max="15840" width="7.28515625" style="7" customWidth="1"/>
    <col min="15841" max="15841" width="9.85546875" style="7" customWidth="1"/>
    <col min="15842" max="15842" width="12.7109375" style="7" customWidth="1"/>
    <col min="15843" max="15843" width="11.140625" style="7" customWidth="1"/>
    <col min="15844" max="15844" width="10.85546875" style="7" customWidth="1"/>
    <col min="15845" max="15845" width="11.42578125" style="7" customWidth="1"/>
    <col min="15846" max="15846" width="13.42578125" style="7" customWidth="1"/>
    <col min="15847" max="15847" width="11.140625" style="7" customWidth="1"/>
    <col min="15848" max="15848" width="11.28515625" style="7" bestFit="1" customWidth="1"/>
    <col min="15849" max="15849" width="11.42578125" style="7" customWidth="1"/>
    <col min="15850" max="15850" width="8.85546875" style="7" customWidth="1"/>
    <col min="15851" max="15851" width="9.85546875" style="7" bestFit="1" customWidth="1"/>
    <col min="15852" max="15852" width="8.85546875" style="7"/>
    <col min="15853" max="15853" width="9.42578125" style="7" bestFit="1" customWidth="1"/>
    <col min="15854" max="16094" width="8.85546875" style="7"/>
    <col min="16095" max="16095" width="1.85546875" style="7" customWidth="1"/>
    <col min="16096" max="16096" width="7.28515625" style="7" customWidth="1"/>
    <col min="16097" max="16097" width="9.85546875" style="7" customWidth="1"/>
    <col min="16098" max="16098" width="12.7109375" style="7" customWidth="1"/>
    <col min="16099" max="16099" width="11.140625" style="7" customWidth="1"/>
    <col min="16100" max="16100" width="10.85546875" style="7" customWidth="1"/>
    <col min="16101" max="16101" width="11.42578125" style="7" customWidth="1"/>
    <col min="16102" max="16102" width="13.42578125" style="7" customWidth="1"/>
    <col min="16103" max="16103" width="11.140625" style="7" customWidth="1"/>
    <col min="16104" max="16104" width="11.28515625" style="7" bestFit="1" customWidth="1"/>
    <col min="16105" max="16105" width="11.42578125" style="7" customWidth="1"/>
    <col min="16106" max="16106" width="8.85546875" style="7" customWidth="1"/>
    <col min="16107" max="16107" width="9.85546875" style="7" bestFit="1" customWidth="1"/>
    <col min="16108" max="16108" width="8.85546875" style="7"/>
    <col min="16109" max="16109" width="9.42578125" style="7" bestFit="1" customWidth="1"/>
    <col min="16110" max="16384" width="8.85546875" style="7"/>
  </cols>
  <sheetData>
    <row r="1" spans="1:5" ht="15" customHeight="1" thickBot="1" x14ac:dyDescent="0.3">
      <c r="A1" s="335" t="s">
        <v>250</v>
      </c>
      <c r="B1" s="336"/>
      <c r="C1" s="336"/>
      <c r="D1" s="337"/>
    </row>
    <row r="2" spans="1:5" ht="15" customHeight="1" x14ac:dyDescent="0.25">
      <c r="A2" s="338" t="s">
        <v>251</v>
      </c>
      <c r="B2" s="338"/>
      <c r="C2" s="338"/>
      <c r="D2" s="338"/>
    </row>
    <row r="3" spans="1:5" ht="15" customHeight="1" x14ac:dyDescent="0.25">
      <c r="A3" s="338" t="s">
        <v>252</v>
      </c>
      <c r="B3" s="338"/>
      <c r="C3" s="338"/>
      <c r="D3" s="338"/>
    </row>
    <row r="4" spans="1:5" ht="15" customHeight="1" thickBot="1" x14ac:dyDescent="0.3">
      <c r="A4" s="339"/>
      <c r="B4" s="339"/>
      <c r="C4" s="339"/>
      <c r="D4" s="339"/>
    </row>
    <row r="5" spans="1:5" ht="15" customHeight="1" thickBot="1" x14ac:dyDescent="0.3">
      <c r="A5" s="335" t="s">
        <v>253</v>
      </c>
      <c r="B5" s="336"/>
      <c r="C5" s="336"/>
      <c r="D5" s="337"/>
    </row>
    <row r="6" spans="1:5" ht="15" customHeight="1" thickBot="1" x14ac:dyDescent="0.3">
      <c r="A6" s="343" t="s">
        <v>254</v>
      </c>
      <c r="B6" s="344"/>
      <c r="C6" s="345"/>
      <c r="D6" s="346"/>
    </row>
    <row r="7" spans="1:5" ht="15" customHeight="1" x14ac:dyDescent="0.25">
      <c r="A7" s="50" t="s">
        <v>255</v>
      </c>
      <c r="B7" s="51" t="s">
        <v>256</v>
      </c>
      <c r="C7" s="347" t="s">
        <v>257</v>
      </c>
      <c r="D7" s="348"/>
    </row>
    <row r="8" spans="1:5" ht="15" customHeight="1" x14ac:dyDescent="0.25">
      <c r="A8" s="52" t="s">
        <v>258</v>
      </c>
      <c r="B8" s="53" t="s">
        <v>259</v>
      </c>
      <c r="C8" s="349"/>
      <c r="D8" s="350"/>
    </row>
    <row r="9" spans="1:5" ht="15" customHeight="1" x14ac:dyDescent="0.25">
      <c r="A9" s="52" t="s">
        <v>260</v>
      </c>
      <c r="B9" s="53" t="s">
        <v>261</v>
      </c>
      <c r="C9" s="349"/>
      <c r="D9" s="350"/>
    </row>
    <row r="10" spans="1:5" ht="15" customHeight="1" thickBot="1" x14ac:dyDescent="0.3">
      <c r="A10" s="54" t="s">
        <v>262</v>
      </c>
      <c r="B10" s="55" t="s">
        <v>263</v>
      </c>
      <c r="C10" s="351"/>
      <c r="D10" s="352"/>
    </row>
    <row r="11" spans="1:5" ht="15" customHeight="1" thickBot="1" x14ac:dyDescent="0.3">
      <c r="A11" s="56"/>
      <c r="B11" s="57"/>
      <c r="D11" s="59"/>
    </row>
    <row r="12" spans="1:5" ht="15" customHeight="1" thickBot="1" x14ac:dyDescent="0.3">
      <c r="A12" s="343" t="s">
        <v>264</v>
      </c>
      <c r="B12" s="344"/>
      <c r="C12" s="344"/>
      <c r="D12" s="353"/>
    </row>
    <row r="13" spans="1:5" ht="15" customHeight="1" x14ac:dyDescent="0.25">
      <c r="A13" s="50" t="s">
        <v>265</v>
      </c>
      <c r="B13" s="51" t="s">
        <v>266</v>
      </c>
      <c r="C13" s="340"/>
      <c r="D13" s="341"/>
    </row>
    <row r="14" spans="1:5" ht="15" customHeight="1" x14ac:dyDescent="0.25">
      <c r="A14" s="52" t="s">
        <v>267</v>
      </c>
      <c r="B14" s="342" t="s">
        <v>268</v>
      </c>
      <c r="C14" s="342"/>
      <c r="D14" s="60" t="s">
        <v>269</v>
      </c>
    </row>
    <row r="15" spans="1:5" ht="15" customHeight="1" x14ac:dyDescent="0.25">
      <c r="A15" s="52" t="s">
        <v>270</v>
      </c>
      <c r="B15" s="53" t="s">
        <v>271</v>
      </c>
      <c r="C15" s="61" t="s">
        <v>272</v>
      </c>
      <c r="D15" s="60" t="s">
        <v>468</v>
      </c>
      <c r="E15" s="62"/>
    </row>
    <row r="16" spans="1:5" ht="28.5" x14ac:dyDescent="0.25">
      <c r="A16" s="52" t="s">
        <v>273</v>
      </c>
      <c r="B16" s="342" t="s">
        <v>274</v>
      </c>
      <c r="C16" s="342"/>
      <c r="D16" s="63" t="s">
        <v>419</v>
      </c>
    </row>
    <row r="17" spans="1:5" ht="15" customHeight="1" x14ac:dyDescent="0.25">
      <c r="A17" s="52" t="s">
        <v>275</v>
      </c>
      <c r="B17" s="342" t="s">
        <v>276</v>
      </c>
      <c r="C17" s="342"/>
      <c r="D17" s="60" t="s">
        <v>277</v>
      </c>
    </row>
    <row r="18" spans="1:5" ht="15" customHeight="1" thickBot="1" x14ac:dyDescent="0.3">
      <c r="A18" s="54" t="s">
        <v>278</v>
      </c>
      <c r="B18" s="64" t="s">
        <v>279</v>
      </c>
      <c r="C18" s="65" t="s">
        <v>280</v>
      </c>
      <c r="D18" s="66">
        <v>1302</v>
      </c>
    </row>
    <row r="19" spans="1:5" ht="15" customHeight="1" thickBot="1" x14ac:dyDescent="0.3">
      <c r="D19" s="68"/>
    </row>
    <row r="20" spans="1:5" ht="15" customHeight="1" thickBot="1" x14ac:dyDescent="0.3">
      <c r="A20" s="323" t="s">
        <v>281</v>
      </c>
      <c r="B20" s="324"/>
      <c r="C20" s="324"/>
      <c r="D20" s="325"/>
      <c r="E20" s="69" t="s">
        <v>235</v>
      </c>
    </row>
    <row r="21" spans="1:5" ht="30" x14ac:dyDescent="0.25">
      <c r="A21" s="50" t="s">
        <v>282</v>
      </c>
      <c r="B21" s="326" t="s">
        <v>283</v>
      </c>
      <c r="C21" s="326"/>
      <c r="D21" s="70" t="s">
        <v>420</v>
      </c>
    </row>
    <row r="22" spans="1:5" ht="15" customHeight="1" x14ac:dyDescent="0.25">
      <c r="A22" s="52" t="s">
        <v>285</v>
      </c>
      <c r="B22" s="327" t="s">
        <v>286</v>
      </c>
      <c r="C22" s="327"/>
      <c r="D22" s="71">
        <v>3183</v>
      </c>
    </row>
    <row r="23" spans="1:5" ht="15" customHeight="1" x14ac:dyDescent="0.25">
      <c r="A23" s="52" t="s">
        <v>288</v>
      </c>
      <c r="B23" s="327" t="s">
        <v>289</v>
      </c>
      <c r="C23" s="327"/>
      <c r="D23" s="72">
        <v>2978.92</v>
      </c>
      <c r="E23" s="73" t="s">
        <v>421</v>
      </c>
    </row>
    <row r="24" spans="1:5" ht="15" customHeight="1" x14ac:dyDescent="0.25">
      <c r="A24" s="52" t="s">
        <v>291</v>
      </c>
      <c r="B24" s="327" t="s">
        <v>292</v>
      </c>
      <c r="C24" s="327"/>
      <c r="D24" s="74" t="s">
        <v>422</v>
      </c>
      <c r="E24" s="73" t="s">
        <v>40</v>
      </c>
    </row>
    <row r="25" spans="1:5" ht="15" customHeight="1" x14ac:dyDescent="0.25">
      <c r="A25" s="52" t="s">
        <v>295</v>
      </c>
      <c r="B25" s="327" t="s">
        <v>296</v>
      </c>
      <c r="C25" s="327"/>
      <c r="D25" s="75">
        <v>44763</v>
      </c>
    </row>
    <row r="26" spans="1:5" ht="15" customHeight="1" x14ac:dyDescent="0.25">
      <c r="A26" s="52" t="s">
        <v>297</v>
      </c>
      <c r="B26" s="327" t="s">
        <v>298</v>
      </c>
      <c r="C26" s="327"/>
      <c r="D26" s="76">
        <v>44682</v>
      </c>
    </row>
    <row r="27" spans="1:5" ht="15" customHeight="1" x14ac:dyDescent="0.25">
      <c r="A27" s="52" t="s">
        <v>299</v>
      </c>
      <c r="B27" s="327" t="s">
        <v>300</v>
      </c>
      <c r="C27" s="328"/>
      <c r="D27" s="76" t="s">
        <v>301</v>
      </c>
      <c r="E27" s="73" t="s">
        <v>423</v>
      </c>
    </row>
    <row r="28" spans="1:5" ht="15" customHeight="1" thickBot="1" x14ac:dyDescent="0.3">
      <c r="A28" s="54" t="s">
        <v>303</v>
      </c>
      <c r="B28" s="329" t="s">
        <v>304</v>
      </c>
      <c r="C28" s="330"/>
      <c r="D28" s="77">
        <v>2</v>
      </c>
      <c r="E28" s="62"/>
    </row>
    <row r="29" spans="1:5" ht="15" customHeight="1" thickBot="1" x14ac:dyDescent="0.3">
      <c r="A29" s="78"/>
      <c r="B29" s="79"/>
      <c r="C29" s="79"/>
      <c r="D29" s="80"/>
    </row>
    <row r="30" spans="1:5" ht="15" customHeight="1" x14ac:dyDescent="0.25">
      <c r="A30" s="302" t="s">
        <v>305</v>
      </c>
      <c r="B30" s="303"/>
      <c r="C30" s="303"/>
      <c r="D30" s="304"/>
    </row>
    <row r="31" spans="1:5" ht="15" customHeight="1" x14ac:dyDescent="0.25">
      <c r="A31" s="315" t="s">
        <v>306</v>
      </c>
      <c r="B31" s="316"/>
      <c r="C31" s="331"/>
      <c r="D31" s="81" t="s">
        <v>307</v>
      </c>
    </row>
    <row r="32" spans="1:5" ht="15" customHeight="1" x14ac:dyDescent="0.25">
      <c r="A32" s="52" t="s">
        <v>308</v>
      </c>
      <c r="B32" s="332" t="s">
        <v>309</v>
      </c>
      <c r="C32" s="332"/>
      <c r="D32" s="82">
        <f>D23</f>
        <v>2978.92</v>
      </c>
      <c r="E32" s="73"/>
    </row>
    <row r="33" spans="1:5" ht="15" customHeight="1" x14ac:dyDescent="0.25">
      <c r="A33" s="52" t="s">
        <v>424</v>
      </c>
      <c r="B33" s="92" t="s">
        <v>425</v>
      </c>
      <c r="C33" s="137">
        <v>0.3</v>
      </c>
      <c r="D33" s="82">
        <f>D32*C33</f>
        <v>893.67600000000004</v>
      </c>
      <c r="E33" s="73"/>
    </row>
    <row r="34" spans="1:5" ht="15" customHeight="1" thickBot="1" x14ac:dyDescent="0.3">
      <c r="A34" s="333" t="s">
        <v>310</v>
      </c>
      <c r="B34" s="334"/>
      <c r="C34" s="334"/>
      <c r="D34" s="83">
        <f>SUM(D32:D33)</f>
        <v>3872.596</v>
      </c>
      <c r="E34" s="84"/>
    </row>
    <row r="35" spans="1:5" ht="15" customHeight="1" thickBot="1" x14ac:dyDescent="0.3">
      <c r="A35" s="67"/>
      <c r="C35" s="67"/>
      <c r="D35" s="67"/>
    </row>
    <row r="36" spans="1:5" ht="15" customHeight="1" x14ac:dyDescent="0.25">
      <c r="A36" s="302" t="s">
        <v>311</v>
      </c>
      <c r="B36" s="303"/>
      <c r="C36" s="303"/>
      <c r="D36" s="304"/>
    </row>
    <row r="37" spans="1:5" ht="15" customHeight="1" x14ac:dyDescent="0.25">
      <c r="A37" s="305" t="s">
        <v>312</v>
      </c>
      <c r="B37" s="306"/>
      <c r="C37" s="85" t="s">
        <v>313</v>
      </c>
      <c r="D37" s="86" t="s">
        <v>314</v>
      </c>
    </row>
    <row r="38" spans="1:5" ht="15" customHeight="1" x14ac:dyDescent="0.25">
      <c r="A38" s="52" t="s">
        <v>308</v>
      </c>
      <c r="B38" s="87" t="s">
        <v>315</v>
      </c>
      <c r="C38" s="88">
        <v>8.3299999999999999E-2</v>
      </c>
      <c r="D38" s="89">
        <f>(D34)*($C$38)</f>
        <v>322.5872468</v>
      </c>
      <c r="E38" s="49" t="s">
        <v>316</v>
      </c>
    </row>
    <row r="39" spans="1:5" ht="28.5" customHeight="1" x14ac:dyDescent="0.25">
      <c r="A39" s="52" t="s">
        <v>317</v>
      </c>
      <c r="B39" s="87" t="s">
        <v>318</v>
      </c>
      <c r="C39" s="88">
        <v>0.121</v>
      </c>
      <c r="D39" s="89">
        <f>(D34)*($C$39)</f>
        <v>468.58411599999999</v>
      </c>
      <c r="E39" s="84" t="s">
        <v>319</v>
      </c>
    </row>
    <row r="40" spans="1:5" ht="15" customHeight="1" x14ac:dyDescent="0.25">
      <c r="A40" s="321" t="s">
        <v>320</v>
      </c>
      <c r="B40" s="322"/>
      <c r="C40" s="90">
        <f>SUM(C38:C39)</f>
        <v>0.20429999999999998</v>
      </c>
      <c r="D40" s="91">
        <f>SUM(D38:D39)</f>
        <v>791.1713628</v>
      </c>
    </row>
    <row r="41" spans="1:5" ht="15" customHeight="1" x14ac:dyDescent="0.25">
      <c r="A41" s="305" t="s">
        <v>321</v>
      </c>
      <c r="B41" s="306"/>
      <c r="C41" s="85" t="s">
        <v>313</v>
      </c>
      <c r="D41" s="81" t="s">
        <v>314</v>
      </c>
    </row>
    <row r="42" spans="1:5" ht="15" customHeight="1" x14ac:dyDescent="0.25">
      <c r="A42" s="52" t="s">
        <v>308</v>
      </c>
      <c r="B42" s="92" t="s">
        <v>322</v>
      </c>
      <c r="C42" s="88">
        <v>0.2</v>
      </c>
      <c r="D42" s="89">
        <f t="shared" ref="D42:D49" si="0">($D$34+$D$40)*(C42)</f>
        <v>932.75347256000009</v>
      </c>
    </row>
    <row r="43" spans="1:5" ht="15" customHeight="1" x14ac:dyDescent="0.25">
      <c r="A43" s="52" t="s">
        <v>317</v>
      </c>
      <c r="B43" s="92" t="s">
        <v>323</v>
      </c>
      <c r="C43" s="88">
        <v>2.5000000000000001E-2</v>
      </c>
      <c r="D43" s="89">
        <f t="shared" si="0"/>
        <v>116.59418407000001</v>
      </c>
    </row>
    <row r="44" spans="1:5" ht="31.5" customHeight="1" x14ac:dyDescent="0.25">
      <c r="A44" s="52" t="s">
        <v>324</v>
      </c>
      <c r="B44" s="92" t="s">
        <v>325</v>
      </c>
      <c r="C44" s="88">
        <v>0.06</v>
      </c>
      <c r="D44" s="89">
        <f t="shared" si="0"/>
        <v>279.82604176799998</v>
      </c>
      <c r="E44" s="49" t="s">
        <v>326</v>
      </c>
    </row>
    <row r="45" spans="1:5" ht="15" customHeight="1" x14ac:dyDescent="0.25">
      <c r="A45" s="52" t="s">
        <v>327</v>
      </c>
      <c r="B45" s="92" t="s">
        <v>328</v>
      </c>
      <c r="C45" s="88">
        <v>1.4999999999999999E-2</v>
      </c>
      <c r="D45" s="89">
        <f t="shared" si="0"/>
        <v>69.956510441999995</v>
      </c>
    </row>
    <row r="46" spans="1:5" ht="15" customHeight="1" x14ac:dyDescent="0.25">
      <c r="A46" s="52" t="s">
        <v>329</v>
      </c>
      <c r="B46" s="92" t="s">
        <v>330</v>
      </c>
      <c r="C46" s="88">
        <v>0.01</v>
      </c>
      <c r="D46" s="89">
        <f t="shared" si="0"/>
        <v>46.637673628000002</v>
      </c>
    </row>
    <row r="47" spans="1:5" ht="15" customHeight="1" x14ac:dyDescent="0.25">
      <c r="A47" s="52" t="s">
        <v>331</v>
      </c>
      <c r="B47" s="93" t="s">
        <v>332</v>
      </c>
      <c r="C47" s="88">
        <v>6.0000000000000001E-3</v>
      </c>
      <c r="D47" s="89">
        <f t="shared" si="0"/>
        <v>27.982604176800002</v>
      </c>
    </row>
    <row r="48" spans="1:5" ht="15" customHeight="1" x14ac:dyDescent="0.25">
      <c r="A48" s="52" t="s">
        <v>333</v>
      </c>
      <c r="B48" s="92" t="s">
        <v>334</v>
      </c>
      <c r="C48" s="88">
        <v>2E-3</v>
      </c>
      <c r="D48" s="89">
        <f t="shared" si="0"/>
        <v>9.3275347256000014</v>
      </c>
    </row>
    <row r="49" spans="1:5" ht="15" customHeight="1" x14ac:dyDescent="0.25">
      <c r="A49" s="52" t="s">
        <v>335</v>
      </c>
      <c r="B49" s="92" t="s">
        <v>336</v>
      </c>
      <c r="C49" s="88">
        <v>0.08</v>
      </c>
      <c r="D49" s="89">
        <f t="shared" si="0"/>
        <v>373.10138902400001</v>
      </c>
      <c r="E49" s="84"/>
    </row>
    <row r="50" spans="1:5" ht="15" customHeight="1" x14ac:dyDescent="0.25">
      <c r="A50" s="321" t="s">
        <v>337</v>
      </c>
      <c r="B50" s="322"/>
      <c r="C50" s="90">
        <f>SUM(C42:C49)</f>
        <v>0.39800000000000008</v>
      </c>
      <c r="D50" s="91">
        <f>SUM(D42:D49)</f>
        <v>1856.1794103943998</v>
      </c>
    </row>
    <row r="51" spans="1:5" ht="15" customHeight="1" x14ac:dyDescent="0.25">
      <c r="A51" s="305" t="s">
        <v>338</v>
      </c>
      <c r="B51" s="306"/>
      <c r="C51" s="94" t="s">
        <v>339</v>
      </c>
      <c r="D51" s="81" t="s">
        <v>314</v>
      </c>
    </row>
    <row r="52" spans="1:5" ht="15" customHeight="1" x14ac:dyDescent="0.25">
      <c r="A52" s="52" t="s">
        <v>308</v>
      </c>
      <c r="B52" s="95" t="s">
        <v>340</v>
      </c>
      <c r="C52" s="96">
        <v>11</v>
      </c>
      <c r="D52" s="97">
        <f>IF((C52*22)-(D32*6%)&gt;0,(C52*22)-(D32*6%),0)</f>
        <v>63.264800000000008</v>
      </c>
      <c r="E52" s="73" t="s">
        <v>426</v>
      </c>
    </row>
    <row r="53" spans="1:5" ht="15" customHeight="1" x14ac:dyDescent="0.25">
      <c r="A53" s="52" t="s">
        <v>317</v>
      </c>
      <c r="B53" s="95" t="s">
        <v>342</v>
      </c>
      <c r="C53" s="98">
        <v>38.5</v>
      </c>
      <c r="D53" s="89">
        <f>(C53)*22</f>
        <v>847</v>
      </c>
      <c r="E53" s="73" t="s">
        <v>427</v>
      </c>
    </row>
    <row r="54" spans="1:5" ht="15" customHeight="1" x14ac:dyDescent="0.25">
      <c r="A54" s="317" t="s">
        <v>344</v>
      </c>
      <c r="B54" s="318"/>
      <c r="C54" s="99"/>
      <c r="D54" s="91">
        <f>SUM(D52:D53)</f>
        <v>910.26480000000004</v>
      </c>
    </row>
    <row r="55" spans="1:5" ht="15" customHeight="1" x14ac:dyDescent="0.25">
      <c r="A55" s="315" t="s">
        <v>345</v>
      </c>
      <c r="B55" s="316"/>
      <c r="C55" s="85" t="s">
        <v>346</v>
      </c>
      <c r="D55" s="81" t="s">
        <v>314</v>
      </c>
    </row>
    <row r="56" spans="1:5" ht="15" customHeight="1" x14ac:dyDescent="0.25">
      <c r="A56" s="52" t="s">
        <v>308</v>
      </c>
      <c r="B56" s="87" t="s">
        <v>347</v>
      </c>
      <c r="C56" s="100"/>
      <c r="D56" s="101">
        <f>(D34/220)*150%*0.5*C56</f>
        <v>0</v>
      </c>
      <c r="E56" s="49" t="s">
        <v>348</v>
      </c>
    </row>
    <row r="57" spans="1:5" ht="15" customHeight="1" thickBot="1" x14ac:dyDescent="0.3">
      <c r="A57" s="299" t="s">
        <v>349</v>
      </c>
      <c r="B57" s="300"/>
      <c r="C57" s="102"/>
      <c r="D57" s="103">
        <f>SUM(D56)</f>
        <v>0</v>
      </c>
    </row>
    <row r="58" spans="1:5" ht="15" customHeight="1" x14ac:dyDescent="0.25">
      <c r="A58" s="305" t="s">
        <v>350</v>
      </c>
      <c r="B58" s="306"/>
      <c r="C58" s="306"/>
      <c r="D58" s="319"/>
    </row>
    <row r="59" spans="1:5" ht="15" customHeight="1" x14ac:dyDescent="0.2">
      <c r="A59" s="104" t="s">
        <v>351</v>
      </c>
      <c r="B59" s="320" t="s">
        <v>352</v>
      </c>
      <c r="C59" s="320"/>
      <c r="D59" s="82">
        <f>(D40)</f>
        <v>791.1713628</v>
      </c>
    </row>
    <row r="60" spans="1:5" ht="15" customHeight="1" x14ac:dyDescent="0.2">
      <c r="A60" s="104" t="s">
        <v>353</v>
      </c>
      <c r="B60" s="320" t="s">
        <v>354</v>
      </c>
      <c r="C60" s="320"/>
      <c r="D60" s="82">
        <f>(D50)</f>
        <v>1856.1794103943998</v>
      </c>
    </row>
    <row r="61" spans="1:5" ht="15" customHeight="1" x14ac:dyDescent="0.2">
      <c r="A61" s="104" t="s">
        <v>355</v>
      </c>
      <c r="B61" s="320" t="s">
        <v>356</v>
      </c>
      <c r="C61" s="320"/>
      <c r="D61" s="82">
        <f>(D54)</f>
        <v>910.26480000000004</v>
      </c>
    </row>
    <row r="62" spans="1:5" ht="15" customHeight="1" x14ac:dyDescent="0.2">
      <c r="A62" s="104" t="s">
        <v>357</v>
      </c>
      <c r="B62" s="307" t="s">
        <v>358</v>
      </c>
      <c r="C62" s="308"/>
      <c r="D62" s="82">
        <f>D57</f>
        <v>0</v>
      </c>
    </row>
    <row r="63" spans="1:5" ht="15" customHeight="1" thickBot="1" x14ac:dyDescent="0.3">
      <c r="A63" s="299" t="s">
        <v>359</v>
      </c>
      <c r="B63" s="300"/>
      <c r="C63" s="300"/>
      <c r="D63" s="83">
        <f>SUM(D59:D62)</f>
        <v>3557.6155731944</v>
      </c>
    </row>
    <row r="64" spans="1:5" ht="15" customHeight="1" thickBot="1" x14ac:dyDescent="0.3">
      <c r="A64" s="105"/>
      <c r="B64" s="105"/>
      <c r="C64" s="105"/>
      <c r="D64" s="105"/>
    </row>
    <row r="65" spans="1:5" ht="15" customHeight="1" x14ac:dyDescent="0.25">
      <c r="A65" s="302" t="s">
        <v>360</v>
      </c>
      <c r="B65" s="303"/>
      <c r="C65" s="303"/>
      <c r="D65" s="304"/>
    </row>
    <row r="66" spans="1:5" ht="15" customHeight="1" x14ac:dyDescent="0.25">
      <c r="A66" s="305" t="s">
        <v>361</v>
      </c>
      <c r="B66" s="306"/>
      <c r="C66" s="85" t="s">
        <v>313</v>
      </c>
      <c r="D66" s="81" t="s">
        <v>314</v>
      </c>
    </row>
    <row r="67" spans="1:5" ht="15" customHeight="1" x14ac:dyDescent="0.25">
      <c r="A67" s="52" t="s">
        <v>308</v>
      </c>
      <c r="B67" s="106" t="s">
        <v>362</v>
      </c>
      <c r="C67" s="107">
        <v>4.1999999999999997E-3</v>
      </c>
      <c r="D67" s="101">
        <f t="shared" ref="D67:D72" si="1">($D$34)*(C67)</f>
        <v>16.264903199999999</v>
      </c>
    </row>
    <row r="68" spans="1:5" ht="28.5" x14ac:dyDescent="0.25">
      <c r="A68" s="52" t="s">
        <v>317</v>
      </c>
      <c r="B68" s="106" t="s">
        <v>363</v>
      </c>
      <c r="C68" s="108">
        <f>($C$49)*(C67)</f>
        <v>3.3599999999999998E-4</v>
      </c>
      <c r="D68" s="101">
        <f t="shared" si="1"/>
        <v>1.301192256</v>
      </c>
    </row>
    <row r="69" spans="1:5" ht="28.5" x14ac:dyDescent="0.25">
      <c r="A69" s="52" t="s">
        <v>324</v>
      </c>
      <c r="B69" s="106" t="s">
        <v>364</v>
      </c>
      <c r="C69" s="108">
        <v>3.9199999999999999E-2</v>
      </c>
      <c r="D69" s="101">
        <f t="shared" si="1"/>
        <v>151.8057632</v>
      </c>
    </row>
    <row r="70" spans="1:5" ht="28.5" x14ac:dyDescent="0.25">
      <c r="A70" s="52" t="s">
        <v>327</v>
      </c>
      <c r="B70" s="106" t="s">
        <v>365</v>
      </c>
      <c r="C70" s="108">
        <v>1.9400000000000001E-2</v>
      </c>
      <c r="D70" s="101">
        <f t="shared" si="1"/>
        <v>75.1283624</v>
      </c>
    </row>
    <row r="71" spans="1:5" x14ac:dyDescent="0.25">
      <c r="A71" s="52" t="s">
        <v>329</v>
      </c>
      <c r="B71" s="106" t="s">
        <v>366</v>
      </c>
      <c r="C71" s="108">
        <f>($C$50)*(C70)</f>
        <v>7.7212000000000018E-3</v>
      </c>
      <c r="D71" s="101">
        <f t="shared" si="1"/>
        <v>29.901088235200007</v>
      </c>
    </row>
    <row r="72" spans="1:5" ht="28.5" x14ac:dyDescent="0.25">
      <c r="A72" s="52" t="s">
        <v>331</v>
      </c>
      <c r="B72" s="106" t="s">
        <v>367</v>
      </c>
      <c r="C72" s="108">
        <v>8.0000000000000004E-4</v>
      </c>
      <c r="D72" s="101">
        <f t="shared" si="1"/>
        <v>3.0980768000000003</v>
      </c>
    </row>
    <row r="73" spans="1:5" ht="15" customHeight="1" thickBot="1" x14ac:dyDescent="0.3">
      <c r="A73" s="299" t="s">
        <v>368</v>
      </c>
      <c r="B73" s="300"/>
      <c r="C73" s="109">
        <f>SUM(C67:C72)</f>
        <v>7.165719999999999E-2</v>
      </c>
      <c r="D73" s="83">
        <f>SUM(D67:D72)</f>
        <v>277.49938609119999</v>
      </c>
    </row>
    <row r="74" spans="1:5" ht="15" customHeight="1" thickBot="1" x14ac:dyDescent="0.3">
      <c r="A74" s="105"/>
      <c r="B74" s="110"/>
      <c r="C74" s="110"/>
      <c r="D74" s="110"/>
    </row>
    <row r="75" spans="1:5" ht="15" customHeight="1" x14ac:dyDescent="0.25">
      <c r="A75" s="302" t="s">
        <v>369</v>
      </c>
      <c r="B75" s="303"/>
      <c r="C75" s="303"/>
      <c r="D75" s="304"/>
    </row>
    <row r="76" spans="1:5" ht="15" customHeight="1" x14ac:dyDescent="0.25">
      <c r="A76" s="315" t="s">
        <v>370</v>
      </c>
      <c r="B76" s="316"/>
      <c r="C76" s="85" t="s">
        <v>313</v>
      </c>
      <c r="D76" s="81" t="s">
        <v>314</v>
      </c>
    </row>
    <row r="77" spans="1:5" ht="15" customHeight="1" x14ac:dyDescent="0.25">
      <c r="A77" s="52" t="s">
        <v>308</v>
      </c>
      <c r="B77" s="87" t="s">
        <v>371</v>
      </c>
      <c r="C77" s="108">
        <v>0</v>
      </c>
      <c r="D77" s="101">
        <f>($D$34+$D$40+$D$50+$D$54+$D$73)*(C77)</f>
        <v>0</v>
      </c>
      <c r="E77" s="84" t="s">
        <v>372</v>
      </c>
    </row>
    <row r="78" spans="1:5" ht="15" customHeight="1" x14ac:dyDescent="0.25">
      <c r="A78" s="52" t="s">
        <v>317</v>
      </c>
      <c r="B78" s="87" t="s">
        <v>373</v>
      </c>
      <c r="C78" s="108">
        <v>2.3999999999999998E-3</v>
      </c>
      <c r="D78" s="101">
        <f>($D$34+$D$40+$D$50+$D$54+$D$73)*(C78)</f>
        <v>18.498506302285438</v>
      </c>
    </row>
    <row r="79" spans="1:5" ht="15" customHeight="1" x14ac:dyDescent="0.25">
      <c r="A79" s="52" t="s">
        <v>324</v>
      </c>
      <c r="B79" s="87" t="s">
        <v>374</v>
      </c>
      <c r="C79" s="108">
        <v>1E-3</v>
      </c>
      <c r="D79" s="101">
        <f>($D$34+$D$40+$D$50+$D$54+$D$73)*(C79)</f>
        <v>7.7077109592856008</v>
      </c>
    </row>
    <row r="80" spans="1:5" ht="15" customHeight="1" x14ac:dyDescent="0.25">
      <c r="A80" s="52" t="s">
        <v>327</v>
      </c>
      <c r="B80" s="87" t="s">
        <v>375</v>
      </c>
      <c r="C80" s="108">
        <v>1.6999999999999999E-3</v>
      </c>
      <c r="D80" s="101">
        <f>($D$34+$D$40+$D$50+$D$54+$D$73)*(C80)</f>
        <v>13.10310863078552</v>
      </c>
    </row>
    <row r="81" spans="1:5" ht="15" customHeight="1" x14ac:dyDescent="0.25">
      <c r="A81" s="52" t="s">
        <v>329</v>
      </c>
      <c r="B81" s="106" t="s">
        <v>376</v>
      </c>
      <c r="C81" s="108">
        <v>5.0000000000000001E-4</v>
      </c>
      <c r="D81" s="101">
        <f>($D$34+$D$40+$D$50+$D$54+$D$73)*(C81)</f>
        <v>3.8538554796428004</v>
      </c>
    </row>
    <row r="82" spans="1:5" ht="15" customHeight="1" x14ac:dyDescent="0.25">
      <c r="A82" s="317" t="s">
        <v>377</v>
      </c>
      <c r="B82" s="318"/>
      <c r="C82" s="111">
        <f>SUM(C77:C81)</f>
        <v>5.5999999999999991E-3</v>
      </c>
      <c r="D82" s="112">
        <f>SUM(D77:D81)</f>
        <v>43.163181371999364</v>
      </c>
    </row>
    <row r="83" spans="1:5" ht="15" customHeight="1" x14ac:dyDescent="0.25">
      <c r="A83" s="315" t="s">
        <v>378</v>
      </c>
      <c r="B83" s="316"/>
      <c r="C83" s="85"/>
      <c r="D83" s="81" t="s">
        <v>314</v>
      </c>
    </row>
    <row r="84" spans="1:5" ht="15" customHeight="1" x14ac:dyDescent="0.25">
      <c r="A84" s="52" t="s">
        <v>308</v>
      </c>
      <c r="B84" s="87" t="s">
        <v>379</v>
      </c>
      <c r="C84" s="100"/>
      <c r="D84" s="101">
        <f>(D62/220)*150%*0.5*C84</f>
        <v>0</v>
      </c>
      <c r="E84" s="49" t="s">
        <v>348</v>
      </c>
    </row>
    <row r="85" spans="1:5" ht="15" customHeight="1" thickBot="1" x14ac:dyDescent="0.3">
      <c r="A85" s="299" t="s">
        <v>380</v>
      </c>
      <c r="B85" s="300"/>
      <c r="C85" s="102"/>
      <c r="D85" s="103">
        <f>SUM(D84)</f>
        <v>0</v>
      </c>
    </row>
    <row r="86" spans="1:5" ht="15" customHeight="1" x14ac:dyDescent="0.25">
      <c r="A86" s="294" t="s">
        <v>381</v>
      </c>
      <c r="B86" s="295"/>
      <c r="C86" s="295"/>
      <c r="D86" s="296"/>
    </row>
    <row r="87" spans="1:5" ht="15" customHeight="1" x14ac:dyDescent="0.2">
      <c r="A87" s="104" t="s">
        <v>382</v>
      </c>
      <c r="B87" s="297" t="s">
        <v>383</v>
      </c>
      <c r="C87" s="298"/>
      <c r="D87" s="82">
        <f>(D82)</f>
        <v>43.163181371999364</v>
      </c>
    </row>
    <row r="88" spans="1:5" ht="15" customHeight="1" x14ac:dyDescent="0.2">
      <c r="A88" s="113" t="s">
        <v>384</v>
      </c>
      <c r="B88" s="307" t="s">
        <v>379</v>
      </c>
      <c r="C88" s="308"/>
      <c r="D88" s="101">
        <f>D85</f>
        <v>0</v>
      </c>
    </row>
    <row r="89" spans="1:5" ht="15" customHeight="1" thickBot="1" x14ac:dyDescent="0.3">
      <c r="A89" s="299" t="s">
        <v>385</v>
      </c>
      <c r="B89" s="300"/>
      <c r="C89" s="301"/>
      <c r="D89" s="83">
        <f>SUM(D87:D88)</f>
        <v>43.163181371999364</v>
      </c>
    </row>
    <row r="90" spans="1:5" ht="15" customHeight="1" thickBot="1" x14ac:dyDescent="0.3">
      <c r="A90" s="105"/>
      <c r="B90" s="105"/>
      <c r="C90" s="105"/>
      <c r="D90" s="105"/>
    </row>
    <row r="91" spans="1:5" ht="15" customHeight="1" x14ac:dyDescent="0.25">
      <c r="A91" s="302" t="s">
        <v>386</v>
      </c>
      <c r="B91" s="303"/>
      <c r="C91" s="303"/>
      <c r="D91" s="304"/>
    </row>
    <row r="92" spans="1:5" ht="15" customHeight="1" x14ac:dyDescent="0.25">
      <c r="A92" s="305" t="s">
        <v>387</v>
      </c>
      <c r="B92" s="306"/>
      <c r="C92" s="306"/>
      <c r="D92" s="81" t="s">
        <v>314</v>
      </c>
    </row>
    <row r="93" spans="1:5" ht="15" customHeight="1" x14ac:dyDescent="0.25">
      <c r="A93" s="52" t="s">
        <v>308</v>
      </c>
      <c r="B93" s="114" t="s">
        <v>428</v>
      </c>
      <c r="C93" s="115"/>
      <c r="D93" s="97">
        <f>'ANEXO VI_MATERIAL_FERRAMENTAL'!H17</f>
        <v>69.944999999999993</v>
      </c>
      <c r="E93" s="293" t="s">
        <v>389</v>
      </c>
    </row>
    <row r="94" spans="1:5" ht="15" customHeight="1" x14ac:dyDescent="0.25">
      <c r="A94" s="52" t="s">
        <v>317</v>
      </c>
      <c r="B94" s="114" t="s">
        <v>429</v>
      </c>
      <c r="C94" s="115"/>
      <c r="D94" s="89">
        <f>'ANEXO VI_MATERIAL_FERRAMENTAL'!H60</f>
        <v>59.17</v>
      </c>
      <c r="E94" s="293"/>
    </row>
    <row r="95" spans="1:5" ht="15" customHeight="1" x14ac:dyDescent="0.25">
      <c r="A95" s="52" t="s">
        <v>324</v>
      </c>
      <c r="B95" s="114" t="s">
        <v>391</v>
      </c>
      <c r="C95" s="115"/>
      <c r="D95" s="89">
        <f>'ANEXO VI_MATERIAL_FERRAMENTAL'!H68</f>
        <v>106.88</v>
      </c>
      <c r="E95" s="293"/>
    </row>
    <row r="96" spans="1:5" ht="15" customHeight="1" x14ac:dyDescent="0.25">
      <c r="A96" s="52" t="s">
        <v>430</v>
      </c>
      <c r="B96" s="114" t="s">
        <v>139</v>
      </c>
      <c r="C96" s="115"/>
      <c r="D96" s="89">
        <f>'ANEXO VI_MATERIAL_FERRAMENTAL'!H79</f>
        <v>22.060000000000002</v>
      </c>
      <c r="E96" s="293"/>
    </row>
    <row r="97" spans="1:5" ht="15" customHeight="1" thickBot="1" x14ac:dyDescent="0.3">
      <c r="A97" s="299" t="s">
        <v>392</v>
      </c>
      <c r="B97" s="301"/>
      <c r="C97" s="116">
        <f>C93</f>
        <v>0</v>
      </c>
      <c r="D97" s="83">
        <f>SUM(D93:D95)</f>
        <v>235.995</v>
      </c>
    </row>
    <row r="98" spans="1:5" ht="15" customHeight="1" thickBot="1" x14ac:dyDescent="0.3">
      <c r="A98" s="117"/>
      <c r="B98" s="118"/>
      <c r="C98" s="118"/>
      <c r="D98" s="119"/>
    </row>
    <row r="99" spans="1:5" ht="15" customHeight="1" x14ac:dyDescent="0.25">
      <c r="A99" s="309" t="s">
        <v>393</v>
      </c>
      <c r="B99" s="310"/>
      <c r="C99" s="310"/>
      <c r="D99" s="311"/>
    </row>
    <row r="100" spans="1:5" ht="15" customHeight="1" x14ac:dyDescent="0.25">
      <c r="A100" s="312" t="s">
        <v>394</v>
      </c>
      <c r="B100" s="313"/>
      <c r="C100" s="85" t="s">
        <v>313</v>
      </c>
      <c r="D100" s="120" t="s">
        <v>314</v>
      </c>
    </row>
    <row r="101" spans="1:5" ht="15" customHeight="1" x14ac:dyDescent="0.25">
      <c r="A101" s="52" t="s">
        <v>308</v>
      </c>
      <c r="B101" s="121" t="s">
        <v>395</v>
      </c>
      <c r="C101" s="88">
        <v>0.05</v>
      </c>
      <c r="D101" s="101">
        <f>(D34+D63+D73+D89+D97)*C101</f>
        <v>399.34345703288</v>
      </c>
      <c r="E101" s="122" t="s">
        <v>396</v>
      </c>
    </row>
    <row r="102" spans="1:5" ht="15" customHeight="1" x14ac:dyDescent="0.25">
      <c r="A102" s="52" t="s">
        <v>317</v>
      </c>
      <c r="B102" s="121" t="s">
        <v>397</v>
      </c>
      <c r="C102" s="88">
        <v>0.1</v>
      </c>
      <c r="D102" s="101">
        <f>(D34+D63+D73+D89+D97+D101)*C102</f>
        <v>838.62125976904792</v>
      </c>
      <c r="E102" s="122" t="s">
        <v>398</v>
      </c>
    </row>
    <row r="103" spans="1:5" ht="15" customHeight="1" x14ac:dyDescent="0.25">
      <c r="A103" s="314" t="s">
        <v>324</v>
      </c>
      <c r="B103" s="93" t="s">
        <v>399</v>
      </c>
      <c r="C103" s="123">
        <f>C104+C105+C108</f>
        <v>0.14250000000000002</v>
      </c>
      <c r="D103" s="124"/>
      <c r="E103" s="125"/>
    </row>
    <row r="104" spans="1:5" ht="15" customHeight="1" x14ac:dyDescent="0.25">
      <c r="A104" s="314"/>
      <c r="B104" s="126" t="s">
        <v>400</v>
      </c>
      <c r="C104" s="88">
        <v>1.6500000000000001E-2</v>
      </c>
      <c r="D104" s="101">
        <f>((D34+D63+D73+D89+D97+D101+D102)/(1-C103))*C104</f>
        <v>177.50409171788016</v>
      </c>
      <c r="E104" s="125" t="s">
        <v>247</v>
      </c>
    </row>
    <row r="105" spans="1:5" ht="15" customHeight="1" x14ac:dyDescent="0.25">
      <c r="A105" s="314"/>
      <c r="B105" s="126" t="s">
        <v>401</v>
      </c>
      <c r="C105" s="88">
        <v>7.5999999999999998E-2</v>
      </c>
      <c r="D105" s="101">
        <f>((D34+D63+D73+D89+D97+D101+D102)/(1-C103))*C105</f>
        <v>817.59460427629642</v>
      </c>
      <c r="E105" s="125" t="s">
        <v>247</v>
      </c>
    </row>
    <row r="106" spans="1:5" ht="15" customHeight="1" x14ac:dyDescent="0.25">
      <c r="A106" s="314"/>
      <c r="B106" s="93" t="s">
        <v>402</v>
      </c>
      <c r="C106" s="127"/>
      <c r="D106" s="101"/>
    </row>
    <row r="107" spans="1:5" ht="15" customHeight="1" x14ac:dyDescent="0.25">
      <c r="A107" s="314"/>
      <c r="B107" s="93" t="s">
        <v>403</v>
      </c>
      <c r="C107" s="127"/>
      <c r="D107" s="101"/>
      <c r="E107" s="49" t="s">
        <v>431</v>
      </c>
    </row>
    <row r="108" spans="1:5" ht="15" customHeight="1" x14ac:dyDescent="0.25">
      <c r="A108" s="314"/>
      <c r="B108" s="126" t="s">
        <v>405</v>
      </c>
      <c r="C108" s="88">
        <v>0.05</v>
      </c>
      <c r="D108" s="101">
        <f>((D34+D63+D73+D89+D97+D101+D102)/(1-C103))*C108</f>
        <v>537.8911870238793</v>
      </c>
      <c r="E108" s="84">
        <f>D102/(44*4)</f>
        <v>4.7648935214150452</v>
      </c>
    </row>
    <row r="109" spans="1:5" ht="15" customHeight="1" thickBot="1" x14ac:dyDescent="0.3">
      <c r="A109" s="299" t="s">
        <v>406</v>
      </c>
      <c r="B109" s="300"/>
      <c r="C109" s="128">
        <f>C101+C102+C104+C105+C108</f>
        <v>0.29250000000000004</v>
      </c>
      <c r="D109" s="103">
        <f>SUM(D101:D102,D104:D105,D108)</f>
        <v>2770.9545998199837</v>
      </c>
      <c r="E109" s="49" t="s">
        <v>432</v>
      </c>
    </row>
    <row r="110" spans="1:5" ht="15" customHeight="1" thickBot="1" x14ac:dyDescent="0.3">
      <c r="A110" s="105"/>
      <c r="B110" s="105"/>
      <c r="C110" s="105"/>
      <c r="D110" s="105"/>
      <c r="E110" s="84">
        <f>E108*48</f>
        <v>228.71488902792217</v>
      </c>
    </row>
    <row r="111" spans="1:5" ht="15" customHeight="1" x14ac:dyDescent="0.25">
      <c r="A111" s="302" t="s">
        <v>408</v>
      </c>
      <c r="B111" s="303"/>
      <c r="C111" s="303"/>
      <c r="D111" s="304"/>
    </row>
    <row r="112" spans="1:5" ht="15" customHeight="1" x14ac:dyDescent="0.25">
      <c r="A112" s="305" t="s">
        <v>409</v>
      </c>
      <c r="B112" s="306"/>
      <c r="C112" s="306"/>
      <c r="D112" s="129" t="s">
        <v>314</v>
      </c>
    </row>
    <row r="113" spans="1:5" ht="15" customHeight="1" x14ac:dyDescent="0.25">
      <c r="A113" s="52" t="s">
        <v>308</v>
      </c>
      <c r="B113" s="287" t="s">
        <v>410</v>
      </c>
      <c r="C113" s="288"/>
      <c r="D113" s="130">
        <f>(D34)</f>
        <v>3872.596</v>
      </c>
    </row>
    <row r="114" spans="1:5" ht="15" customHeight="1" x14ac:dyDescent="0.25">
      <c r="A114" s="52" t="s">
        <v>317</v>
      </c>
      <c r="B114" s="287" t="s">
        <v>411</v>
      </c>
      <c r="C114" s="288"/>
      <c r="D114" s="101">
        <f>(D63)</f>
        <v>3557.6155731944</v>
      </c>
    </row>
    <row r="115" spans="1:5" ht="15" customHeight="1" x14ac:dyDescent="0.25">
      <c r="A115" s="52" t="s">
        <v>324</v>
      </c>
      <c r="B115" s="287" t="s">
        <v>412</v>
      </c>
      <c r="C115" s="288"/>
      <c r="D115" s="101">
        <f>(D73)</f>
        <v>277.49938609119999</v>
      </c>
    </row>
    <row r="116" spans="1:5" ht="15" customHeight="1" x14ac:dyDescent="0.25">
      <c r="A116" s="52" t="s">
        <v>327</v>
      </c>
      <c r="B116" s="287" t="s">
        <v>413</v>
      </c>
      <c r="C116" s="288"/>
      <c r="D116" s="101">
        <f>(D89)</f>
        <v>43.163181371999364</v>
      </c>
    </row>
    <row r="117" spans="1:5" ht="15" customHeight="1" x14ac:dyDescent="0.25">
      <c r="A117" s="52" t="s">
        <v>329</v>
      </c>
      <c r="B117" s="287" t="s">
        <v>414</v>
      </c>
      <c r="C117" s="288"/>
      <c r="D117" s="101">
        <f>D97</f>
        <v>235.995</v>
      </c>
    </row>
    <row r="118" spans="1:5" ht="15" customHeight="1" x14ac:dyDescent="0.25">
      <c r="A118" s="289" t="s">
        <v>415</v>
      </c>
      <c r="B118" s="290"/>
      <c r="C118" s="291"/>
      <c r="D118" s="131">
        <f>SUM(D113:D117)</f>
        <v>7986.869140657599</v>
      </c>
      <c r="E118" s="84"/>
    </row>
    <row r="119" spans="1:5" ht="15" customHeight="1" thickBot="1" x14ac:dyDescent="0.3">
      <c r="A119" s="132" t="s">
        <v>331</v>
      </c>
      <c r="B119" s="292" t="s">
        <v>416</v>
      </c>
      <c r="C119" s="292"/>
      <c r="D119" s="133">
        <f>(D109)</f>
        <v>2770.9545998199837</v>
      </c>
    </row>
    <row r="120" spans="1:5" ht="15" customHeight="1" thickBot="1" x14ac:dyDescent="0.3">
      <c r="A120" s="285" t="s">
        <v>417</v>
      </c>
      <c r="B120" s="286"/>
      <c r="C120" s="286"/>
      <c r="D120" s="134">
        <f>SUM(D118:D119)</f>
        <v>10757.823740477583</v>
      </c>
    </row>
    <row r="121" spans="1:5" ht="15" customHeight="1" thickBot="1" x14ac:dyDescent="0.3">
      <c r="A121" s="285" t="s">
        <v>418</v>
      </c>
      <c r="B121" s="286"/>
      <c r="C121" s="286"/>
      <c r="D121" s="134">
        <f>D120/(44*4)</f>
        <v>61.123998525440811</v>
      </c>
    </row>
    <row r="122" spans="1:5" ht="15" customHeight="1" x14ac:dyDescent="0.25">
      <c r="D122" s="68"/>
    </row>
    <row r="123" spans="1:5" ht="15" customHeight="1" x14ac:dyDescent="0.25">
      <c r="D123" s="68"/>
    </row>
    <row r="124" spans="1:5" ht="15" customHeight="1" x14ac:dyDescent="0.25">
      <c r="D124" s="68"/>
    </row>
    <row r="125" spans="1:5" ht="15" customHeight="1" x14ac:dyDescent="0.25">
      <c r="C125" s="135"/>
    </row>
  </sheetData>
  <mergeCells count="74">
    <mergeCell ref="A121:C121"/>
    <mergeCell ref="A1:D1"/>
    <mergeCell ref="A2:D2"/>
    <mergeCell ref="A3:D3"/>
    <mergeCell ref="A4:D4"/>
    <mergeCell ref="A5:D5"/>
    <mergeCell ref="C13:D13"/>
    <mergeCell ref="B14:C14"/>
    <mergeCell ref="B16:C16"/>
    <mergeCell ref="B17:C17"/>
    <mergeCell ref="A6:D6"/>
    <mergeCell ref="C7:D7"/>
    <mergeCell ref="C8:D8"/>
    <mergeCell ref="C9:D9"/>
    <mergeCell ref="C10:D10"/>
    <mergeCell ref="A12:D12"/>
    <mergeCell ref="A20:D20"/>
    <mergeCell ref="B21:C21"/>
    <mergeCell ref="A37:B37"/>
    <mergeCell ref="B23:C23"/>
    <mergeCell ref="B24:C24"/>
    <mergeCell ref="B25:C25"/>
    <mergeCell ref="B26:C26"/>
    <mergeCell ref="B27:C27"/>
    <mergeCell ref="B28:C28"/>
    <mergeCell ref="A30:D30"/>
    <mergeCell ref="B22:C22"/>
    <mergeCell ref="A31:C31"/>
    <mergeCell ref="B32:C32"/>
    <mergeCell ref="A34:C34"/>
    <mergeCell ref="A36:D36"/>
    <mergeCell ref="A40:B40"/>
    <mergeCell ref="A41:B41"/>
    <mergeCell ref="A50:B50"/>
    <mergeCell ref="A51:B51"/>
    <mergeCell ref="A54:B54"/>
    <mergeCell ref="A76:B76"/>
    <mergeCell ref="A82:B82"/>
    <mergeCell ref="A83:B83"/>
    <mergeCell ref="A85:B85"/>
    <mergeCell ref="A55:B55"/>
    <mergeCell ref="A57:B57"/>
    <mergeCell ref="A58:D58"/>
    <mergeCell ref="B59:C59"/>
    <mergeCell ref="B60:C60"/>
    <mergeCell ref="B61:C61"/>
    <mergeCell ref="A63:C63"/>
    <mergeCell ref="A65:D65"/>
    <mergeCell ref="A66:B66"/>
    <mergeCell ref="A73:B73"/>
    <mergeCell ref="A75:D75"/>
    <mergeCell ref="B62:C62"/>
    <mergeCell ref="E93:E96"/>
    <mergeCell ref="A86:D86"/>
    <mergeCell ref="B87:C87"/>
    <mergeCell ref="B113:C113"/>
    <mergeCell ref="A89:C89"/>
    <mergeCell ref="A91:D91"/>
    <mergeCell ref="A92:C92"/>
    <mergeCell ref="A111:D111"/>
    <mergeCell ref="A112:C112"/>
    <mergeCell ref="B88:C88"/>
    <mergeCell ref="A97:B97"/>
    <mergeCell ref="A99:D99"/>
    <mergeCell ref="A100:B100"/>
    <mergeCell ref="A103:A108"/>
    <mergeCell ref="A109:B109"/>
    <mergeCell ref="A120:C120"/>
    <mergeCell ref="B114:C114"/>
    <mergeCell ref="B115:C115"/>
    <mergeCell ref="B116:C116"/>
    <mergeCell ref="B117:C117"/>
    <mergeCell ref="A118:C118"/>
    <mergeCell ref="B119:C119"/>
  </mergeCells>
  <printOptions horizontalCentered="1" verticalCentered="1"/>
  <pageMargins left="7.874015748031496E-2" right="7.874015748031496E-2" top="7.874015748031496E-2" bottom="7.874015748031496E-2" header="0.31496062992125984" footer="0.31496062992125984"/>
  <pageSetup paperSize="8" scale="63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5762A-A059-429B-BD75-B3E7ADD0FE66}">
  <sheetPr>
    <tabColor theme="6" tint="0.79998168889431442"/>
    <pageSetUpPr fitToPage="1"/>
  </sheetPr>
  <dimension ref="A1:E123"/>
  <sheetViews>
    <sheetView showGridLines="0" zoomScaleNormal="100" zoomScaleSheetLayoutView="100" workbookViewId="0">
      <selection activeCell="E25" sqref="E25"/>
    </sheetView>
  </sheetViews>
  <sheetFormatPr defaultColWidth="8.85546875" defaultRowHeight="15" customHeight="1" x14ac:dyDescent="0.25"/>
  <cols>
    <col min="1" max="1" width="3.85546875" style="58" customWidth="1"/>
    <col min="2" max="2" width="70.7109375" style="67" customWidth="1"/>
    <col min="3" max="3" width="14.7109375" style="58" customWidth="1"/>
    <col min="4" max="4" width="23.7109375" style="136" customWidth="1"/>
    <col min="5" max="5" width="100" style="49" customWidth="1"/>
    <col min="6" max="222" width="8.85546875" style="7"/>
    <col min="223" max="223" width="1.85546875" style="7" customWidth="1"/>
    <col min="224" max="224" width="7.28515625" style="7" customWidth="1"/>
    <col min="225" max="225" width="9.85546875" style="7" customWidth="1"/>
    <col min="226" max="226" width="12.7109375" style="7" customWidth="1"/>
    <col min="227" max="227" width="11.140625" style="7" customWidth="1"/>
    <col min="228" max="228" width="10.85546875" style="7" customWidth="1"/>
    <col min="229" max="229" width="11.42578125" style="7" customWidth="1"/>
    <col min="230" max="230" width="13.42578125" style="7" customWidth="1"/>
    <col min="231" max="231" width="11.140625" style="7" customWidth="1"/>
    <col min="232" max="232" width="11.28515625" style="7" bestFit="1" customWidth="1"/>
    <col min="233" max="233" width="11.42578125" style="7" customWidth="1"/>
    <col min="234" max="234" width="8.85546875" style="7" customWidth="1"/>
    <col min="235" max="235" width="9.85546875" style="7" bestFit="1" customWidth="1"/>
    <col min="236" max="236" width="8.85546875" style="7"/>
    <col min="237" max="237" width="9.42578125" style="7" bestFit="1" customWidth="1"/>
    <col min="238" max="478" width="8.85546875" style="7"/>
    <col min="479" max="479" width="1.85546875" style="7" customWidth="1"/>
    <col min="480" max="480" width="7.28515625" style="7" customWidth="1"/>
    <col min="481" max="481" width="9.85546875" style="7" customWidth="1"/>
    <col min="482" max="482" width="12.7109375" style="7" customWidth="1"/>
    <col min="483" max="483" width="11.140625" style="7" customWidth="1"/>
    <col min="484" max="484" width="10.85546875" style="7" customWidth="1"/>
    <col min="485" max="485" width="11.42578125" style="7" customWidth="1"/>
    <col min="486" max="486" width="13.42578125" style="7" customWidth="1"/>
    <col min="487" max="487" width="11.140625" style="7" customWidth="1"/>
    <col min="488" max="488" width="11.28515625" style="7" bestFit="1" customWidth="1"/>
    <col min="489" max="489" width="11.42578125" style="7" customWidth="1"/>
    <col min="490" max="490" width="8.85546875" style="7" customWidth="1"/>
    <col min="491" max="491" width="9.85546875" style="7" bestFit="1" customWidth="1"/>
    <col min="492" max="492" width="8.85546875" style="7"/>
    <col min="493" max="493" width="9.42578125" style="7" bestFit="1" customWidth="1"/>
    <col min="494" max="734" width="8.85546875" style="7"/>
    <col min="735" max="735" width="1.85546875" style="7" customWidth="1"/>
    <col min="736" max="736" width="7.28515625" style="7" customWidth="1"/>
    <col min="737" max="737" width="9.85546875" style="7" customWidth="1"/>
    <col min="738" max="738" width="12.7109375" style="7" customWidth="1"/>
    <col min="739" max="739" width="11.140625" style="7" customWidth="1"/>
    <col min="740" max="740" width="10.85546875" style="7" customWidth="1"/>
    <col min="741" max="741" width="11.42578125" style="7" customWidth="1"/>
    <col min="742" max="742" width="13.42578125" style="7" customWidth="1"/>
    <col min="743" max="743" width="11.140625" style="7" customWidth="1"/>
    <col min="744" max="744" width="11.28515625" style="7" bestFit="1" customWidth="1"/>
    <col min="745" max="745" width="11.42578125" style="7" customWidth="1"/>
    <col min="746" max="746" width="8.85546875" style="7" customWidth="1"/>
    <col min="747" max="747" width="9.85546875" style="7" bestFit="1" customWidth="1"/>
    <col min="748" max="748" width="8.85546875" style="7"/>
    <col min="749" max="749" width="9.42578125" style="7" bestFit="1" customWidth="1"/>
    <col min="750" max="990" width="8.85546875" style="7"/>
    <col min="991" max="991" width="1.85546875" style="7" customWidth="1"/>
    <col min="992" max="992" width="7.28515625" style="7" customWidth="1"/>
    <col min="993" max="993" width="9.85546875" style="7" customWidth="1"/>
    <col min="994" max="994" width="12.7109375" style="7" customWidth="1"/>
    <col min="995" max="995" width="11.140625" style="7" customWidth="1"/>
    <col min="996" max="996" width="10.85546875" style="7" customWidth="1"/>
    <col min="997" max="997" width="11.42578125" style="7" customWidth="1"/>
    <col min="998" max="998" width="13.42578125" style="7" customWidth="1"/>
    <col min="999" max="999" width="11.140625" style="7" customWidth="1"/>
    <col min="1000" max="1000" width="11.28515625" style="7" bestFit="1" customWidth="1"/>
    <col min="1001" max="1001" width="11.42578125" style="7" customWidth="1"/>
    <col min="1002" max="1002" width="8.85546875" style="7" customWidth="1"/>
    <col min="1003" max="1003" width="9.85546875" style="7" bestFit="1" customWidth="1"/>
    <col min="1004" max="1004" width="8.85546875" style="7"/>
    <col min="1005" max="1005" width="9.42578125" style="7" bestFit="1" customWidth="1"/>
    <col min="1006" max="1246" width="8.85546875" style="7"/>
    <col min="1247" max="1247" width="1.85546875" style="7" customWidth="1"/>
    <col min="1248" max="1248" width="7.28515625" style="7" customWidth="1"/>
    <col min="1249" max="1249" width="9.85546875" style="7" customWidth="1"/>
    <col min="1250" max="1250" width="12.7109375" style="7" customWidth="1"/>
    <col min="1251" max="1251" width="11.140625" style="7" customWidth="1"/>
    <col min="1252" max="1252" width="10.85546875" style="7" customWidth="1"/>
    <col min="1253" max="1253" width="11.42578125" style="7" customWidth="1"/>
    <col min="1254" max="1254" width="13.42578125" style="7" customWidth="1"/>
    <col min="1255" max="1255" width="11.140625" style="7" customWidth="1"/>
    <col min="1256" max="1256" width="11.28515625" style="7" bestFit="1" customWidth="1"/>
    <col min="1257" max="1257" width="11.42578125" style="7" customWidth="1"/>
    <col min="1258" max="1258" width="8.85546875" style="7" customWidth="1"/>
    <col min="1259" max="1259" width="9.85546875" style="7" bestFit="1" customWidth="1"/>
    <col min="1260" max="1260" width="8.85546875" style="7"/>
    <col min="1261" max="1261" width="9.42578125" style="7" bestFit="1" customWidth="1"/>
    <col min="1262" max="1502" width="8.85546875" style="7"/>
    <col min="1503" max="1503" width="1.85546875" style="7" customWidth="1"/>
    <col min="1504" max="1504" width="7.28515625" style="7" customWidth="1"/>
    <col min="1505" max="1505" width="9.85546875" style="7" customWidth="1"/>
    <col min="1506" max="1506" width="12.7109375" style="7" customWidth="1"/>
    <col min="1507" max="1507" width="11.140625" style="7" customWidth="1"/>
    <col min="1508" max="1508" width="10.85546875" style="7" customWidth="1"/>
    <col min="1509" max="1509" width="11.42578125" style="7" customWidth="1"/>
    <col min="1510" max="1510" width="13.42578125" style="7" customWidth="1"/>
    <col min="1511" max="1511" width="11.140625" style="7" customWidth="1"/>
    <col min="1512" max="1512" width="11.28515625" style="7" bestFit="1" customWidth="1"/>
    <col min="1513" max="1513" width="11.42578125" style="7" customWidth="1"/>
    <col min="1514" max="1514" width="8.85546875" style="7" customWidth="1"/>
    <col min="1515" max="1515" width="9.85546875" style="7" bestFit="1" customWidth="1"/>
    <col min="1516" max="1516" width="8.85546875" style="7"/>
    <col min="1517" max="1517" width="9.42578125" style="7" bestFit="1" customWidth="1"/>
    <col min="1518" max="1758" width="8.85546875" style="7"/>
    <col min="1759" max="1759" width="1.85546875" style="7" customWidth="1"/>
    <col min="1760" max="1760" width="7.28515625" style="7" customWidth="1"/>
    <col min="1761" max="1761" width="9.85546875" style="7" customWidth="1"/>
    <col min="1762" max="1762" width="12.7109375" style="7" customWidth="1"/>
    <col min="1763" max="1763" width="11.140625" style="7" customWidth="1"/>
    <col min="1764" max="1764" width="10.85546875" style="7" customWidth="1"/>
    <col min="1765" max="1765" width="11.42578125" style="7" customWidth="1"/>
    <col min="1766" max="1766" width="13.42578125" style="7" customWidth="1"/>
    <col min="1767" max="1767" width="11.140625" style="7" customWidth="1"/>
    <col min="1768" max="1768" width="11.28515625" style="7" bestFit="1" customWidth="1"/>
    <col min="1769" max="1769" width="11.42578125" style="7" customWidth="1"/>
    <col min="1770" max="1770" width="8.85546875" style="7" customWidth="1"/>
    <col min="1771" max="1771" width="9.85546875" style="7" bestFit="1" customWidth="1"/>
    <col min="1772" max="1772" width="8.85546875" style="7"/>
    <col min="1773" max="1773" width="9.42578125" style="7" bestFit="1" customWidth="1"/>
    <col min="1774" max="2014" width="8.85546875" style="7"/>
    <col min="2015" max="2015" width="1.85546875" style="7" customWidth="1"/>
    <col min="2016" max="2016" width="7.28515625" style="7" customWidth="1"/>
    <col min="2017" max="2017" width="9.85546875" style="7" customWidth="1"/>
    <col min="2018" max="2018" width="12.7109375" style="7" customWidth="1"/>
    <col min="2019" max="2019" width="11.140625" style="7" customWidth="1"/>
    <col min="2020" max="2020" width="10.85546875" style="7" customWidth="1"/>
    <col min="2021" max="2021" width="11.42578125" style="7" customWidth="1"/>
    <col min="2022" max="2022" width="13.42578125" style="7" customWidth="1"/>
    <col min="2023" max="2023" width="11.140625" style="7" customWidth="1"/>
    <col min="2024" max="2024" width="11.28515625" style="7" bestFit="1" customWidth="1"/>
    <col min="2025" max="2025" width="11.42578125" style="7" customWidth="1"/>
    <col min="2026" max="2026" width="8.85546875" style="7" customWidth="1"/>
    <col min="2027" max="2027" width="9.85546875" style="7" bestFit="1" customWidth="1"/>
    <col min="2028" max="2028" width="8.85546875" style="7"/>
    <col min="2029" max="2029" width="9.42578125" style="7" bestFit="1" customWidth="1"/>
    <col min="2030" max="2270" width="8.85546875" style="7"/>
    <col min="2271" max="2271" width="1.85546875" style="7" customWidth="1"/>
    <col min="2272" max="2272" width="7.28515625" style="7" customWidth="1"/>
    <col min="2273" max="2273" width="9.85546875" style="7" customWidth="1"/>
    <col min="2274" max="2274" width="12.7109375" style="7" customWidth="1"/>
    <col min="2275" max="2275" width="11.140625" style="7" customWidth="1"/>
    <col min="2276" max="2276" width="10.85546875" style="7" customWidth="1"/>
    <col min="2277" max="2277" width="11.42578125" style="7" customWidth="1"/>
    <col min="2278" max="2278" width="13.42578125" style="7" customWidth="1"/>
    <col min="2279" max="2279" width="11.140625" style="7" customWidth="1"/>
    <col min="2280" max="2280" width="11.28515625" style="7" bestFit="1" customWidth="1"/>
    <col min="2281" max="2281" width="11.42578125" style="7" customWidth="1"/>
    <col min="2282" max="2282" width="8.85546875" style="7" customWidth="1"/>
    <col min="2283" max="2283" width="9.85546875" style="7" bestFit="1" customWidth="1"/>
    <col min="2284" max="2284" width="8.85546875" style="7"/>
    <col min="2285" max="2285" width="9.42578125" style="7" bestFit="1" customWidth="1"/>
    <col min="2286" max="2526" width="8.85546875" style="7"/>
    <col min="2527" max="2527" width="1.85546875" style="7" customWidth="1"/>
    <col min="2528" max="2528" width="7.28515625" style="7" customWidth="1"/>
    <col min="2529" max="2529" width="9.85546875" style="7" customWidth="1"/>
    <col min="2530" max="2530" width="12.7109375" style="7" customWidth="1"/>
    <col min="2531" max="2531" width="11.140625" style="7" customWidth="1"/>
    <col min="2532" max="2532" width="10.85546875" style="7" customWidth="1"/>
    <col min="2533" max="2533" width="11.42578125" style="7" customWidth="1"/>
    <col min="2534" max="2534" width="13.42578125" style="7" customWidth="1"/>
    <col min="2535" max="2535" width="11.140625" style="7" customWidth="1"/>
    <col min="2536" max="2536" width="11.28515625" style="7" bestFit="1" customWidth="1"/>
    <col min="2537" max="2537" width="11.42578125" style="7" customWidth="1"/>
    <col min="2538" max="2538" width="8.85546875" style="7" customWidth="1"/>
    <col min="2539" max="2539" width="9.85546875" style="7" bestFit="1" customWidth="1"/>
    <col min="2540" max="2540" width="8.85546875" style="7"/>
    <col min="2541" max="2541" width="9.42578125" style="7" bestFit="1" customWidth="1"/>
    <col min="2542" max="2782" width="8.85546875" style="7"/>
    <col min="2783" max="2783" width="1.85546875" style="7" customWidth="1"/>
    <col min="2784" max="2784" width="7.28515625" style="7" customWidth="1"/>
    <col min="2785" max="2785" width="9.85546875" style="7" customWidth="1"/>
    <col min="2786" max="2786" width="12.7109375" style="7" customWidth="1"/>
    <col min="2787" max="2787" width="11.140625" style="7" customWidth="1"/>
    <col min="2788" max="2788" width="10.85546875" style="7" customWidth="1"/>
    <col min="2789" max="2789" width="11.42578125" style="7" customWidth="1"/>
    <col min="2790" max="2790" width="13.42578125" style="7" customWidth="1"/>
    <col min="2791" max="2791" width="11.140625" style="7" customWidth="1"/>
    <col min="2792" max="2792" width="11.28515625" style="7" bestFit="1" customWidth="1"/>
    <col min="2793" max="2793" width="11.42578125" style="7" customWidth="1"/>
    <col min="2794" max="2794" width="8.85546875" style="7" customWidth="1"/>
    <col min="2795" max="2795" width="9.85546875" style="7" bestFit="1" customWidth="1"/>
    <col min="2796" max="2796" width="8.85546875" style="7"/>
    <col min="2797" max="2797" width="9.42578125" style="7" bestFit="1" customWidth="1"/>
    <col min="2798" max="3038" width="8.85546875" style="7"/>
    <col min="3039" max="3039" width="1.85546875" style="7" customWidth="1"/>
    <col min="3040" max="3040" width="7.28515625" style="7" customWidth="1"/>
    <col min="3041" max="3041" width="9.85546875" style="7" customWidth="1"/>
    <col min="3042" max="3042" width="12.7109375" style="7" customWidth="1"/>
    <col min="3043" max="3043" width="11.140625" style="7" customWidth="1"/>
    <col min="3044" max="3044" width="10.85546875" style="7" customWidth="1"/>
    <col min="3045" max="3045" width="11.42578125" style="7" customWidth="1"/>
    <col min="3046" max="3046" width="13.42578125" style="7" customWidth="1"/>
    <col min="3047" max="3047" width="11.140625" style="7" customWidth="1"/>
    <col min="3048" max="3048" width="11.28515625" style="7" bestFit="1" customWidth="1"/>
    <col min="3049" max="3049" width="11.42578125" style="7" customWidth="1"/>
    <col min="3050" max="3050" width="8.85546875" style="7" customWidth="1"/>
    <col min="3051" max="3051" width="9.85546875" style="7" bestFit="1" customWidth="1"/>
    <col min="3052" max="3052" width="8.85546875" style="7"/>
    <col min="3053" max="3053" width="9.42578125" style="7" bestFit="1" customWidth="1"/>
    <col min="3054" max="3294" width="8.85546875" style="7"/>
    <col min="3295" max="3295" width="1.85546875" style="7" customWidth="1"/>
    <col min="3296" max="3296" width="7.28515625" style="7" customWidth="1"/>
    <col min="3297" max="3297" width="9.85546875" style="7" customWidth="1"/>
    <col min="3298" max="3298" width="12.7109375" style="7" customWidth="1"/>
    <col min="3299" max="3299" width="11.140625" style="7" customWidth="1"/>
    <col min="3300" max="3300" width="10.85546875" style="7" customWidth="1"/>
    <col min="3301" max="3301" width="11.42578125" style="7" customWidth="1"/>
    <col min="3302" max="3302" width="13.42578125" style="7" customWidth="1"/>
    <col min="3303" max="3303" width="11.140625" style="7" customWidth="1"/>
    <col min="3304" max="3304" width="11.28515625" style="7" bestFit="1" customWidth="1"/>
    <col min="3305" max="3305" width="11.42578125" style="7" customWidth="1"/>
    <col min="3306" max="3306" width="8.85546875" style="7" customWidth="1"/>
    <col min="3307" max="3307" width="9.85546875" style="7" bestFit="1" customWidth="1"/>
    <col min="3308" max="3308" width="8.85546875" style="7"/>
    <col min="3309" max="3309" width="9.42578125" style="7" bestFit="1" customWidth="1"/>
    <col min="3310" max="3550" width="8.85546875" style="7"/>
    <col min="3551" max="3551" width="1.85546875" style="7" customWidth="1"/>
    <col min="3552" max="3552" width="7.28515625" style="7" customWidth="1"/>
    <col min="3553" max="3553" width="9.85546875" style="7" customWidth="1"/>
    <col min="3554" max="3554" width="12.7109375" style="7" customWidth="1"/>
    <col min="3555" max="3555" width="11.140625" style="7" customWidth="1"/>
    <col min="3556" max="3556" width="10.85546875" style="7" customWidth="1"/>
    <col min="3557" max="3557" width="11.42578125" style="7" customWidth="1"/>
    <col min="3558" max="3558" width="13.42578125" style="7" customWidth="1"/>
    <col min="3559" max="3559" width="11.140625" style="7" customWidth="1"/>
    <col min="3560" max="3560" width="11.28515625" style="7" bestFit="1" customWidth="1"/>
    <col min="3561" max="3561" width="11.42578125" style="7" customWidth="1"/>
    <col min="3562" max="3562" width="8.85546875" style="7" customWidth="1"/>
    <col min="3563" max="3563" width="9.85546875" style="7" bestFit="1" customWidth="1"/>
    <col min="3564" max="3564" width="8.85546875" style="7"/>
    <col min="3565" max="3565" width="9.42578125" style="7" bestFit="1" customWidth="1"/>
    <col min="3566" max="3806" width="8.85546875" style="7"/>
    <col min="3807" max="3807" width="1.85546875" style="7" customWidth="1"/>
    <col min="3808" max="3808" width="7.28515625" style="7" customWidth="1"/>
    <col min="3809" max="3809" width="9.85546875" style="7" customWidth="1"/>
    <col min="3810" max="3810" width="12.7109375" style="7" customWidth="1"/>
    <col min="3811" max="3811" width="11.140625" style="7" customWidth="1"/>
    <col min="3812" max="3812" width="10.85546875" style="7" customWidth="1"/>
    <col min="3813" max="3813" width="11.42578125" style="7" customWidth="1"/>
    <col min="3814" max="3814" width="13.42578125" style="7" customWidth="1"/>
    <col min="3815" max="3815" width="11.140625" style="7" customWidth="1"/>
    <col min="3816" max="3816" width="11.28515625" style="7" bestFit="1" customWidth="1"/>
    <col min="3817" max="3817" width="11.42578125" style="7" customWidth="1"/>
    <col min="3818" max="3818" width="8.85546875" style="7" customWidth="1"/>
    <col min="3819" max="3819" width="9.85546875" style="7" bestFit="1" customWidth="1"/>
    <col min="3820" max="3820" width="8.85546875" style="7"/>
    <col min="3821" max="3821" width="9.42578125" style="7" bestFit="1" customWidth="1"/>
    <col min="3822" max="4062" width="8.85546875" style="7"/>
    <col min="4063" max="4063" width="1.85546875" style="7" customWidth="1"/>
    <col min="4064" max="4064" width="7.28515625" style="7" customWidth="1"/>
    <col min="4065" max="4065" width="9.85546875" style="7" customWidth="1"/>
    <col min="4066" max="4066" width="12.7109375" style="7" customWidth="1"/>
    <col min="4067" max="4067" width="11.140625" style="7" customWidth="1"/>
    <col min="4068" max="4068" width="10.85546875" style="7" customWidth="1"/>
    <col min="4069" max="4069" width="11.42578125" style="7" customWidth="1"/>
    <col min="4070" max="4070" width="13.42578125" style="7" customWidth="1"/>
    <col min="4071" max="4071" width="11.140625" style="7" customWidth="1"/>
    <col min="4072" max="4072" width="11.28515625" style="7" bestFit="1" customWidth="1"/>
    <col min="4073" max="4073" width="11.42578125" style="7" customWidth="1"/>
    <col min="4074" max="4074" width="8.85546875" style="7" customWidth="1"/>
    <col min="4075" max="4075" width="9.85546875" style="7" bestFit="1" customWidth="1"/>
    <col min="4076" max="4076" width="8.85546875" style="7"/>
    <col min="4077" max="4077" width="9.42578125" style="7" bestFit="1" customWidth="1"/>
    <col min="4078" max="4318" width="8.85546875" style="7"/>
    <col min="4319" max="4319" width="1.85546875" style="7" customWidth="1"/>
    <col min="4320" max="4320" width="7.28515625" style="7" customWidth="1"/>
    <col min="4321" max="4321" width="9.85546875" style="7" customWidth="1"/>
    <col min="4322" max="4322" width="12.7109375" style="7" customWidth="1"/>
    <col min="4323" max="4323" width="11.140625" style="7" customWidth="1"/>
    <col min="4324" max="4324" width="10.85546875" style="7" customWidth="1"/>
    <col min="4325" max="4325" width="11.42578125" style="7" customWidth="1"/>
    <col min="4326" max="4326" width="13.42578125" style="7" customWidth="1"/>
    <col min="4327" max="4327" width="11.140625" style="7" customWidth="1"/>
    <col min="4328" max="4328" width="11.28515625" style="7" bestFit="1" customWidth="1"/>
    <col min="4329" max="4329" width="11.42578125" style="7" customWidth="1"/>
    <col min="4330" max="4330" width="8.85546875" style="7" customWidth="1"/>
    <col min="4331" max="4331" width="9.85546875" style="7" bestFit="1" customWidth="1"/>
    <col min="4332" max="4332" width="8.85546875" style="7"/>
    <col min="4333" max="4333" width="9.42578125" style="7" bestFit="1" customWidth="1"/>
    <col min="4334" max="4574" width="8.85546875" style="7"/>
    <col min="4575" max="4575" width="1.85546875" style="7" customWidth="1"/>
    <col min="4576" max="4576" width="7.28515625" style="7" customWidth="1"/>
    <col min="4577" max="4577" width="9.85546875" style="7" customWidth="1"/>
    <col min="4578" max="4578" width="12.7109375" style="7" customWidth="1"/>
    <col min="4579" max="4579" width="11.140625" style="7" customWidth="1"/>
    <col min="4580" max="4580" width="10.85546875" style="7" customWidth="1"/>
    <col min="4581" max="4581" width="11.42578125" style="7" customWidth="1"/>
    <col min="4582" max="4582" width="13.42578125" style="7" customWidth="1"/>
    <col min="4583" max="4583" width="11.140625" style="7" customWidth="1"/>
    <col min="4584" max="4584" width="11.28515625" style="7" bestFit="1" customWidth="1"/>
    <col min="4585" max="4585" width="11.42578125" style="7" customWidth="1"/>
    <col min="4586" max="4586" width="8.85546875" style="7" customWidth="1"/>
    <col min="4587" max="4587" width="9.85546875" style="7" bestFit="1" customWidth="1"/>
    <col min="4588" max="4588" width="8.85546875" style="7"/>
    <col min="4589" max="4589" width="9.42578125" style="7" bestFit="1" customWidth="1"/>
    <col min="4590" max="4830" width="8.85546875" style="7"/>
    <col min="4831" max="4831" width="1.85546875" style="7" customWidth="1"/>
    <col min="4832" max="4832" width="7.28515625" style="7" customWidth="1"/>
    <col min="4833" max="4833" width="9.85546875" style="7" customWidth="1"/>
    <col min="4834" max="4834" width="12.7109375" style="7" customWidth="1"/>
    <col min="4835" max="4835" width="11.140625" style="7" customWidth="1"/>
    <col min="4836" max="4836" width="10.85546875" style="7" customWidth="1"/>
    <col min="4837" max="4837" width="11.42578125" style="7" customWidth="1"/>
    <col min="4838" max="4838" width="13.42578125" style="7" customWidth="1"/>
    <col min="4839" max="4839" width="11.140625" style="7" customWidth="1"/>
    <col min="4840" max="4840" width="11.28515625" style="7" bestFit="1" customWidth="1"/>
    <col min="4841" max="4841" width="11.42578125" style="7" customWidth="1"/>
    <col min="4842" max="4842" width="8.85546875" style="7" customWidth="1"/>
    <col min="4843" max="4843" width="9.85546875" style="7" bestFit="1" customWidth="1"/>
    <col min="4844" max="4844" width="8.85546875" style="7"/>
    <col min="4845" max="4845" width="9.42578125" style="7" bestFit="1" customWidth="1"/>
    <col min="4846" max="5086" width="8.85546875" style="7"/>
    <col min="5087" max="5087" width="1.85546875" style="7" customWidth="1"/>
    <col min="5088" max="5088" width="7.28515625" style="7" customWidth="1"/>
    <col min="5089" max="5089" width="9.85546875" style="7" customWidth="1"/>
    <col min="5090" max="5090" width="12.7109375" style="7" customWidth="1"/>
    <col min="5091" max="5091" width="11.140625" style="7" customWidth="1"/>
    <col min="5092" max="5092" width="10.85546875" style="7" customWidth="1"/>
    <col min="5093" max="5093" width="11.42578125" style="7" customWidth="1"/>
    <col min="5094" max="5094" width="13.42578125" style="7" customWidth="1"/>
    <col min="5095" max="5095" width="11.140625" style="7" customWidth="1"/>
    <col min="5096" max="5096" width="11.28515625" style="7" bestFit="1" customWidth="1"/>
    <col min="5097" max="5097" width="11.42578125" style="7" customWidth="1"/>
    <col min="5098" max="5098" width="8.85546875" style="7" customWidth="1"/>
    <col min="5099" max="5099" width="9.85546875" style="7" bestFit="1" customWidth="1"/>
    <col min="5100" max="5100" width="8.85546875" style="7"/>
    <col min="5101" max="5101" width="9.42578125" style="7" bestFit="1" customWidth="1"/>
    <col min="5102" max="5342" width="8.85546875" style="7"/>
    <col min="5343" max="5343" width="1.85546875" style="7" customWidth="1"/>
    <col min="5344" max="5344" width="7.28515625" style="7" customWidth="1"/>
    <col min="5345" max="5345" width="9.85546875" style="7" customWidth="1"/>
    <col min="5346" max="5346" width="12.7109375" style="7" customWidth="1"/>
    <col min="5347" max="5347" width="11.140625" style="7" customWidth="1"/>
    <col min="5348" max="5348" width="10.85546875" style="7" customWidth="1"/>
    <col min="5349" max="5349" width="11.42578125" style="7" customWidth="1"/>
    <col min="5350" max="5350" width="13.42578125" style="7" customWidth="1"/>
    <col min="5351" max="5351" width="11.140625" style="7" customWidth="1"/>
    <col min="5352" max="5352" width="11.28515625" style="7" bestFit="1" customWidth="1"/>
    <col min="5353" max="5353" width="11.42578125" style="7" customWidth="1"/>
    <col min="5354" max="5354" width="8.85546875" style="7" customWidth="1"/>
    <col min="5355" max="5355" width="9.85546875" style="7" bestFit="1" customWidth="1"/>
    <col min="5356" max="5356" width="8.85546875" style="7"/>
    <col min="5357" max="5357" width="9.42578125" style="7" bestFit="1" customWidth="1"/>
    <col min="5358" max="5598" width="8.85546875" style="7"/>
    <col min="5599" max="5599" width="1.85546875" style="7" customWidth="1"/>
    <col min="5600" max="5600" width="7.28515625" style="7" customWidth="1"/>
    <col min="5601" max="5601" width="9.85546875" style="7" customWidth="1"/>
    <col min="5602" max="5602" width="12.7109375" style="7" customWidth="1"/>
    <col min="5603" max="5603" width="11.140625" style="7" customWidth="1"/>
    <col min="5604" max="5604" width="10.85546875" style="7" customWidth="1"/>
    <col min="5605" max="5605" width="11.42578125" style="7" customWidth="1"/>
    <col min="5606" max="5606" width="13.42578125" style="7" customWidth="1"/>
    <col min="5607" max="5607" width="11.140625" style="7" customWidth="1"/>
    <col min="5608" max="5608" width="11.28515625" style="7" bestFit="1" customWidth="1"/>
    <col min="5609" max="5609" width="11.42578125" style="7" customWidth="1"/>
    <col min="5610" max="5610" width="8.85546875" style="7" customWidth="1"/>
    <col min="5611" max="5611" width="9.85546875" style="7" bestFit="1" customWidth="1"/>
    <col min="5612" max="5612" width="8.85546875" style="7"/>
    <col min="5613" max="5613" width="9.42578125" style="7" bestFit="1" customWidth="1"/>
    <col min="5614" max="5854" width="8.85546875" style="7"/>
    <col min="5855" max="5855" width="1.85546875" style="7" customWidth="1"/>
    <col min="5856" max="5856" width="7.28515625" style="7" customWidth="1"/>
    <col min="5857" max="5857" width="9.85546875" style="7" customWidth="1"/>
    <col min="5858" max="5858" width="12.7109375" style="7" customWidth="1"/>
    <col min="5859" max="5859" width="11.140625" style="7" customWidth="1"/>
    <col min="5860" max="5860" width="10.85546875" style="7" customWidth="1"/>
    <col min="5861" max="5861" width="11.42578125" style="7" customWidth="1"/>
    <col min="5862" max="5862" width="13.42578125" style="7" customWidth="1"/>
    <col min="5863" max="5863" width="11.140625" style="7" customWidth="1"/>
    <col min="5864" max="5864" width="11.28515625" style="7" bestFit="1" customWidth="1"/>
    <col min="5865" max="5865" width="11.42578125" style="7" customWidth="1"/>
    <col min="5866" max="5866" width="8.85546875" style="7" customWidth="1"/>
    <col min="5867" max="5867" width="9.85546875" style="7" bestFit="1" customWidth="1"/>
    <col min="5868" max="5868" width="8.85546875" style="7"/>
    <col min="5869" max="5869" width="9.42578125" style="7" bestFit="1" customWidth="1"/>
    <col min="5870" max="6110" width="8.85546875" style="7"/>
    <col min="6111" max="6111" width="1.85546875" style="7" customWidth="1"/>
    <col min="6112" max="6112" width="7.28515625" style="7" customWidth="1"/>
    <col min="6113" max="6113" width="9.85546875" style="7" customWidth="1"/>
    <col min="6114" max="6114" width="12.7109375" style="7" customWidth="1"/>
    <col min="6115" max="6115" width="11.140625" style="7" customWidth="1"/>
    <col min="6116" max="6116" width="10.85546875" style="7" customWidth="1"/>
    <col min="6117" max="6117" width="11.42578125" style="7" customWidth="1"/>
    <col min="6118" max="6118" width="13.42578125" style="7" customWidth="1"/>
    <col min="6119" max="6119" width="11.140625" style="7" customWidth="1"/>
    <col min="6120" max="6120" width="11.28515625" style="7" bestFit="1" customWidth="1"/>
    <col min="6121" max="6121" width="11.42578125" style="7" customWidth="1"/>
    <col min="6122" max="6122" width="8.85546875" style="7" customWidth="1"/>
    <col min="6123" max="6123" width="9.85546875" style="7" bestFit="1" customWidth="1"/>
    <col min="6124" max="6124" width="8.85546875" style="7"/>
    <col min="6125" max="6125" width="9.42578125" style="7" bestFit="1" customWidth="1"/>
    <col min="6126" max="6366" width="8.85546875" style="7"/>
    <col min="6367" max="6367" width="1.85546875" style="7" customWidth="1"/>
    <col min="6368" max="6368" width="7.28515625" style="7" customWidth="1"/>
    <col min="6369" max="6369" width="9.85546875" style="7" customWidth="1"/>
    <col min="6370" max="6370" width="12.7109375" style="7" customWidth="1"/>
    <col min="6371" max="6371" width="11.140625" style="7" customWidth="1"/>
    <col min="6372" max="6372" width="10.85546875" style="7" customWidth="1"/>
    <col min="6373" max="6373" width="11.42578125" style="7" customWidth="1"/>
    <col min="6374" max="6374" width="13.42578125" style="7" customWidth="1"/>
    <col min="6375" max="6375" width="11.140625" style="7" customWidth="1"/>
    <col min="6376" max="6376" width="11.28515625" style="7" bestFit="1" customWidth="1"/>
    <col min="6377" max="6377" width="11.42578125" style="7" customWidth="1"/>
    <col min="6378" max="6378" width="8.85546875" style="7" customWidth="1"/>
    <col min="6379" max="6379" width="9.85546875" style="7" bestFit="1" customWidth="1"/>
    <col min="6380" max="6380" width="8.85546875" style="7"/>
    <col min="6381" max="6381" width="9.42578125" style="7" bestFit="1" customWidth="1"/>
    <col min="6382" max="6622" width="8.85546875" style="7"/>
    <col min="6623" max="6623" width="1.85546875" style="7" customWidth="1"/>
    <col min="6624" max="6624" width="7.28515625" style="7" customWidth="1"/>
    <col min="6625" max="6625" width="9.85546875" style="7" customWidth="1"/>
    <col min="6626" max="6626" width="12.7109375" style="7" customWidth="1"/>
    <col min="6627" max="6627" width="11.140625" style="7" customWidth="1"/>
    <col min="6628" max="6628" width="10.85546875" style="7" customWidth="1"/>
    <col min="6629" max="6629" width="11.42578125" style="7" customWidth="1"/>
    <col min="6630" max="6630" width="13.42578125" style="7" customWidth="1"/>
    <col min="6631" max="6631" width="11.140625" style="7" customWidth="1"/>
    <col min="6632" max="6632" width="11.28515625" style="7" bestFit="1" customWidth="1"/>
    <col min="6633" max="6633" width="11.42578125" style="7" customWidth="1"/>
    <col min="6634" max="6634" width="8.85546875" style="7" customWidth="1"/>
    <col min="6635" max="6635" width="9.85546875" style="7" bestFit="1" customWidth="1"/>
    <col min="6636" max="6636" width="8.85546875" style="7"/>
    <col min="6637" max="6637" width="9.42578125" style="7" bestFit="1" customWidth="1"/>
    <col min="6638" max="6878" width="8.85546875" style="7"/>
    <col min="6879" max="6879" width="1.85546875" style="7" customWidth="1"/>
    <col min="6880" max="6880" width="7.28515625" style="7" customWidth="1"/>
    <col min="6881" max="6881" width="9.85546875" style="7" customWidth="1"/>
    <col min="6882" max="6882" width="12.7109375" style="7" customWidth="1"/>
    <col min="6883" max="6883" width="11.140625" style="7" customWidth="1"/>
    <col min="6884" max="6884" width="10.85546875" style="7" customWidth="1"/>
    <col min="6885" max="6885" width="11.42578125" style="7" customWidth="1"/>
    <col min="6886" max="6886" width="13.42578125" style="7" customWidth="1"/>
    <col min="6887" max="6887" width="11.140625" style="7" customWidth="1"/>
    <col min="6888" max="6888" width="11.28515625" style="7" bestFit="1" customWidth="1"/>
    <col min="6889" max="6889" width="11.42578125" style="7" customWidth="1"/>
    <col min="6890" max="6890" width="8.85546875" style="7" customWidth="1"/>
    <col min="6891" max="6891" width="9.85546875" style="7" bestFit="1" customWidth="1"/>
    <col min="6892" max="6892" width="8.85546875" style="7"/>
    <col min="6893" max="6893" width="9.42578125" style="7" bestFit="1" customWidth="1"/>
    <col min="6894" max="7134" width="8.85546875" style="7"/>
    <col min="7135" max="7135" width="1.85546875" style="7" customWidth="1"/>
    <col min="7136" max="7136" width="7.28515625" style="7" customWidth="1"/>
    <col min="7137" max="7137" width="9.85546875" style="7" customWidth="1"/>
    <col min="7138" max="7138" width="12.7109375" style="7" customWidth="1"/>
    <col min="7139" max="7139" width="11.140625" style="7" customWidth="1"/>
    <col min="7140" max="7140" width="10.85546875" style="7" customWidth="1"/>
    <col min="7141" max="7141" width="11.42578125" style="7" customWidth="1"/>
    <col min="7142" max="7142" width="13.42578125" style="7" customWidth="1"/>
    <col min="7143" max="7143" width="11.140625" style="7" customWidth="1"/>
    <col min="7144" max="7144" width="11.28515625" style="7" bestFit="1" customWidth="1"/>
    <col min="7145" max="7145" width="11.42578125" style="7" customWidth="1"/>
    <col min="7146" max="7146" width="8.85546875" style="7" customWidth="1"/>
    <col min="7147" max="7147" width="9.85546875" style="7" bestFit="1" customWidth="1"/>
    <col min="7148" max="7148" width="8.85546875" style="7"/>
    <col min="7149" max="7149" width="9.42578125" style="7" bestFit="1" customWidth="1"/>
    <col min="7150" max="7390" width="8.85546875" style="7"/>
    <col min="7391" max="7391" width="1.85546875" style="7" customWidth="1"/>
    <col min="7392" max="7392" width="7.28515625" style="7" customWidth="1"/>
    <col min="7393" max="7393" width="9.85546875" style="7" customWidth="1"/>
    <col min="7394" max="7394" width="12.7109375" style="7" customWidth="1"/>
    <col min="7395" max="7395" width="11.140625" style="7" customWidth="1"/>
    <col min="7396" max="7396" width="10.85546875" style="7" customWidth="1"/>
    <col min="7397" max="7397" width="11.42578125" style="7" customWidth="1"/>
    <col min="7398" max="7398" width="13.42578125" style="7" customWidth="1"/>
    <col min="7399" max="7399" width="11.140625" style="7" customWidth="1"/>
    <col min="7400" max="7400" width="11.28515625" style="7" bestFit="1" customWidth="1"/>
    <col min="7401" max="7401" width="11.42578125" style="7" customWidth="1"/>
    <col min="7402" max="7402" width="8.85546875" style="7" customWidth="1"/>
    <col min="7403" max="7403" width="9.85546875" style="7" bestFit="1" customWidth="1"/>
    <col min="7404" max="7404" width="8.85546875" style="7"/>
    <col min="7405" max="7405" width="9.42578125" style="7" bestFit="1" customWidth="1"/>
    <col min="7406" max="7646" width="8.85546875" style="7"/>
    <col min="7647" max="7647" width="1.85546875" style="7" customWidth="1"/>
    <col min="7648" max="7648" width="7.28515625" style="7" customWidth="1"/>
    <col min="7649" max="7649" width="9.85546875" style="7" customWidth="1"/>
    <col min="7650" max="7650" width="12.7109375" style="7" customWidth="1"/>
    <col min="7651" max="7651" width="11.140625" style="7" customWidth="1"/>
    <col min="7652" max="7652" width="10.85546875" style="7" customWidth="1"/>
    <col min="7653" max="7653" width="11.42578125" style="7" customWidth="1"/>
    <col min="7654" max="7654" width="13.42578125" style="7" customWidth="1"/>
    <col min="7655" max="7655" width="11.140625" style="7" customWidth="1"/>
    <col min="7656" max="7656" width="11.28515625" style="7" bestFit="1" customWidth="1"/>
    <col min="7657" max="7657" width="11.42578125" style="7" customWidth="1"/>
    <col min="7658" max="7658" width="8.85546875" style="7" customWidth="1"/>
    <col min="7659" max="7659" width="9.85546875" style="7" bestFit="1" customWidth="1"/>
    <col min="7660" max="7660" width="8.85546875" style="7"/>
    <col min="7661" max="7661" width="9.42578125" style="7" bestFit="1" customWidth="1"/>
    <col min="7662" max="7902" width="8.85546875" style="7"/>
    <col min="7903" max="7903" width="1.85546875" style="7" customWidth="1"/>
    <col min="7904" max="7904" width="7.28515625" style="7" customWidth="1"/>
    <col min="7905" max="7905" width="9.85546875" style="7" customWidth="1"/>
    <col min="7906" max="7906" width="12.7109375" style="7" customWidth="1"/>
    <col min="7907" max="7907" width="11.140625" style="7" customWidth="1"/>
    <col min="7908" max="7908" width="10.85546875" style="7" customWidth="1"/>
    <col min="7909" max="7909" width="11.42578125" style="7" customWidth="1"/>
    <col min="7910" max="7910" width="13.42578125" style="7" customWidth="1"/>
    <col min="7911" max="7911" width="11.140625" style="7" customWidth="1"/>
    <col min="7912" max="7912" width="11.28515625" style="7" bestFit="1" customWidth="1"/>
    <col min="7913" max="7913" width="11.42578125" style="7" customWidth="1"/>
    <col min="7914" max="7914" width="8.85546875" style="7" customWidth="1"/>
    <col min="7915" max="7915" width="9.85546875" style="7" bestFit="1" customWidth="1"/>
    <col min="7916" max="7916" width="8.85546875" style="7"/>
    <col min="7917" max="7917" width="9.42578125" style="7" bestFit="1" customWidth="1"/>
    <col min="7918" max="8158" width="8.85546875" style="7"/>
    <col min="8159" max="8159" width="1.85546875" style="7" customWidth="1"/>
    <col min="8160" max="8160" width="7.28515625" style="7" customWidth="1"/>
    <col min="8161" max="8161" width="9.85546875" style="7" customWidth="1"/>
    <col min="8162" max="8162" width="12.7109375" style="7" customWidth="1"/>
    <col min="8163" max="8163" width="11.140625" style="7" customWidth="1"/>
    <col min="8164" max="8164" width="10.85546875" style="7" customWidth="1"/>
    <col min="8165" max="8165" width="11.42578125" style="7" customWidth="1"/>
    <col min="8166" max="8166" width="13.42578125" style="7" customWidth="1"/>
    <col min="8167" max="8167" width="11.140625" style="7" customWidth="1"/>
    <col min="8168" max="8168" width="11.28515625" style="7" bestFit="1" customWidth="1"/>
    <col min="8169" max="8169" width="11.42578125" style="7" customWidth="1"/>
    <col min="8170" max="8170" width="8.85546875" style="7" customWidth="1"/>
    <col min="8171" max="8171" width="9.85546875" style="7" bestFit="1" customWidth="1"/>
    <col min="8172" max="8172" width="8.85546875" style="7"/>
    <col min="8173" max="8173" width="9.42578125" style="7" bestFit="1" customWidth="1"/>
    <col min="8174" max="8414" width="8.85546875" style="7"/>
    <col min="8415" max="8415" width="1.85546875" style="7" customWidth="1"/>
    <col min="8416" max="8416" width="7.28515625" style="7" customWidth="1"/>
    <col min="8417" max="8417" width="9.85546875" style="7" customWidth="1"/>
    <col min="8418" max="8418" width="12.7109375" style="7" customWidth="1"/>
    <col min="8419" max="8419" width="11.140625" style="7" customWidth="1"/>
    <col min="8420" max="8420" width="10.85546875" style="7" customWidth="1"/>
    <col min="8421" max="8421" width="11.42578125" style="7" customWidth="1"/>
    <col min="8422" max="8422" width="13.42578125" style="7" customWidth="1"/>
    <col min="8423" max="8423" width="11.140625" style="7" customWidth="1"/>
    <col min="8424" max="8424" width="11.28515625" style="7" bestFit="1" customWidth="1"/>
    <col min="8425" max="8425" width="11.42578125" style="7" customWidth="1"/>
    <col min="8426" max="8426" width="8.85546875" style="7" customWidth="1"/>
    <col min="8427" max="8427" width="9.85546875" style="7" bestFit="1" customWidth="1"/>
    <col min="8428" max="8428" width="8.85546875" style="7"/>
    <col min="8429" max="8429" width="9.42578125" style="7" bestFit="1" customWidth="1"/>
    <col min="8430" max="8670" width="8.85546875" style="7"/>
    <col min="8671" max="8671" width="1.85546875" style="7" customWidth="1"/>
    <col min="8672" max="8672" width="7.28515625" style="7" customWidth="1"/>
    <col min="8673" max="8673" width="9.85546875" style="7" customWidth="1"/>
    <col min="8674" max="8674" width="12.7109375" style="7" customWidth="1"/>
    <col min="8675" max="8675" width="11.140625" style="7" customWidth="1"/>
    <col min="8676" max="8676" width="10.85546875" style="7" customWidth="1"/>
    <col min="8677" max="8677" width="11.42578125" style="7" customWidth="1"/>
    <col min="8678" max="8678" width="13.42578125" style="7" customWidth="1"/>
    <col min="8679" max="8679" width="11.140625" style="7" customWidth="1"/>
    <col min="8680" max="8680" width="11.28515625" style="7" bestFit="1" customWidth="1"/>
    <col min="8681" max="8681" width="11.42578125" style="7" customWidth="1"/>
    <col min="8682" max="8682" width="8.85546875" style="7" customWidth="1"/>
    <col min="8683" max="8683" width="9.85546875" style="7" bestFit="1" customWidth="1"/>
    <col min="8684" max="8684" width="8.85546875" style="7"/>
    <col min="8685" max="8685" width="9.42578125" style="7" bestFit="1" customWidth="1"/>
    <col min="8686" max="8926" width="8.85546875" style="7"/>
    <col min="8927" max="8927" width="1.85546875" style="7" customWidth="1"/>
    <col min="8928" max="8928" width="7.28515625" style="7" customWidth="1"/>
    <col min="8929" max="8929" width="9.85546875" style="7" customWidth="1"/>
    <col min="8930" max="8930" width="12.7109375" style="7" customWidth="1"/>
    <col min="8931" max="8931" width="11.140625" style="7" customWidth="1"/>
    <col min="8932" max="8932" width="10.85546875" style="7" customWidth="1"/>
    <col min="8933" max="8933" width="11.42578125" style="7" customWidth="1"/>
    <col min="8934" max="8934" width="13.42578125" style="7" customWidth="1"/>
    <col min="8935" max="8935" width="11.140625" style="7" customWidth="1"/>
    <col min="8936" max="8936" width="11.28515625" style="7" bestFit="1" customWidth="1"/>
    <col min="8937" max="8937" width="11.42578125" style="7" customWidth="1"/>
    <col min="8938" max="8938" width="8.85546875" style="7" customWidth="1"/>
    <col min="8939" max="8939" width="9.85546875" style="7" bestFit="1" customWidth="1"/>
    <col min="8940" max="8940" width="8.85546875" style="7"/>
    <col min="8941" max="8941" width="9.42578125" style="7" bestFit="1" customWidth="1"/>
    <col min="8942" max="9182" width="8.85546875" style="7"/>
    <col min="9183" max="9183" width="1.85546875" style="7" customWidth="1"/>
    <col min="9184" max="9184" width="7.28515625" style="7" customWidth="1"/>
    <col min="9185" max="9185" width="9.85546875" style="7" customWidth="1"/>
    <col min="9186" max="9186" width="12.7109375" style="7" customWidth="1"/>
    <col min="9187" max="9187" width="11.140625" style="7" customWidth="1"/>
    <col min="9188" max="9188" width="10.85546875" style="7" customWidth="1"/>
    <col min="9189" max="9189" width="11.42578125" style="7" customWidth="1"/>
    <col min="9190" max="9190" width="13.42578125" style="7" customWidth="1"/>
    <col min="9191" max="9191" width="11.140625" style="7" customWidth="1"/>
    <col min="9192" max="9192" width="11.28515625" style="7" bestFit="1" customWidth="1"/>
    <col min="9193" max="9193" width="11.42578125" style="7" customWidth="1"/>
    <col min="9194" max="9194" width="8.85546875" style="7" customWidth="1"/>
    <col min="9195" max="9195" width="9.85546875" style="7" bestFit="1" customWidth="1"/>
    <col min="9196" max="9196" width="8.85546875" style="7"/>
    <col min="9197" max="9197" width="9.42578125" style="7" bestFit="1" customWidth="1"/>
    <col min="9198" max="9438" width="8.85546875" style="7"/>
    <col min="9439" max="9439" width="1.85546875" style="7" customWidth="1"/>
    <col min="9440" max="9440" width="7.28515625" style="7" customWidth="1"/>
    <col min="9441" max="9441" width="9.85546875" style="7" customWidth="1"/>
    <col min="9442" max="9442" width="12.7109375" style="7" customWidth="1"/>
    <col min="9443" max="9443" width="11.140625" style="7" customWidth="1"/>
    <col min="9444" max="9444" width="10.85546875" style="7" customWidth="1"/>
    <col min="9445" max="9445" width="11.42578125" style="7" customWidth="1"/>
    <col min="9446" max="9446" width="13.42578125" style="7" customWidth="1"/>
    <col min="9447" max="9447" width="11.140625" style="7" customWidth="1"/>
    <col min="9448" max="9448" width="11.28515625" style="7" bestFit="1" customWidth="1"/>
    <col min="9449" max="9449" width="11.42578125" style="7" customWidth="1"/>
    <col min="9450" max="9450" width="8.85546875" style="7" customWidth="1"/>
    <col min="9451" max="9451" width="9.85546875" style="7" bestFit="1" customWidth="1"/>
    <col min="9452" max="9452" width="8.85546875" style="7"/>
    <col min="9453" max="9453" width="9.42578125" style="7" bestFit="1" customWidth="1"/>
    <col min="9454" max="9694" width="8.85546875" style="7"/>
    <col min="9695" max="9695" width="1.85546875" style="7" customWidth="1"/>
    <col min="9696" max="9696" width="7.28515625" style="7" customWidth="1"/>
    <col min="9697" max="9697" width="9.85546875" style="7" customWidth="1"/>
    <col min="9698" max="9698" width="12.7109375" style="7" customWidth="1"/>
    <col min="9699" max="9699" width="11.140625" style="7" customWidth="1"/>
    <col min="9700" max="9700" width="10.85546875" style="7" customWidth="1"/>
    <col min="9701" max="9701" width="11.42578125" style="7" customWidth="1"/>
    <col min="9702" max="9702" width="13.42578125" style="7" customWidth="1"/>
    <col min="9703" max="9703" width="11.140625" style="7" customWidth="1"/>
    <col min="9704" max="9704" width="11.28515625" style="7" bestFit="1" customWidth="1"/>
    <col min="9705" max="9705" width="11.42578125" style="7" customWidth="1"/>
    <col min="9706" max="9706" width="8.85546875" style="7" customWidth="1"/>
    <col min="9707" max="9707" width="9.85546875" style="7" bestFit="1" customWidth="1"/>
    <col min="9708" max="9708" width="8.85546875" style="7"/>
    <col min="9709" max="9709" width="9.42578125" style="7" bestFit="1" customWidth="1"/>
    <col min="9710" max="9950" width="8.85546875" style="7"/>
    <col min="9951" max="9951" width="1.85546875" style="7" customWidth="1"/>
    <col min="9952" max="9952" width="7.28515625" style="7" customWidth="1"/>
    <col min="9953" max="9953" width="9.85546875" style="7" customWidth="1"/>
    <col min="9954" max="9954" width="12.7109375" style="7" customWidth="1"/>
    <col min="9955" max="9955" width="11.140625" style="7" customWidth="1"/>
    <col min="9956" max="9956" width="10.85546875" style="7" customWidth="1"/>
    <col min="9957" max="9957" width="11.42578125" style="7" customWidth="1"/>
    <col min="9958" max="9958" width="13.42578125" style="7" customWidth="1"/>
    <col min="9959" max="9959" width="11.140625" style="7" customWidth="1"/>
    <col min="9960" max="9960" width="11.28515625" style="7" bestFit="1" customWidth="1"/>
    <col min="9961" max="9961" width="11.42578125" style="7" customWidth="1"/>
    <col min="9962" max="9962" width="8.85546875" style="7" customWidth="1"/>
    <col min="9963" max="9963" width="9.85546875" style="7" bestFit="1" customWidth="1"/>
    <col min="9964" max="9964" width="8.85546875" style="7"/>
    <col min="9965" max="9965" width="9.42578125" style="7" bestFit="1" customWidth="1"/>
    <col min="9966" max="10206" width="8.85546875" style="7"/>
    <col min="10207" max="10207" width="1.85546875" style="7" customWidth="1"/>
    <col min="10208" max="10208" width="7.28515625" style="7" customWidth="1"/>
    <col min="10209" max="10209" width="9.85546875" style="7" customWidth="1"/>
    <col min="10210" max="10210" width="12.7109375" style="7" customWidth="1"/>
    <col min="10211" max="10211" width="11.140625" style="7" customWidth="1"/>
    <col min="10212" max="10212" width="10.85546875" style="7" customWidth="1"/>
    <col min="10213" max="10213" width="11.42578125" style="7" customWidth="1"/>
    <col min="10214" max="10214" width="13.42578125" style="7" customWidth="1"/>
    <col min="10215" max="10215" width="11.140625" style="7" customWidth="1"/>
    <col min="10216" max="10216" width="11.28515625" style="7" bestFit="1" customWidth="1"/>
    <col min="10217" max="10217" width="11.42578125" style="7" customWidth="1"/>
    <col min="10218" max="10218" width="8.85546875" style="7" customWidth="1"/>
    <col min="10219" max="10219" width="9.85546875" style="7" bestFit="1" customWidth="1"/>
    <col min="10220" max="10220" width="8.85546875" style="7"/>
    <col min="10221" max="10221" width="9.42578125" style="7" bestFit="1" customWidth="1"/>
    <col min="10222" max="10462" width="8.85546875" style="7"/>
    <col min="10463" max="10463" width="1.85546875" style="7" customWidth="1"/>
    <col min="10464" max="10464" width="7.28515625" style="7" customWidth="1"/>
    <col min="10465" max="10465" width="9.85546875" style="7" customWidth="1"/>
    <col min="10466" max="10466" width="12.7109375" style="7" customWidth="1"/>
    <col min="10467" max="10467" width="11.140625" style="7" customWidth="1"/>
    <col min="10468" max="10468" width="10.85546875" style="7" customWidth="1"/>
    <col min="10469" max="10469" width="11.42578125" style="7" customWidth="1"/>
    <col min="10470" max="10470" width="13.42578125" style="7" customWidth="1"/>
    <col min="10471" max="10471" width="11.140625" style="7" customWidth="1"/>
    <col min="10472" max="10472" width="11.28515625" style="7" bestFit="1" customWidth="1"/>
    <col min="10473" max="10473" width="11.42578125" style="7" customWidth="1"/>
    <col min="10474" max="10474" width="8.85546875" style="7" customWidth="1"/>
    <col min="10475" max="10475" width="9.85546875" style="7" bestFit="1" customWidth="1"/>
    <col min="10476" max="10476" width="8.85546875" style="7"/>
    <col min="10477" max="10477" width="9.42578125" style="7" bestFit="1" customWidth="1"/>
    <col min="10478" max="10718" width="8.85546875" style="7"/>
    <col min="10719" max="10719" width="1.85546875" style="7" customWidth="1"/>
    <col min="10720" max="10720" width="7.28515625" style="7" customWidth="1"/>
    <col min="10721" max="10721" width="9.85546875" style="7" customWidth="1"/>
    <col min="10722" max="10722" width="12.7109375" style="7" customWidth="1"/>
    <col min="10723" max="10723" width="11.140625" style="7" customWidth="1"/>
    <col min="10724" max="10724" width="10.85546875" style="7" customWidth="1"/>
    <col min="10725" max="10725" width="11.42578125" style="7" customWidth="1"/>
    <col min="10726" max="10726" width="13.42578125" style="7" customWidth="1"/>
    <col min="10727" max="10727" width="11.140625" style="7" customWidth="1"/>
    <col min="10728" max="10728" width="11.28515625" style="7" bestFit="1" customWidth="1"/>
    <col min="10729" max="10729" width="11.42578125" style="7" customWidth="1"/>
    <col min="10730" max="10730" width="8.85546875" style="7" customWidth="1"/>
    <col min="10731" max="10731" width="9.85546875" style="7" bestFit="1" customWidth="1"/>
    <col min="10732" max="10732" width="8.85546875" style="7"/>
    <col min="10733" max="10733" width="9.42578125" style="7" bestFit="1" customWidth="1"/>
    <col min="10734" max="10974" width="8.85546875" style="7"/>
    <col min="10975" max="10975" width="1.85546875" style="7" customWidth="1"/>
    <col min="10976" max="10976" width="7.28515625" style="7" customWidth="1"/>
    <col min="10977" max="10977" width="9.85546875" style="7" customWidth="1"/>
    <col min="10978" max="10978" width="12.7109375" style="7" customWidth="1"/>
    <col min="10979" max="10979" width="11.140625" style="7" customWidth="1"/>
    <col min="10980" max="10980" width="10.85546875" style="7" customWidth="1"/>
    <col min="10981" max="10981" width="11.42578125" style="7" customWidth="1"/>
    <col min="10982" max="10982" width="13.42578125" style="7" customWidth="1"/>
    <col min="10983" max="10983" width="11.140625" style="7" customWidth="1"/>
    <col min="10984" max="10984" width="11.28515625" style="7" bestFit="1" customWidth="1"/>
    <col min="10985" max="10985" width="11.42578125" style="7" customWidth="1"/>
    <col min="10986" max="10986" width="8.85546875" style="7" customWidth="1"/>
    <col min="10987" max="10987" width="9.85546875" style="7" bestFit="1" customWidth="1"/>
    <col min="10988" max="10988" width="8.85546875" style="7"/>
    <col min="10989" max="10989" width="9.42578125" style="7" bestFit="1" customWidth="1"/>
    <col min="10990" max="11230" width="8.85546875" style="7"/>
    <col min="11231" max="11231" width="1.85546875" style="7" customWidth="1"/>
    <col min="11232" max="11232" width="7.28515625" style="7" customWidth="1"/>
    <col min="11233" max="11233" width="9.85546875" style="7" customWidth="1"/>
    <col min="11234" max="11234" width="12.7109375" style="7" customWidth="1"/>
    <col min="11235" max="11235" width="11.140625" style="7" customWidth="1"/>
    <col min="11236" max="11236" width="10.85546875" style="7" customWidth="1"/>
    <col min="11237" max="11237" width="11.42578125" style="7" customWidth="1"/>
    <col min="11238" max="11238" width="13.42578125" style="7" customWidth="1"/>
    <col min="11239" max="11239" width="11.140625" style="7" customWidth="1"/>
    <col min="11240" max="11240" width="11.28515625" style="7" bestFit="1" customWidth="1"/>
    <col min="11241" max="11241" width="11.42578125" style="7" customWidth="1"/>
    <col min="11242" max="11242" width="8.85546875" style="7" customWidth="1"/>
    <col min="11243" max="11243" width="9.85546875" style="7" bestFit="1" customWidth="1"/>
    <col min="11244" max="11244" width="8.85546875" style="7"/>
    <col min="11245" max="11245" width="9.42578125" style="7" bestFit="1" customWidth="1"/>
    <col min="11246" max="11486" width="8.85546875" style="7"/>
    <col min="11487" max="11487" width="1.85546875" style="7" customWidth="1"/>
    <col min="11488" max="11488" width="7.28515625" style="7" customWidth="1"/>
    <col min="11489" max="11489" width="9.85546875" style="7" customWidth="1"/>
    <col min="11490" max="11490" width="12.7109375" style="7" customWidth="1"/>
    <col min="11491" max="11491" width="11.140625" style="7" customWidth="1"/>
    <col min="11492" max="11492" width="10.85546875" style="7" customWidth="1"/>
    <col min="11493" max="11493" width="11.42578125" style="7" customWidth="1"/>
    <col min="11494" max="11494" width="13.42578125" style="7" customWidth="1"/>
    <col min="11495" max="11495" width="11.140625" style="7" customWidth="1"/>
    <col min="11496" max="11496" width="11.28515625" style="7" bestFit="1" customWidth="1"/>
    <col min="11497" max="11497" width="11.42578125" style="7" customWidth="1"/>
    <col min="11498" max="11498" width="8.85546875" style="7" customWidth="1"/>
    <col min="11499" max="11499" width="9.85546875" style="7" bestFit="1" customWidth="1"/>
    <col min="11500" max="11500" width="8.85546875" style="7"/>
    <col min="11501" max="11501" width="9.42578125" style="7" bestFit="1" customWidth="1"/>
    <col min="11502" max="11742" width="8.85546875" style="7"/>
    <col min="11743" max="11743" width="1.85546875" style="7" customWidth="1"/>
    <col min="11744" max="11744" width="7.28515625" style="7" customWidth="1"/>
    <col min="11745" max="11745" width="9.85546875" style="7" customWidth="1"/>
    <col min="11746" max="11746" width="12.7109375" style="7" customWidth="1"/>
    <col min="11747" max="11747" width="11.140625" style="7" customWidth="1"/>
    <col min="11748" max="11748" width="10.85546875" style="7" customWidth="1"/>
    <col min="11749" max="11749" width="11.42578125" style="7" customWidth="1"/>
    <col min="11750" max="11750" width="13.42578125" style="7" customWidth="1"/>
    <col min="11751" max="11751" width="11.140625" style="7" customWidth="1"/>
    <col min="11752" max="11752" width="11.28515625" style="7" bestFit="1" customWidth="1"/>
    <col min="11753" max="11753" width="11.42578125" style="7" customWidth="1"/>
    <col min="11754" max="11754" width="8.85546875" style="7" customWidth="1"/>
    <col min="11755" max="11755" width="9.85546875" style="7" bestFit="1" customWidth="1"/>
    <col min="11756" max="11756" width="8.85546875" style="7"/>
    <col min="11757" max="11757" width="9.42578125" style="7" bestFit="1" customWidth="1"/>
    <col min="11758" max="11998" width="8.85546875" style="7"/>
    <col min="11999" max="11999" width="1.85546875" style="7" customWidth="1"/>
    <col min="12000" max="12000" width="7.28515625" style="7" customWidth="1"/>
    <col min="12001" max="12001" width="9.85546875" style="7" customWidth="1"/>
    <col min="12002" max="12002" width="12.7109375" style="7" customWidth="1"/>
    <col min="12003" max="12003" width="11.140625" style="7" customWidth="1"/>
    <col min="12004" max="12004" width="10.85546875" style="7" customWidth="1"/>
    <col min="12005" max="12005" width="11.42578125" style="7" customWidth="1"/>
    <col min="12006" max="12006" width="13.42578125" style="7" customWidth="1"/>
    <col min="12007" max="12007" width="11.140625" style="7" customWidth="1"/>
    <col min="12008" max="12008" width="11.28515625" style="7" bestFit="1" customWidth="1"/>
    <col min="12009" max="12009" width="11.42578125" style="7" customWidth="1"/>
    <col min="12010" max="12010" width="8.85546875" style="7" customWidth="1"/>
    <col min="12011" max="12011" width="9.85546875" style="7" bestFit="1" customWidth="1"/>
    <col min="12012" max="12012" width="8.85546875" style="7"/>
    <col min="12013" max="12013" width="9.42578125" style="7" bestFit="1" customWidth="1"/>
    <col min="12014" max="12254" width="8.85546875" style="7"/>
    <col min="12255" max="12255" width="1.85546875" style="7" customWidth="1"/>
    <col min="12256" max="12256" width="7.28515625" style="7" customWidth="1"/>
    <col min="12257" max="12257" width="9.85546875" style="7" customWidth="1"/>
    <col min="12258" max="12258" width="12.7109375" style="7" customWidth="1"/>
    <col min="12259" max="12259" width="11.140625" style="7" customWidth="1"/>
    <col min="12260" max="12260" width="10.85546875" style="7" customWidth="1"/>
    <col min="12261" max="12261" width="11.42578125" style="7" customWidth="1"/>
    <col min="12262" max="12262" width="13.42578125" style="7" customWidth="1"/>
    <col min="12263" max="12263" width="11.140625" style="7" customWidth="1"/>
    <col min="12264" max="12264" width="11.28515625" style="7" bestFit="1" customWidth="1"/>
    <col min="12265" max="12265" width="11.42578125" style="7" customWidth="1"/>
    <col min="12266" max="12266" width="8.85546875" style="7" customWidth="1"/>
    <col min="12267" max="12267" width="9.85546875" style="7" bestFit="1" customWidth="1"/>
    <col min="12268" max="12268" width="8.85546875" style="7"/>
    <col min="12269" max="12269" width="9.42578125" style="7" bestFit="1" customWidth="1"/>
    <col min="12270" max="12510" width="8.85546875" style="7"/>
    <col min="12511" max="12511" width="1.85546875" style="7" customWidth="1"/>
    <col min="12512" max="12512" width="7.28515625" style="7" customWidth="1"/>
    <col min="12513" max="12513" width="9.85546875" style="7" customWidth="1"/>
    <col min="12514" max="12514" width="12.7109375" style="7" customWidth="1"/>
    <col min="12515" max="12515" width="11.140625" style="7" customWidth="1"/>
    <col min="12516" max="12516" width="10.85546875" style="7" customWidth="1"/>
    <col min="12517" max="12517" width="11.42578125" style="7" customWidth="1"/>
    <col min="12518" max="12518" width="13.42578125" style="7" customWidth="1"/>
    <col min="12519" max="12519" width="11.140625" style="7" customWidth="1"/>
    <col min="12520" max="12520" width="11.28515625" style="7" bestFit="1" customWidth="1"/>
    <col min="12521" max="12521" width="11.42578125" style="7" customWidth="1"/>
    <col min="12522" max="12522" width="8.85546875" style="7" customWidth="1"/>
    <col min="12523" max="12523" width="9.85546875" style="7" bestFit="1" customWidth="1"/>
    <col min="12524" max="12524" width="8.85546875" style="7"/>
    <col min="12525" max="12525" width="9.42578125" style="7" bestFit="1" customWidth="1"/>
    <col min="12526" max="12766" width="8.85546875" style="7"/>
    <col min="12767" max="12767" width="1.85546875" style="7" customWidth="1"/>
    <col min="12768" max="12768" width="7.28515625" style="7" customWidth="1"/>
    <col min="12769" max="12769" width="9.85546875" style="7" customWidth="1"/>
    <col min="12770" max="12770" width="12.7109375" style="7" customWidth="1"/>
    <col min="12771" max="12771" width="11.140625" style="7" customWidth="1"/>
    <col min="12772" max="12772" width="10.85546875" style="7" customWidth="1"/>
    <col min="12773" max="12773" width="11.42578125" style="7" customWidth="1"/>
    <col min="12774" max="12774" width="13.42578125" style="7" customWidth="1"/>
    <col min="12775" max="12775" width="11.140625" style="7" customWidth="1"/>
    <col min="12776" max="12776" width="11.28515625" style="7" bestFit="1" customWidth="1"/>
    <col min="12777" max="12777" width="11.42578125" style="7" customWidth="1"/>
    <col min="12778" max="12778" width="8.85546875" style="7" customWidth="1"/>
    <col min="12779" max="12779" width="9.85546875" style="7" bestFit="1" customWidth="1"/>
    <col min="12780" max="12780" width="8.85546875" style="7"/>
    <col min="12781" max="12781" width="9.42578125" style="7" bestFit="1" customWidth="1"/>
    <col min="12782" max="13022" width="8.85546875" style="7"/>
    <col min="13023" max="13023" width="1.85546875" style="7" customWidth="1"/>
    <col min="13024" max="13024" width="7.28515625" style="7" customWidth="1"/>
    <col min="13025" max="13025" width="9.85546875" style="7" customWidth="1"/>
    <col min="13026" max="13026" width="12.7109375" style="7" customWidth="1"/>
    <col min="13027" max="13027" width="11.140625" style="7" customWidth="1"/>
    <col min="13028" max="13028" width="10.85546875" style="7" customWidth="1"/>
    <col min="13029" max="13029" width="11.42578125" style="7" customWidth="1"/>
    <col min="13030" max="13030" width="13.42578125" style="7" customWidth="1"/>
    <col min="13031" max="13031" width="11.140625" style="7" customWidth="1"/>
    <col min="13032" max="13032" width="11.28515625" style="7" bestFit="1" customWidth="1"/>
    <col min="13033" max="13033" width="11.42578125" style="7" customWidth="1"/>
    <col min="13034" max="13034" width="8.85546875" style="7" customWidth="1"/>
    <col min="13035" max="13035" width="9.85546875" style="7" bestFit="1" customWidth="1"/>
    <col min="13036" max="13036" width="8.85546875" style="7"/>
    <col min="13037" max="13037" width="9.42578125" style="7" bestFit="1" customWidth="1"/>
    <col min="13038" max="13278" width="8.85546875" style="7"/>
    <col min="13279" max="13279" width="1.85546875" style="7" customWidth="1"/>
    <col min="13280" max="13280" width="7.28515625" style="7" customWidth="1"/>
    <col min="13281" max="13281" width="9.85546875" style="7" customWidth="1"/>
    <col min="13282" max="13282" width="12.7109375" style="7" customWidth="1"/>
    <col min="13283" max="13283" width="11.140625" style="7" customWidth="1"/>
    <col min="13284" max="13284" width="10.85546875" style="7" customWidth="1"/>
    <col min="13285" max="13285" width="11.42578125" style="7" customWidth="1"/>
    <col min="13286" max="13286" width="13.42578125" style="7" customWidth="1"/>
    <col min="13287" max="13287" width="11.140625" style="7" customWidth="1"/>
    <col min="13288" max="13288" width="11.28515625" style="7" bestFit="1" customWidth="1"/>
    <col min="13289" max="13289" width="11.42578125" style="7" customWidth="1"/>
    <col min="13290" max="13290" width="8.85546875" style="7" customWidth="1"/>
    <col min="13291" max="13291" width="9.85546875" style="7" bestFit="1" customWidth="1"/>
    <col min="13292" max="13292" width="8.85546875" style="7"/>
    <col min="13293" max="13293" width="9.42578125" style="7" bestFit="1" customWidth="1"/>
    <col min="13294" max="13534" width="8.85546875" style="7"/>
    <col min="13535" max="13535" width="1.85546875" style="7" customWidth="1"/>
    <col min="13536" max="13536" width="7.28515625" style="7" customWidth="1"/>
    <col min="13537" max="13537" width="9.85546875" style="7" customWidth="1"/>
    <col min="13538" max="13538" width="12.7109375" style="7" customWidth="1"/>
    <col min="13539" max="13539" width="11.140625" style="7" customWidth="1"/>
    <col min="13540" max="13540" width="10.85546875" style="7" customWidth="1"/>
    <col min="13541" max="13541" width="11.42578125" style="7" customWidth="1"/>
    <col min="13542" max="13542" width="13.42578125" style="7" customWidth="1"/>
    <col min="13543" max="13543" width="11.140625" style="7" customWidth="1"/>
    <col min="13544" max="13544" width="11.28515625" style="7" bestFit="1" customWidth="1"/>
    <col min="13545" max="13545" width="11.42578125" style="7" customWidth="1"/>
    <col min="13546" max="13546" width="8.85546875" style="7" customWidth="1"/>
    <col min="13547" max="13547" width="9.85546875" style="7" bestFit="1" customWidth="1"/>
    <col min="13548" max="13548" width="8.85546875" style="7"/>
    <col min="13549" max="13549" width="9.42578125" style="7" bestFit="1" customWidth="1"/>
    <col min="13550" max="13790" width="8.85546875" style="7"/>
    <col min="13791" max="13791" width="1.85546875" style="7" customWidth="1"/>
    <col min="13792" max="13792" width="7.28515625" style="7" customWidth="1"/>
    <col min="13793" max="13793" width="9.85546875" style="7" customWidth="1"/>
    <col min="13794" max="13794" width="12.7109375" style="7" customWidth="1"/>
    <col min="13795" max="13795" width="11.140625" style="7" customWidth="1"/>
    <col min="13796" max="13796" width="10.85546875" style="7" customWidth="1"/>
    <col min="13797" max="13797" width="11.42578125" style="7" customWidth="1"/>
    <col min="13798" max="13798" width="13.42578125" style="7" customWidth="1"/>
    <col min="13799" max="13799" width="11.140625" style="7" customWidth="1"/>
    <col min="13800" max="13800" width="11.28515625" style="7" bestFit="1" customWidth="1"/>
    <col min="13801" max="13801" width="11.42578125" style="7" customWidth="1"/>
    <col min="13802" max="13802" width="8.85546875" style="7" customWidth="1"/>
    <col min="13803" max="13803" width="9.85546875" style="7" bestFit="1" customWidth="1"/>
    <col min="13804" max="13804" width="8.85546875" style="7"/>
    <col min="13805" max="13805" width="9.42578125" style="7" bestFit="1" customWidth="1"/>
    <col min="13806" max="14046" width="8.85546875" style="7"/>
    <col min="14047" max="14047" width="1.85546875" style="7" customWidth="1"/>
    <col min="14048" max="14048" width="7.28515625" style="7" customWidth="1"/>
    <col min="14049" max="14049" width="9.85546875" style="7" customWidth="1"/>
    <col min="14050" max="14050" width="12.7109375" style="7" customWidth="1"/>
    <col min="14051" max="14051" width="11.140625" style="7" customWidth="1"/>
    <col min="14052" max="14052" width="10.85546875" style="7" customWidth="1"/>
    <col min="14053" max="14053" width="11.42578125" style="7" customWidth="1"/>
    <col min="14054" max="14054" width="13.42578125" style="7" customWidth="1"/>
    <col min="14055" max="14055" width="11.140625" style="7" customWidth="1"/>
    <col min="14056" max="14056" width="11.28515625" style="7" bestFit="1" customWidth="1"/>
    <col min="14057" max="14057" width="11.42578125" style="7" customWidth="1"/>
    <col min="14058" max="14058" width="8.85546875" style="7" customWidth="1"/>
    <col min="14059" max="14059" width="9.85546875" style="7" bestFit="1" customWidth="1"/>
    <col min="14060" max="14060" width="8.85546875" style="7"/>
    <col min="14061" max="14061" width="9.42578125" style="7" bestFit="1" customWidth="1"/>
    <col min="14062" max="14302" width="8.85546875" style="7"/>
    <col min="14303" max="14303" width="1.85546875" style="7" customWidth="1"/>
    <col min="14304" max="14304" width="7.28515625" style="7" customWidth="1"/>
    <col min="14305" max="14305" width="9.85546875" style="7" customWidth="1"/>
    <col min="14306" max="14306" width="12.7109375" style="7" customWidth="1"/>
    <col min="14307" max="14307" width="11.140625" style="7" customWidth="1"/>
    <col min="14308" max="14308" width="10.85546875" style="7" customWidth="1"/>
    <col min="14309" max="14309" width="11.42578125" style="7" customWidth="1"/>
    <col min="14310" max="14310" width="13.42578125" style="7" customWidth="1"/>
    <col min="14311" max="14311" width="11.140625" style="7" customWidth="1"/>
    <col min="14312" max="14312" width="11.28515625" style="7" bestFit="1" customWidth="1"/>
    <col min="14313" max="14313" width="11.42578125" style="7" customWidth="1"/>
    <col min="14314" max="14314" width="8.85546875" style="7" customWidth="1"/>
    <col min="14315" max="14315" width="9.85546875" style="7" bestFit="1" customWidth="1"/>
    <col min="14316" max="14316" width="8.85546875" style="7"/>
    <col min="14317" max="14317" width="9.42578125" style="7" bestFit="1" customWidth="1"/>
    <col min="14318" max="14558" width="8.85546875" style="7"/>
    <col min="14559" max="14559" width="1.85546875" style="7" customWidth="1"/>
    <col min="14560" max="14560" width="7.28515625" style="7" customWidth="1"/>
    <col min="14561" max="14561" width="9.85546875" style="7" customWidth="1"/>
    <col min="14562" max="14562" width="12.7109375" style="7" customWidth="1"/>
    <col min="14563" max="14563" width="11.140625" style="7" customWidth="1"/>
    <col min="14564" max="14564" width="10.85546875" style="7" customWidth="1"/>
    <col min="14565" max="14565" width="11.42578125" style="7" customWidth="1"/>
    <col min="14566" max="14566" width="13.42578125" style="7" customWidth="1"/>
    <col min="14567" max="14567" width="11.140625" style="7" customWidth="1"/>
    <col min="14568" max="14568" width="11.28515625" style="7" bestFit="1" customWidth="1"/>
    <col min="14569" max="14569" width="11.42578125" style="7" customWidth="1"/>
    <col min="14570" max="14570" width="8.85546875" style="7" customWidth="1"/>
    <col min="14571" max="14571" width="9.85546875" style="7" bestFit="1" customWidth="1"/>
    <col min="14572" max="14572" width="8.85546875" style="7"/>
    <col min="14573" max="14573" width="9.42578125" style="7" bestFit="1" customWidth="1"/>
    <col min="14574" max="14814" width="8.85546875" style="7"/>
    <col min="14815" max="14815" width="1.85546875" style="7" customWidth="1"/>
    <col min="14816" max="14816" width="7.28515625" style="7" customWidth="1"/>
    <col min="14817" max="14817" width="9.85546875" style="7" customWidth="1"/>
    <col min="14818" max="14818" width="12.7109375" style="7" customWidth="1"/>
    <col min="14819" max="14819" width="11.140625" style="7" customWidth="1"/>
    <col min="14820" max="14820" width="10.85546875" style="7" customWidth="1"/>
    <col min="14821" max="14821" width="11.42578125" style="7" customWidth="1"/>
    <col min="14822" max="14822" width="13.42578125" style="7" customWidth="1"/>
    <col min="14823" max="14823" width="11.140625" style="7" customWidth="1"/>
    <col min="14824" max="14824" width="11.28515625" style="7" bestFit="1" customWidth="1"/>
    <col min="14825" max="14825" width="11.42578125" style="7" customWidth="1"/>
    <col min="14826" max="14826" width="8.85546875" style="7" customWidth="1"/>
    <col min="14827" max="14827" width="9.85546875" style="7" bestFit="1" customWidth="1"/>
    <col min="14828" max="14828" width="8.85546875" style="7"/>
    <col min="14829" max="14829" width="9.42578125" style="7" bestFit="1" customWidth="1"/>
    <col min="14830" max="15070" width="8.85546875" style="7"/>
    <col min="15071" max="15071" width="1.85546875" style="7" customWidth="1"/>
    <col min="15072" max="15072" width="7.28515625" style="7" customWidth="1"/>
    <col min="15073" max="15073" width="9.85546875" style="7" customWidth="1"/>
    <col min="15074" max="15074" width="12.7109375" style="7" customWidth="1"/>
    <col min="15075" max="15075" width="11.140625" style="7" customWidth="1"/>
    <col min="15076" max="15076" width="10.85546875" style="7" customWidth="1"/>
    <col min="15077" max="15077" width="11.42578125" style="7" customWidth="1"/>
    <col min="15078" max="15078" width="13.42578125" style="7" customWidth="1"/>
    <col min="15079" max="15079" width="11.140625" style="7" customWidth="1"/>
    <col min="15080" max="15080" width="11.28515625" style="7" bestFit="1" customWidth="1"/>
    <col min="15081" max="15081" width="11.42578125" style="7" customWidth="1"/>
    <col min="15082" max="15082" width="8.85546875" style="7" customWidth="1"/>
    <col min="15083" max="15083" width="9.85546875" style="7" bestFit="1" customWidth="1"/>
    <col min="15084" max="15084" width="8.85546875" style="7"/>
    <col min="15085" max="15085" width="9.42578125" style="7" bestFit="1" customWidth="1"/>
    <col min="15086" max="15326" width="8.85546875" style="7"/>
    <col min="15327" max="15327" width="1.85546875" style="7" customWidth="1"/>
    <col min="15328" max="15328" width="7.28515625" style="7" customWidth="1"/>
    <col min="15329" max="15329" width="9.85546875" style="7" customWidth="1"/>
    <col min="15330" max="15330" width="12.7109375" style="7" customWidth="1"/>
    <col min="15331" max="15331" width="11.140625" style="7" customWidth="1"/>
    <col min="15332" max="15332" width="10.85546875" style="7" customWidth="1"/>
    <col min="15333" max="15333" width="11.42578125" style="7" customWidth="1"/>
    <col min="15334" max="15334" width="13.42578125" style="7" customWidth="1"/>
    <col min="15335" max="15335" width="11.140625" style="7" customWidth="1"/>
    <col min="15336" max="15336" width="11.28515625" style="7" bestFit="1" customWidth="1"/>
    <col min="15337" max="15337" width="11.42578125" style="7" customWidth="1"/>
    <col min="15338" max="15338" width="8.85546875" style="7" customWidth="1"/>
    <col min="15339" max="15339" width="9.85546875" style="7" bestFit="1" customWidth="1"/>
    <col min="15340" max="15340" width="8.85546875" style="7"/>
    <col min="15341" max="15341" width="9.42578125" style="7" bestFit="1" customWidth="1"/>
    <col min="15342" max="15582" width="8.85546875" style="7"/>
    <col min="15583" max="15583" width="1.85546875" style="7" customWidth="1"/>
    <col min="15584" max="15584" width="7.28515625" style="7" customWidth="1"/>
    <col min="15585" max="15585" width="9.85546875" style="7" customWidth="1"/>
    <col min="15586" max="15586" width="12.7109375" style="7" customWidth="1"/>
    <col min="15587" max="15587" width="11.140625" style="7" customWidth="1"/>
    <col min="15588" max="15588" width="10.85546875" style="7" customWidth="1"/>
    <col min="15589" max="15589" width="11.42578125" style="7" customWidth="1"/>
    <col min="15590" max="15590" width="13.42578125" style="7" customWidth="1"/>
    <col min="15591" max="15591" width="11.140625" style="7" customWidth="1"/>
    <col min="15592" max="15592" width="11.28515625" style="7" bestFit="1" customWidth="1"/>
    <col min="15593" max="15593" width="11.42578125" style="7" customWidth="1"/>
    <col min="15594" max="15594" width="8.85546875" style="7" customWidth="1"/>
    <col min="15595" max="15595" width="9.85546875" style="7" bestFit="1" customWidth="1"/>
    <col min="15596" max="15596" width="8.85546875" style="7"/>
    <col min="15597" max="15597" width="9.42578125" style="7" bestFit="1" customWidth="1"/>
    <col min="15598" max="15838" width="8.85546875" style="7"/>
    <col min="15839" max="15839" width="1.85546875" style="7" customWidth="1"/>
    <col min="15840" max="15840" width="7.28515625" style="7" customWidth="1"/>
    <col min="15841" max="15841" width="9.85546875" style="7" customWidth="1"/>
    <col min="15842" max="15842" width="12.7109375" style="7" customWidth="1"/>
    <col min="15843" max="15843" width="11.140625" style="7" customWidth="1"/>
    <col min="15844" max="15844" width="10.85546875" style="7" customWidth="1"/>
    <col min="15845" max="15845" width="11.42578125" style="7" customWidth="1"/>
    <col min="15846" max="15846" width="13.42578125" style="7" customWidth="1"/>
    <col min="15847" max="15847" width="11.140625" style="7" customWidth="1"/>
    <col min="15848" max="15848" width="11.28515625" style="7" bestFit="1" customWidth="1"/>
    <col min="15849" max="15849" width="11.42578125" style="7" customWidth="1"/>
    <col min="15850" max="15850" width="8.85546875" style="7" customWidth="1"/>
    <col min="15851" max="15851" width="9.85546875" style="7" bestFit="1" customWidth="1"/>
    <col min="15852" max="15852" width="8.85546875" style="7"/>
    <col min="15853" max="15853" width="9.42578125" style="7" bestFit="1" customWidth="1"/>
    <col min="15854" max="16094" width="8.85546875" style="7"/>
    <col min="16095" max="16095" width="1.85546875" style="7" customWidth="1"/>
    <col min="16096" max="16096" width="7.28515625" style="7" customWidth="1"/>
    <col min="16097" max="16097" width="9.85546875" style="7" customWidth="1"/>
    <col min="16098" max="16098" width="12.7109375" style="7" customWidth="1"/>
    <col min="16099" max="16099" width="11.140625" style="7" customWidth="1"/>
    <col min="16100" max="16100" width="10.85546875" style="7" customWidth="1"/>
    <col min="16101" max="16101" width="11.42578125" style="7" customWidth="1"/>
    <col min="16102" max="16102" width="13.42578125" style="7" customWidth="1"/>
    <col min="16103" max="16103" width="11.140625" style="7" customWidth="1"/>
    <col min="16104" max="16104" width="11.28515625" style="7" bestFit="1" customWidth="1"/>
    <col min="16105" max="16105" width="11.42578125" style="7" customWidth="1"/>
    <col min="16106" max="16106" width="8.85546875" style="7" customWidth="1"/>
    <col min="16107" max="16107" width="9.85546875" style="7" bestFit="1" customWidth="1"/>
    <col min="16108" max="16108" width="8.85546875" style="7"/>
    <col min="16109" max="16109" width="9.42578125" style="7" bestFit="1" customWidth="1"/>
    <col min="16110" max="16384" width="8.85546875" style="7"/>
  </cols>
  <sheetData>
    <row r="1" spans="1:5" ht="15" customHeight="1" thickBot="1" x14ac:dyDescent="0.3">
      <c r="A1" s="335" t="s">
        <v>250</v>
      </c>
      <c r="B1" s="336"/>
      <c r="C1" s="336"/>
      <c r="D1" s="337"/>
    </row>
    <row r="2" spans="1:5" ht="15" customHeight="1" x14ac:dyDescent="0.25">
      <c r="A2" s="338" t="s">
        <v>251</v>
      </c>
      <c r="B2" s="338"/>
      <c r="C2" s="338"/>
      <c r="D2" s="338"/>
    </row>
    <row r="3" spans="1:5" ht="15" customHeight="1" x14ac:dyDescent="0.25">
      <c r="A3" s="338" t="s">
        <v>252</v>
      </c>
      <c r="B3" s="338"/>
      <c r="C3" s="338"/>
      <c r="D3" s="338"/>
    </row>
    <row r="4" spans="1:5" ht="15" customHeight="1" thickBot="1" x14ac:dyDescent="0.3">
      <c r="A4" s="339"/>
      <c r="B4" s="339"/>
      <c r="C4" s="339"/>
      <c r="D4" s="339"/>
    </row>
    <row r="5" spans="1:5" ht="15" customHeight="1" thickBot="1" x14ac:dyDescent="0.3">
      <c r="A5" s="335" t="s">
        <v>253</v>
      </c>
      <c r="B5" s="336"/>
      <c r="C5" s="336"/>
      <c r="D5" s="337"/>
    </row>
    <row r="6" spans="1:5" ht="15" customHeight="1" thickBot="1" x14ac:dyDescent="0.3">
      <c r="A6" s="343" t="s">
        <v>254</v>
      </c>
      <c r="B6" s="344"/>
      <c r="C6" s="345"/>
      <c r="D6" s="346"/>
    </row>
    <row r="7" spans="1:5" ht="15" customHeight="1" x14ac:dyDescent="0.25">
      <c r="A7" s="50" t="s">
        <v>255</v>
      </c>
      <c r="B7" s="51" t="s">
        <v>256</v>
      </c>
      <c r="C7" s="347" t="s">
        <v>257</v>
      </c>
      <c r="D7" s="348"/>
    </row>
    <row r="8" spans="1:5" ht="15" customHeight="1" x14ac:dyDescent="0.25">
      <c r="A8" s="52" t="s">
        <v>258</v>
      </c>
      <c r="B8" s="53" t="s">
        <v>259</v>
      </c>
      <c r="C8" s="349"/>
      <c r="D8" s="350"/>
    </row>
    <row r="9" spans="1:5" ht="15" customHeight="1" x14ac:dyDescent="0.25">
      <c r="A9" s="52" t="s">
        <v>260</v>
      </c>
      <c r="B9" s="53" t="s">
        <v>261</v>
      </c>
      <c r="C9" s="349"/>
      <c r="D9" s="350"/>
    </row>
    <row r="10" spans="1:5" ht="15" customHeight="1" thickBot="1" x14ac:dyDescent="0.3">
      <c r="A10" s="54" t="s">
        <v>262</v>
      </c>
      <c r="B10" s="55" t="s">
        <v>263</v>
      </c>
      <c r="C10" s="351"/>
      <c r="D10" s="352"/>
    </row>
    <row r="11" spans="1:5" ht="15" customHeight="1" thickBot="1" x14ac:dyDescent="0.3">
      <c r="A11" s="56"/>
      <c r="B11" s="57"/>
      <c r="D11" s="59"/>
    </row>
    <row r="12" spans="1:5" ht="15" customHeight="1" thickBot="1" x14ac:dyDescent="0.3">
      <c r="A12" s="343" t="s">
        <v>264</v>
      </c>
      <c r="B12" s="344"/>
      <c r="C12" s="344"/>
      <c r="D12" s="353"/>
    </row>
    <row r="13" spans="1:5" ht="15" customHeight="1" x14ac:dyDescent="0.25">
      <c r="A13" s="50" t="s">
        <v>265</v>
      </c>
      <c r="B13" s="51" t="s">
        <v>266</v>
      </c>
      <c r="C13" s="340"/>
      <c r="D13" s="341"/>
    </row>
    <row r="14" spans="1:5" ht="15" customHeight="1" x14ac:dyDescent="0.25">
      <c r="A14" s="52" t="s">
        <v>267</v>
      </c>
      <c r="B14" s="342" t="s">
        <v>268</v>
      </c>
      <c r="C14" s="342"/>
      <c r="D14" s="60" t="s">
        <v>269</v>
      </c>
    </row>
    <row r="15" spans="1:5" ht="15" customHeight="1" x14ac:dyDescent="0.25">
      <c r="A15" s="52" t="s">
        <v>270</v>
      </c>
      <c r="B15" s="53" t="s">
        <v>271</v>
      </c>
      <c r="C15" s="61" t="s">
        <v>272</v>
      </c>
      <c r="D15" s="60" t="s">
        <v>468</v>
      </c>
      <c r="E15" s="62"/>
    </row>
    <row r="16" spans="1:5" ht="14.25" x14ac:dyDescent="0.25">
      <c r="A16" s="52" t="s">
        <v>273</v>
      </c>
      <c r="B16" s="342" t="s">
        <v>274</v>
      </c>
      <c r="C16" s="342"/>
      <c r="D16" s="63"/>
    </row>
    <row r="17" spans="1:5" ht="15" customHeight="1" x14ac:dyDescent="0.25">
      <c r="A17" s="52" t="s">
        <v>275</v>
      </c>
      <c r="B17" s="342" t="s">
        <v>276</v>
      </c>
      <c r="C17" s="342"/>
      <c r="D17" s="60" t="s">
        <v>277</v>
      </c>
    </row>
    <row r="18" spans="1:5" ht="15" customHeight="1" thickBot="1" x14ac:dyDescent="0.3">
      <c r="A18" s="54" t="s">
        <v>278</v>
      </c>
      <c r="B18" s="64" t="s">
        <v>279</v>
      </c>
      <c r="C18" s="65" t="s">
        <v>280</v>
      </c>
      <c r="D18" s="66">
        <v>1302</v>
      </c>
    </row>
    <row r="19" spans="1:5" ht="15" customHeight="1" thickBot="1" x14ac:dyDescent="0.3">
      <c r="D19" s="68"/>
    </row>
    <row r="20" spans="1:5" ht="15" customHeight="1" thickBot="1" x14ac:dyDescent="0.3">
      <c r="A20" s="323" t="s">
        <v>281</v>
      </c>
      <c r="B20" s="324"/>
      <c r="C20" s="324"/>
      <c r="D20" s="325"/>
      <c r="E20" s="69" t="s">
        <v>235</v>
      </c>
    </row>
    <row r="21" spans="1:5" ht="30" x14ac:dyDescent="0.25">
      <c r="A21" s="50" t="s">
        <v>282</v>
      </c>
      <c r="B21" s="326" t="s">
        <v>283</v>
      </c>
      <c r="C21" s="326"/>
      <c r="D21" s="70" t="s">
        <v>284</v>
      </c>
    </row>
    <row r="22" spans="1:5" ht="15" customHeight="1" x14ac:dyDescent="0.25">
      <c r="A22" s="52" t="s">
        <v>285</v>
      </c>
      <c r="B22" s="327" t="s">
        <v>286</v>
      </c>
      <c r="C22" s="327"/>
      <c r="D22" s="71" t="s">
        <v>287</v>
      </c>
    </row>
    <row r="23" spans="1:5" ht="15" customHeight="1" x14ac:dyDescent="0.25">
      <c r="A23" s="52" t="s">
        <v>288</v>
      </c>
      <c r="B23" s="327" t="s">
        <v>289</v>
      </c>
      <c r="C23" s="327"/>
      <c r="D23" s="72">
        <v>10302</v>
      </c>
      <c r="E23" s="73" t="s">
        <v>290</v>
      </c>
    </row>
    <row r="24" spans="1:5" ht="15" customHeight="1" x14ac:dyDescent="0.25">
      <c r="A24" s="52" t="s">
        <v>291</v>
      </c>
      <c r="B24" s="327" t="s">
        <v>292</v>
      </c>
      <c r="C24" s="327"/>
      <c r="D24" s="74" t="s">
        <v>293</v>
      </c>
      <c r="E24" s="73" t="s">
        <v>294</v>
      </c>
    </row>
    <row r="25" spans="1:5" ht="15" customHeight="1" x14ac:dyDescent="0.25">
      <c r="A25" s="52" t="s">
        <v>295</v>
      </c>
      <c r="B25" s="327" t="s">
        <v>296</v>
      </c>
      <c r="C25" s="327"/>
      <c r="D25" s="75">
        <v>44865</v>
      </c>
    </row>
    <row r="26" spans="1:5" ht="15" customHeight="1" x14ac:dyDescent="0.25">
      <c r="A26" s="52" t="s">
        <v>297</v>
      </c>
      <c r="B26" s="327" t="s">
        <v>298</v>
      </c>
      <c r="C26" s="327"/>
      <c r="D26" s="76">
        <v>44682</v>
      </c>
    </row>
    <row r="27" spans="1:5" ht="15" customHeight="1" x14ac:dyDescent="0.25">
      <c r="A27" s="52" t="s">
        <v>299</v>
      </c>
      <c r="B27" s="327" t="s">
        <v>300</v>
      </c>
      <c r="C27" s="328"/>
      <c r="D27" s="76" t="s">
        <v>301</v>
      </c>
      <c r="E27" s="73" t="s">
        <v>302</v>
      </c>
    </row>
    <row r="28" spans="1:5" ht="15" customHeight="1" thickBot="1" x14ac:dyDescent="0.3">
      <c r="A28" s="54" t="s">
        <v>303</v>
      </c>
      <c r="B28" s="329" t="s">
        <v>304</v>
      </c>
      <c r="C28" s="330"/>
      <c r="D28" s="77">
        <v>1</v>
      </c>
      <c r="E28" s="62"/>
    </row>
    <row r="29" spans="1:5" ht="15" customHeight="1" thickBot="1" x14ac:dyDescent="0.3">
      <c r="A29" s="78"/>
      <c r="B29" s="79"/>
      <c r="C29" s="79"/>
      <c r="D29" s="80"/>
    </row>
    <row r="30" spans="1:5" ht="15" customHeight="1" x14ac:dyDescent="0.25">
      <c r="A30" s="302" t="s">
        <v>305</v>
      </c>
      <c r="B30" s="303"/>
      <c r="C30" s="303"/>
      <c r="D30" s="304"/>
    </row>
    <row r="31" spans="1:5" ht="15" customHeight="1" x14ac:dyDescent="0.25">
      <c r="A31" s="315" t="s">
        <v>306</v>
      </c>
      <c r="B31" s="316"/>
      <c r="C31" s="331"/>
      <c r="D31" s="81" t="s">
        <v>307</v>
      </c>
    </row>
    <row r="32" spans="1:5" ht="15" customHeight="1" x14ac:dyDescent="0.25">
      <c r="A32" s="52" t="s">
        <v>308</v>
      </c>
      <c r="B32" s="332" t="s">
        <v>309</v>
      </c>
      <c r="C32" s="332"/>
      <c r="D32" s="82">
        <f>D23</f>
        <v>10302</v>
      </c>
      <c r="E32" s="73" t="s">
        <v>290</v>
      </c>
    </row>
    <row r="33" spans="1:5" ht="15" customHeight="1" thickBot="1" x14ac:dyDescent="0.3">
      <c r="A33" s="333" t="s">
        <v>310</v>
      </c>
      <c r="B33" s="334"/>
      <c r="C33" s="334"/>
      <c r="D33" s="83">
        <f>SUM(D32:D32)</f>
        <v>10302</v>
      </c>
      <c r="E33" s="84"/>
    </row>
    <row r="34" spans="1:5" ht="15" customHeight="1" thickBot="1" x14ac:dyDescent="0.3">
      <c r="A34" s="67"/>
      <c r="C34" s="67"/>
      <c r="D34" s="67"/>
    </row>
    <row r="35" spans="1:5" ht="15" customHeight="1" x14ac:dyDescent="0.25">
      <c r="A35" s="302" t="s">
        <v>311</v>
      </c>
      <c r="B35" s="303"/>
      <c r="C35" s="303"/>
      <c r="D35" s="304"/>
    </row>
    <row r="36" spans="1:5" ht="15" customHeight="1" x14ac:dyDescent="0.25">
      <c r="A36" s="305" t="s">
        <v>312</v>
      </c>
      <c r="B36" s="306"/>
      <c r="C36" s="85" t="s">
        <v>313</v>
      </c>
      <c r="D36" s="86" t="s">
        <v>314</v>
      </c>
    </row>
    <row r="37" spans="1:5" ht="15" customHeight="1" x14ac:dyDescent="0.25">
      <c r="A37" s="52" t="s">
        <v>308</v>
      </c>
      <c r="B37" s="87" t="s">
        <v>315</v>
      </c>
      <c r="C37" s="88">
        <v>8.3299999999999999E-2</v>
      </c>
      <c r="D37" s="89">
        <f>(D33)*($C$37)</f>
        <v>858.15660000000003</v>
      </c>
      <c r="E37" s="49" t="s">
        <v>316</v>
      </c>
    </row>
    <row r="38" spans="1:5" ht="28.5" customHeight="1" x14ac:dyDescent="0.25">
      <c r="A38" s="52" t="s">
        <v>317</v>
      </c>
      <c r="B38" s="87" t="s">
        <v>318</v>
      </c>
      <c r="C38" s="88">
        <v>0.121</v>
      </c>
      <c r="D38" s="89">
        <f>(D33)*($C$38)</f>
        <v>1246.5419999999999</v>
      </c>
      <c r="E38" s="84" t="s">
        <v>319</v>
      </c>
    </row>
    <row r="39" spans="1:5" ht="15" customHeight="1" x14ac:dyDescent="0.25">
      <c r="A39" s="321" t="s">
        <v>320</v>
      </c>
      <c r="B39" s="322"/>
      <c r="C39" s="90">
        <f>SUM(C37:C38)</f>
        <v>0.20429999999999998</v>
      </c>
      <c r="D39" s="91">
        <f>SUM(D37:D38)</f>
        <v>2104.6985999999997</v>
      </c>
    </row>
    <row r="40" spans="1:5" ht="15" customHeight="1" x14ac:dyDescent="0.25">
      <c r="A40" s="305" t="s">
        <v>321</v>
      </c>
      <c r="B40" s="306"/>
      <c r="C40" s="85" t="s">
        <v>313</v>
      </c>
      <c r="D40" s="81" t="s">
        <v>314</v>
      </c>
    </row>
    <row r="41" spans="1:5" ht="15" customHeight="1" x14ac:dyDescent="0.25">
      <c r="A41" s="52" t="s">
        <v>308</v>
      </c>
      <c r="B41" s="92" t="s">
        <v>322</v>
      </c>
      <c r="C41" s="88">
        <v>0.2</v>
      </c>
      <c r="D41" s="89">
        <f t="shared" ref="D41:D48" si="0">($D$33+$D$39)*(C41)</f>
        <v>2481.3397199999999</v>
      </c>
    </row>
    <row r="42" spans="1:5" ht="15" customHeight="1" x14ac:dyDescent="0.25">
      <c r="A42" s="52" t="s">
        <v>317</v>
      </c>
      <c r="B42" s="92" t="s">
        <v>323</v>
      </c>
      <c r="C42" s="88">
        <v>2.5000000000000001E-2</v>
      </c>
      <c r="D42" s="89">
        <f t="shared" si="0"/>
        <v>310.16746499999999</v>
      </c>
    </row>
    <row r="43" spans="1:5" ht="31.5" customHeight="1" x14ac:dyDescent="0.25">
      <c r="A43" s="52" t="s">
        <v>324</v>
      </c>
      <c r="B43" s="92" t="s">
        <v>325</v>
      </c>
      <c r="C43" s="88">
        <v>0.06</v>
      </c>
      <c r="D43" s="89">
        <f t="shared" si="0"/>
        <v>744.40191599999991</v>
      </c>
      <c r="E43" s="49" t="s">
        <v>326</v>
      </c>
    </row>
    <row r="44" spans="1:5" ht="15" customHeight="1" x14ac:dyDescent="0.25">
      <c r="A44" s="52" t="s">
        <v>327</v>
      </c>
      <c r="B44" s="92" t="s">
        <v>328</v>
      </c>
      <c r="C44" s="88">
        <v>1.4999999999999999E-2</v>
      </c>
      <c r="D44" s="89">
        <f t="shared" si="0"/>
        <v>186.10047899999998</v>
      </c>
    </row>
    <row r="45" spans="1:5" ht="15" customHeight="1" x14ac:dyDescent="0.25">
      <c r="A45" s="52" t="s">
        <v>329</v>
      </c>
      <c r="B45" s="92" t="s">
        <v>330</v>
      </c>
      <c r="C45" s="88">
        <v>0.01</v>
      </c>
      <c r="D45" s="89">
        <f t="shared" si="0"/>
        <v>124.066986</v>
      </c>
    </row>
    <row r="46" spans="1:5" ht="15" customHeight="1" x14ac:dyDescent="0.25">
      <c r="A46" s="52" t="s">
        <v>331</v>
      </c>
      <c r="B46" s="93" t="s">
        <v>332</v>
      </c>
      <c r="C46" s="88">
        <v>6.0000000000000001E-3</v>
      </c>
      <c r="D46" s="89">
        <f t="shared" si="0"/>
        <v>74.440191600000006</v>
      </c>
    </row>
    <row r="47" spans="1:5" ht="15" customHeight="1" x14ac:dyDescent="0.25">
      <c r="A47" s="52" t="s">
        <v>333</v>
      </c>
      <c r="B47" s="92" t="s">
        <v>334</v>
      </c>
      <c r="C47" s="88">
        <v>2E-3</v>
      </c>
      <c r="D47" s="89">
        <f t="shared" si="0"/>
        <v>24.813397200000001</v>
      </c>
    </row>
    <row r="48" spans="1:5" ht="15" customHeight="1" x14ac:dyDescent="0.25">
      <c r="A48" s="52" t="s">
        <v>335</v>
      </c>
      <c r="B48" s="92" t="s">
        <v>336</v>
      </c>
      <c r="C48" s="88">
        <v>0.08</v>
      </c>
      <c r="D48" s="89">
        <f t="shared" si="0"/>
        <v>992.535888</v>
      </c>
      <c r="E48" s="84"/>
    </row>
    <row r="49" spans="1:5" ht="15" customHeight="1" x14ac:dyDescent="0.25">
      <c r="A49" s="321" t="s">
        <v>337</v>
      </c>
      <c r="B49" s="322"/>
      <c r="C49" s="90">
        <f>SUM(C41:C48)</f>
        <v>0.39800000000000008</v>
      </c>
      <c r="D49" s="91">
        <f>SUM(D41:D48)</f>
        <v>4937.8660428000003</v>
      </c>
    </row>
    <row r="50" spans="1:5" ht="15" customHeight="1" x14ac:dyDescent="0.25">
      <c r="A50" s="305" t="s">
        <v>338</v>
      </c>
      <c r="B50" s="306"/>
      <c r="C50" s="94" t="s">
        <v>339</v>
      </c>
      <c r="D50" s="81" t="s">
        <v>314</v>
      </c>
    </row>
    <row r="51" spans="1:5" ht="15" customHeight="1" x14ac:dyDescent="0.25">
      <c r="A51" s="52" t="s">
        <v>308</v>
      </c>
      <c r="B51" s="95" t="s">
        <v>340</v>
      </c>
      <c r="C51" s="96">
        <v>11</v>
      </c>
      <c r="D51" s="97">
        <f>IF((C51*22)-(D32*6%)&gt;0,(C51*22)-(D32*6%),0)</f>
        <v>0</v>
      </c>
      <c r="E51" s="73" t="s">
        <v>341</v>
      </c>
    </row>
    <row r="52" spans="1:5" ht="15" customHeight="1" x14ac:dyDescent="0.25">
      <c r="A52" s="52" t="s">
        <v>317</v>
      </c>
      <c r="B52" s="95" t="s">
        <v>342</v>
      </c>
      <c r="C52" s="98">
        <v>30</v>
      </c>
      <c r="D52" s="89">
        <f>(C52)*22</f>
        <v>660</v>
      </c>
      <c r="E52" s="73" t="s">
        <v>343</v>
      </c>
    </row>
    <row r="53" spans="1:5" ht="15" customHeight="1" x14ac:dyDescent="0.25">
      <c r="A53" s="317" t="s">
        <v>344</v>
      </c>
      <c r="B53" s="318"/>
      <c r="C53" s="99"/>
      <c r="D53" s="91">
        <f>SUM(D51:D52)</f>
        <v>660</v>
      </c>
    </row>
    <row r="54" spans="1:5" ht="15" customHeight="1" x14ac:dyDescent="0.25">
      <c r="A54" s="315" t="s">
        <v>345</v>
      </c>
      <c r="B54" s="316"/>
      <c r="C54" s="85" t="s">
        <v>346</v>
      </c>
      <c r="D54" s="81" t="s">
        <v>314</v>
      </c>
    </row>
    <row r="55" spans="1:5" ht="15" customHeight="1" x14ac:dyDescent="0.25">
      <c r="A55" s="52" t="s">
        <v>308</v>
      </c>
      <c r="B55" s="87" t="s">
        <v>347</v>
      </c>
      <c r="C55" s="100"/>
      <c r="D55" s="101">
        <f>(D33/220)*150%*0.5*C55</f>
        <v>0</v>
      </c>
      <c r="E55" s="49" t="s">
        <v>348</v>
      </c>
    </row>
    <row r="56" spans="1:5" ht="15" customHeight="1" thickBot="1" x14ac:dyDescent="0.3">
      <c r="A56" s="299" t="s">
        <v>349</v>
      </c>
      <c r="B56" s="300"/>
      <c r="C56" s="102"/>
      <c r="D56" s="103">
        <f>SUM(D55)</f>
        <v>0</v>
      </c>
    </row>
    <row r="57" spans="1:5" ht="15" customHeight="1" x14ac:dyDescent="0.25">
      <c r="A57" s="305" t="s">
        <v>350</v>
      </c>
      <c r="B57" s="306"/>
      <c r="C57" s="306"/>
      <c r="D57" s="319"/>
    </row>
    <row r="58" spans="1:5" ht="15" customHeight="1" x14ac:dyDescent="0.2">
      <c r="A58" s="104" t="s">
        <v>351</v>
      </c>
      <c r="B58" s="320" t="s">
        <v>352</v>
      </c>
      <c r="C58" s="320"/>
      <c r="D58" s="82">
        <f>(D39)</f>
        <v>2104.6985999999997</v>
      </c>
    </row>
    <row r="59" spans="1:5" ht="15" customHeight="1" x14ac:dyDescent="0.2">
      <c r="A59" s="104" t="s">
        <v>353</v>
      </c>
      <c r="B59" s="320" t="s">
        <v>354</v>
      </c>
      <c r="C59" s="320"/>
      <c r="D59" s="82">
        <f>(D49)</f>
        <v>4937.8660428000003</v>
      </c>
    </row>
    <row r="60" spans="1:5" ht="15" customHeight="1" x14ac:dyDescent="0.2">
      <c r="A60" s="104" t="s">
        <v>355</v>
      </c>
      <c r="B60" s="320" t="s">
        <v>356</v>
      </c>
      <c r="C60" s="320"/>
      <c r="D60" s="82">
        <f>(D53)</f>
        <v>660</v>
      </c>
    </row>
    <row r="61" spans="1:5" ht="15" customHeight="1" x14ac:dyDescent="0.2">
      <c r="A61" s="104" t="s">
        <v>357</v>
      </c>
      <c r="B61" s="307" t="s">
        <v>358</v>
      </c>
      <c r="C61" s="308"/>
      <c r="D61" s="82">
        <f>D56</f>
        <v>0</v>
      </c>
    </row>
    <row r="62" spans="1:5" ht="15" customHeight="1" thickBot="1" x14ac:dyDescent="0.3">
      <c r="A62" s="299" t="s">
        <v>359</v>
      </c>
      <c r="B62" s="300"/>
      <c r="C62" s="300"/>
      <c r="D62" s="83">
        <f>SUM(D58:D61)</f>
        <v>7702.5646428</v>
      </c>
    </row>
    <row r="63" spans="1:5" ht="15" customHeight="1" thickBot="1" x14ac:dyDescent="0.3">
      <c r="A63" s="105"/>
      <c r="B63" s="105"/>
      <c r="C63" s="105"/>
      <c r="D63" s="105"/>
    </row>
    <row r="64" spans="1:5" ht="15" customHeight="1" x14ac:dyDescent="0.25">
      <c r="A64" s="302" t="s">
        <v>360</v>
      </c>
      <c r="B64" s="303"/>
      <c r="C64" s="303"/>
      <c r="D64" s="304"/>
    </row>
    <row r="65" spans="1:5" ht="15" customHeight="1" x14ac:dyDescent="0.25">
      <c r="A65" s="305" t="s">
        <v>361</v>
      </c>
      <c r="B65" s="306"/>
      <c r="C65" s="85" t="s">
        <v>313</v>
      </c>
      <c r="D65" s="81" t="s">
        <v>314</v>
      </c>
    </row>
    <row r="66" spans="1:5" ht="15" customHeight="1" x14ac:dyDescent="0.25">
      <c r="A66" s="52" t="s">
        <v>308</v>
      </c>
      <c r="B66" s="106" t="s">
        <v>362</v>
      </c>
      <c r="C66" s="107">
        <v>4.1999999999999997E-3</v>
      </c>
      <c r="D66" s="101">
        <f t="shared" ref="D66:D71" si="1">($D$33)*(C66)</f>
        <v>43.2684</v>
      </c>
    </row>
    <row r="67" spans="1:5" ht="28.5" x14ac:dyDescent="0.25">
      <c r="A67" s="52" t="s">
        <v>317</v>
      </c>
      <c r="B67" s="106" t="s">
        <v>363</v>
      </c>
      <c r="C67" s="108">
        <f>($C$48)*(C66)</f>
        <v>3.3599999999999998E-4</v>
      </c>
      <c r="D67" s="101">
        <f t="shared" si="1"/>
        <v>3.4614719999999997</v>
      </c>
    </row>
    <row r="68" spans="1:5" ht="28.5" x14ac:dyDescent="0.25">
      <c r="A68" s="52" t="s">
        <v>324</v>
      </c>
      <c r="B68" s="106" t="s">
        <v>364</v>
      </c>
      <c r="C68" s="108">
        <v>3.9199999999999999E-2</v>
      </c>
      <c r="D68" s="101">
        <f t="shared" si="1"/>
        <v>403.83839999999998</v>
      </c>
    </row>
    <row r="69" spans="1:5" ht="28.5" x14ac:dyDescent="0.25">
      <c r="A69" s="52" t="s">
        <v>327</v>
      </c>
      <c r="B69" s="106" t="s">
        <v>365</v>
      </c>
      <c r="C69" s="108">
        <v>1.9400000000000001E-2</v>
      </c>
      <c r="D69" s="101">
        <f t="shared" si="1"/>
        <v>199.8588</v>
      </c>
    </row>
    <row r="70" spans="1:5" ht="14.25" x14ac:dyDescent="0.25">
      <c r="A70" s="52" t="s">
        <v>329</v>
      </c>
      <c r="B70" s="106" t="s">
        <v>366</v>
      </c>
      <c r="C70" s="108">
        <f>($C$49)*(C69)</f>
        <v>7.7212000000000018E-3</v>
      </c>
      <c r="D70" s="101">
        <f t="shared" si="1"/>
        <v>79.543802400000018</v>
      </c>
    </row>
    <row r="71" spans="1:5" ht="28.5" x14ac:dyDescent="0.25">
      <c r="A71" s="52" t="s">
        <v>331</v>
      </c>
      <c r="B71" s="106" t="s">
        <v>367</v>
      </c>
      <c r="C71" s="108">
        <v>8.0000000000000004E-4</v>
      </c>
      <c r="D71" s="101">
        <f t="shared" si="1"/>
        <v>8.2416</v>
      </c>
    </row>
    <row r="72" spans="1:5" ht="15" customHeight="1" thickBot="1" x14ac:dyDescent="0.3">
      <c r="A72" s="299" t="s">
        <v>368</v>
      </c>
      <c r="B72" s="300"/>
      <c r="C72" s="109">
        <f>SUM(C66:C71)</f>
        <v>7.165719999999999E-2</v>
      </c>
      <c r="D72" s="83">
        <f>SUM(D66:D71)</f>
        <v>738.21247439999991</v>
      </c>
    </row>
    <row r="73" spans="1:5" ht="15" customHeight="1" thickBot="1" x14ac:dyDescent="0.3">
      <c r="A73" s="105"/>
      <c r="B73" s="110"/>
      <c r="C73" s="110"/>
      <c r="D73" s="110"/>
    </row>
    <row r="74" spans="1:5" ht="15" customHeight="1" x14ac:dyDescent="0.25">
      <c r="A74" s="302" t="s">
        <v>369</v>
      </c>
      <c r="B74" s="303"/>
      <c r="C74" s="303"/>
      <c r="D74" s="304"/>
    </row>
    <row r="75" spans="1:5" ht="15" customHeight="1" x14ac:dyDescent="0.25">
      <c r="A75" s="315" t="s">
        <v>370</v>
      </c>
      <c r="B75" s="316"/>
      <c r="C75" s="85" t="s">
        <v>313</v>
      </c>
      <c r="D75" s="81" t="s">
        <v>314</v>
      </c>
    </row>
    <row r="76" spans="1:5" ht="15" customHeight="1" x14ac:dyDescent="0.25">
      <c r="A76" s="52" t="s">
        <v>308</v>
      </c>
      <c r="B76" s="87" t="s">
        <v>371</v>
      </c>
      <c r="C76" s="108">
        <v>0</v>
      </c>
      <c r="D76" s="101">
        <f>($D$33+$D$39+$D$49+$D$53+$D$72)*(C76)</f>
        <v>0</v>
      </c>
      <c r="E76" s="84" t="s">
        <v>372</v>
      </c>
    </row>
    <row r="77" spans="1:5" ht="15" customHeight="1" x14ac:dyDescent="0.25">
      <c r="A77" s="52" t="s">
        <v>317</v>
      </c>
      <c r="B77" s="87" t="s">
        <v>373</v>
      </c>
      <c r="C77" s="108">
        <v>2.3999999999999998E-3</v>
      </c>
      <c r="D77" s="101">
        <f>($D$33+$D$39+$D$49+$D$53+$D$72)*(C77)</f>
        <v>44.982665081279997</v>
      </c>
    </row>
    <row r="78" spans="1:5" ht="15" customHeight="1" x14ac:dyDescent="0.25">
      <c r="A78" s="52" t="s">
        <v>324</v>
      </c>
      <c r="B78" s="87" t="s">
        <v>374</v>
      </c>
      <c r="C78" s="108">
        <v>1E-3</v>
      </c>
      <c r="D78" s="101">
        <f>($D$33+$D$39+$D$49+$D$53+$D$72)*(C78)</f>
        <v>18.742777117199999</v>
      </c>
    </row>
    <row r="79" spans="1:5" ht="15" customHeight="1" x14ac:dyDescent="0.25">
      <c r="A79" s="52" t="s">
        <v>327</v>
      </c>
      <c r="B79" s="87" t="s">
        <v>375</v>
      </c>
      <c r="C79" s="108">
        <v>1.6999999999999999E-3</v>
      </c>
      <c r="D79" s="101">
        <f>($D$33+$D$39+$D$49+$D$53+$D$72)*(C79)</f>
        <v>31.862721099239998</v>
      </c>
    </row>
    <row r="80" spans="1:5" ht="15" customHeight="1" x14ac:dyDescent="0.25">
      <c r="A80" s="52" t="s">
        <v>329</v>
      </c>
      <c r="B80" s="106" t="s">
        <v>376</v>
      </c>
      <c r="C80" s="108">
        <v>5.0000000000000001E-4</v>
      </c>
      <c r="D80" s="101">
        <f>($D$33+$D$39+$D$49+$D$53+$D$72)*(C80)</f>
        <v>9.3713885585999996</v>
      </c>
    </row>
    <row r="81" spans="1:5" ht="15" customHeight="1" x14ac:dyDescent="0.25">
      <c r="A81" s="317" t="s">
        <v>377</v>
      </c>
      <c r="B81" s="318"/>
      <c r="C81" s="111">
        <f>SUM(C76:C80)</f>
        <v>5.5999999999999991E-3</v>
      </c>
      <c r="D81" s="112">
        <f>SUM(D76:D80)</f>
        <v>104.95955185632</v>
      </c>
    </row>
    <row r="82" spans="1:5" ht="15" customHeight="1" x14ac:dyDescent="0.25">
      <c r="A82" s="315" t="s">
        <v>378</v>
      </c>
      <c r="B82" s="316"/>
      <c r="C82" s="85"/>
      <c r="D82" s="81" t="s">
        <v>314</v>
      </c>
    </row>
    <row r="83" spans="1:5" ht="15" customHeight="1" x14ac:dyDescent="0.25">
      <c r="A83" s="52" t="s">
        <v>308</v>
      </c>
      <c r="B83" s="87" t="s">
        <v>379</v>
      </c>
      <c r="C83" s="100"/>
      <c r="D83" s="101">
        <f>(D61/220)*150%*0.5*C83</f>
        <v>0</v>
      </c>
      <c r="E83" s="49" t="s">
        <v>348</v>
      </c>
    </row>
    <row r="84" spans="1:5" ht="15" customHeight="1" thickBot="1" x14ac:dyDescent="0.3">
      <c r="A84" s="299" t="s">
        <v>380</v>
      </c>
      <c r="B84" s="300"/>
      <c r="C84" s="102"/>
      <c r="D84" s="103">
        <f>SUM(D83)</f>
        <v>0</v>
      </c>
    </row>
    <row r="85" spans="1:5" ht="15" customHeight="1" x14ac:dyDescent="0.25">
      <c r="A85" s="294" t="s">
        <v>381</v>
      </c>
      <c r="B85" s="295"/>
      <c r="C85" s="295"/>
      <c r="D85" s="296"/>
    </row>
    <row r="86" spans="1:5" ht="15" customHeight="1" x14ac:dyDescent="0.2">
      <c r="A86" s="104" t="s">
        <v>382</v>
      </c>
      <c r="B86" s="297" t="s">
        <v>383</v>
      </c>
      <c r="C86" s="298"/>
      <c r="D86" s="82">
        <f>(D81)</f>
        <v>104.95955185632</v>
      </c>
    </row>
    <row r="87" spans="1:5" ht="15" customHeight="1" x14ac:dyDescent="0.2">
      <c r="A87" s="113" t="s">
        <v>384</v>
      </c>
      <c r="B87" s="307" t="s">
        <v>379</v>
      </c>
      <c r="C87" s="308"/>
      <c r="D87" s="101">
        <f>D84</f>
        <v>0</v>
      </c>
    </row>
    <row r="88" spans="1:5" ht="15" customHeight="1" thickBot="1" x14ac:dyDescent="0.3">
      <c r="A88" s="299" t="s">
        <v>385</v>
      </c>
      <c r="B88" s="300"/>
      <c r="C88" s="301"/>
      <c r="D88" s="83">
        <f>SUM(D86:D87)</f>
        <v>104.95955185632</v>
      </c>
    </row>
    <row r="89" spans="1:5" ht="15" customHeight="1" thickBot="1" x14ac:dyDescent="0.3">
      <c r="A89" s="105"/>
      <c r="B89" s="105"/>
      <c r="C89" s="105"/>
      <c r="D89" s="105"/>
    </row>
    <row r="90" spans="1:5" ht="15" customHeight="1" x14ac:dyDescent="0.25">
      <c r="A90" s="302" t="s">
        <v>386</v>
      </c>
      <c r="B90" s="303"/>
      <c r="C90" s="303"/>
      <c r="D90" s="304"/>
    </row>
    <row r="91" spans="1:5" ht="15" customHeight="1" x14ac:dyDescent="0.25">
      <c r="A91" s="305" t="s">
        <v>387</v>
      </c>
      <c r="B91" s="306"/>
      <c r="C91" s="306"/>
      <c r="D91" s="81" t="s">
        <v>314</v>
      </c>
    </row>
    <row r="92" spans="1:5" ht="15" customHeight="1" x14ac:dyDescent="0.25">
      <c r="A92" s="52" t="s">
        <v>308</v>
      </c>
      <c r="B92" s="114" t="s">
        <v>388</v>
      </c>
      <c r="C92" s="115"/>
      <c r="D92" s="97">
        <v>0</v>
      </c>
      <c r="E92" s="293" t="s">
        <v>389</v>
      </c>
    </row>
    <row r="93" spans="1:5" ht="15" customHeight="1" x14ac:dyDescent="0.25">
      <c r="A93" s="52" t="s">
        <v>317</v>
      </c>
      <c r="B93" s="114" t="s">
        <v>390</v>
      </c>
      <c r="C93" s="115"/>
      <c r="D93" s="89">
        <v>0</v>
      </c>
      <c r="E93" s="293"/>
    </row>
    <row r="94" spans="1:5" ht="15" customHeight="1" x14ac:dyDescent="0.25">
      <c r="A94" s="52" t="s">
        <v>324</v>
      </c>
      <c r="B94" s="114" t="s">
        <v>391</v>
      </c>
      <c r="C94" s="115"/>
      <c r="D94" s="89">
        <v>0</v>
      </c>
      <c r="E94" s="293"/>
    </row>
    <row r="95" spans="1:5" ht="15" customHeight="1" thickBot="1" x14ac:dyDescent="0.3">
      <c r="A95" s="299" t="s">
        <v>392</v>
      </c>
      <c r="B95" s="301"/>
      <c r="C95" s="116">
        <f>C92</f>
        <v>0</v>
      </c>
      <c r="D95" s="83">
        <f>SUM(D92:D94)</f>
        <v>0</v>
      </c>
    </row>
    <row r="96" spans="1:5" ht="15" customHeight="1" thickBot="1" x14ac:dyDescent="0.3">
      <c r="A96" s="117"/>
      <c r="B96" s="118"/>
      <c r="C96" s="118"/>
      <c r="D96" s="119"/>
    </row>
    <row r="97" spans="1:5" ht="15" customHeight="1" x14ac:dyDescent="0.25">
      <c r="A97" s="309" t="s">
        <v>393</v>
      </c>
      <c r="B97" s="310"/>
      <c r="C97" s="310"/>
      <c r="D97" s="311"/>
    </row>
    <row r="98" spans="1:5" ht="15" customHeight="1" x14ac:dyDescent="0.25">
      <c r="A98" s="312" t="s">
        <v>394</v>
      </c>
      <c r="B98" s="313"/>
      <c r="C98" s="85" t="s">
        <v>313</v>
      </c>
      <c r="D98" s="120" t="s">
        <v>314</v>
      </c>
    </row>
    <row r="99" spans="1:5" ht="15" customHeight="1" x14ac:dyDescent="0.25">
      <c r="A99" s="52" t="s">
        <v>308</v>
      </c>
      <c r="B99" s="121" t="s">
        <v>395</v>
      </c>
      <c r="C99" s="88">
        <v>0.05</v>
      </c>
      <c r="D99" s="101">
        <f>(D33+D62+D72+D88+D95)*C99</f>
        <v>942.38683345281595</v>
      </c>
      <c r="E99" s="122" t="s">
        <v>396</v>
      </c>
    </row>
    <row r="100" spans="1:5" ht="15" customHeight="1" x14ac:dyDescent="0.25">
      <c r="A100" s="52" t="s">
        <v>317</v>
      </c>
      <c r="B100" s="121" t="s">
        <v>397</v>
      </c>
      <c r="C100" s="88">
        <v>0.1</v>
      </c>
      <c r="D100" s="101">
        <f>(D33+D62+D72+D88+D95+D99)*C100</f>
        <v>1979.0123502509134</v>
      </c>
      <c r="E100" s="122" t="s">
        <v>398</v>
      </c>
    </row>
    <row r="101" spans="1:5" ht="15" customHeight="1" x14ac:dyDescent="0.25">
      <c r="A101" s="314" t="s">
        <v>324</v>
      </c>
      <c r="B101" s="93" t="s">
        <v>399</v>
      </c>
      <c r="C101" s="123">
        <f>C102+C103+C106</f>
        <v>0.14250000000000002</v>
      </c>
      <c r="D101" s="124"/>
      <c r="E101" s="125"/>
    </row>
    <row r="102" spans="1:5" ht="15" customHeight="1" x14ac:dyDescent="0.25">
      <c r="A102" s="314"/>
      <c r="B102" s="126" t="s">
        <v>400</v>
      </c>
      <c r="C102" s="88">
        <v>1.6500000000000001E-2</v>
      </c>
      <c r="D102" s="101">
        <f>((D116+D99+D100)/(1-C101))*C102</f>
        <v>418.88133127759858</v>
      </c>
      <c r="E102" s="125" t="s">
        <v>247</v>
      </c>
    </row>
    <row r="103" spans="1:5" ht="15" customHeight="1" x14ac:dyDescent="0.25">
      <c r="A103" s="314"/>
      <c r="B103" s="126" t="s">
        <v>401</v>
      </c>
      <c r="C103" s="88">
        <v>7.5999999999999998E-2</v>
      </c>
      <c r="D103" s="101">
        <f>((D33+D62+D72+D88+D95+D99+D100)/(1-C101))*C103</f>
        <v>1929.3927986119691</v>
      </c>
      <c r="E103" s="125" t="s">
        <v>247</v>
      </c>
    </row>
    <row r="104" spans="1:5" ht="15" customHeight="1" x14ac:dyDescent="0.25">
      <c r="A104" s="314"/>
      <c r="B104" s="93" t="s">
        <v>402</v>
      </c>
      <c r="C104" s="127"/>
      <c r="D104" s="101"/>
    </row>
    <row r="105" spans="1:5" ht="15" customHeight="1" x14ac:dyDescent="0.25">
      <c r="A105" s="314"/>
      <c r="B105" s="93" t="s">
        <v>403</v>
      </c>
      <c r="C105" s="127"/>
      <c r="D105" s="101"/>
      <c r="E105" s="84" t="s">
        <v>404</v>
      </c>
    </row>
    <row r="106" spans="1:5" ht="15" customHeight="1" x14ac:dyDescent="0.25">
      <c r="A106" s="314"/>
      <c r="B106" s="126" t="s">
        <v>405</v>
      </c>
      <c r="C106" s="88">
        <v>0.05</v>
      </c>
      <c r="D106" s="101">
        <f>((D33+D62+D72+D88+D95+D99+D100)/(1-C101))*C106</f>
        <v>1269.3373675078747</v>
      </c>
      <c r="E106" s="84">
        <f>D100/(44*4)</f>
        <v>11.244388353698371</v>
      </c>
    </row>
    <row r="107" spans="1:5" ht="15" customHeight="1" thickBot="1" x14ac:dyDescent="0.3">
      <c r="A107" s="299" t="s">
        <v>406</v>
      </c>
      <c r="B107" s="300"/>
      <c r="C107" s="128">
        <f>C99+C100+C102+C103+C106</f>
        <v>0.29250000000000004</v>
      </c>
      <c r="D107" s="103">
        <f>SUM(D99:D100,D102:D103,D106)</f>
        <v>6539.0106811011719</v>
      </c>
      <c r="E107" s="125" t="s">
        <v>407</v>
      </c>
    </row>
    <row r="108" spans="1:5" ht="15" customHeight="1" thickBot="1" x14ac:dyDescent="0.3">
      <c r="A108" s="105"/>
      <c r="B108" s="105"/>
      <c r="C108" s="105"/>
      <c r="D108" s="105"/>
      <c r="E108" s="167">
        <f>E106*8</f>
        <v>89.955106829586967</v>
      </c>
    </row>
    <row r="109" spans="1:5" ht="15" customHeight="1" x14ac:dyDescent="0.25">
      <c r="A109" s="302" t="s">
        <v>408</v>
      </c>
      <c r="B109" s="303"/>
      <c r="C109" s="303"/>
      <c r="D109" s="304"/>
      <c r="E109" s="167"/>
    </row>
    <row r="110" spans="1:5" ht="15" customHeight="1" x14ac:dyDescent="0.25">
      <c r="A110" s="305" t="s">
        <v>409</v>
      </c>
      <c r="B110" s="306"/>
      <c r="C110" s="306"/>
      <c r="D110" s="129" t="s">
        <v>314</v>
      </c>
    </row>
    <row r="111" spans="1:5" ht="15" customHeight="1" x14ac:dyDescent="0.25">
      <c r="A111" s="52" t="s">
        <v>308</v>
      </c>
      <c r="B111" s="287" t="s">
        <v>410</v>
      </c>
      <c r="C111" s="288"/>
      <c r="D111" s="130">
        <f>(D33)</f>
        <v>10302</v>
      </c>
    </row>
    <row r="112" spans="1:5" ht="15" customHeight="1" x14ac:dyDescent="0.25">
      <c r="A112" s="52" t="s">
        <v>317</v>
      </c>
      <c r="B112" s="287" t="s">
        <v>411</v>
      </c>
      <c r="C112" s="288"/>
      <c r="D112" s="101">
        <f>(D62)</f>
        <v>7702.5646428</v>
      </c>
    </row>
    <row r="113" spans="1:5" ht="15" customHeight="1" x14ac:dyDescent="0.25">
      <c r="A113" s="52" t="s">
        <v>324</v>
      </c>
      <c r="B113" s="287" t="s">
        <v>412</v>
      </c>
      <c r="C113" s="288"/>
      <c r="D113" s="101">
        <f>(D72)</f>
        <v>738.21247439999991</v>
      </c>
    </row>
    <row r="114" spans="1:5" ht="15" customHeight="1" x14ac:dyDescent="0.25">
      <c r="A114" s="52" t="s">
        <v>327</v>
      </c>
      <c r="B114" s="287" t="s">
        <v>413</v>
      </c>
      <c r="C114" s="288"/>
      <c r="D114" s="101">
        <f>(D88)</f>
        <v>104.95955185632</v>
      </c>
    </row>
    <row r="115" spans="1:5" ht="15" customHeight="1" x14ac:dyDescent="0.25">
      <c r="A115" s="52" t="s">
        <v>329</v>
      </c>
      <c r="B115" s="287" t="s">
        <v>414</v>
      </c>
      <c r="C115" s="288"/>
      <c r="D115" s="101">
        <f>D92</f>
        <v>0</v>
      </c>
    </row>
    <row r="116" spans="1:5" ht="15" customHeight="1" x14ac:dyDescent="0.25">
      <c r="A116" s="289" t="s">
        <v>415</v>
      </c>
      <c r="B116" s="290"/>
      <c r="C116" s="291"/>
      <c r="D116" s="131">
        <f>SUM(D111:D115)</f>
        <v>18847.736669056318</v>
      </c>
      <c r="E116" s="84"/>
    </row>
    <row r="117" spans="1:5" ht="15" customHeight="1" thickBot="1" x14ac:dyDescent="0.3">
      <c r="A117" s="132" t="s">
        <v>331</v>
      </c>
      <c r="B117" s="292" t="s">
        <v>416</v>
      </c>
      <c r="C117" s="292"/>
      <c r="D117" s="133">
        <f>(D107)</f>
        <v>6539.0106811011719</v>
      </c>
    </row>
    <row r="118" spans="1:5" ht="15" customHeight="1" thickBot="1" x14ac:dyDescent="0.3">
      <c r="A118" s="285" t="s">
        <v>417</v>
      </c>
      <c r="B118" s="286"/>
      <c r="C118" s="286"/>
      <c r="D118" s="134">
        <f>SUM(D116:D117)</f>
        <v>25386.74735015749</v>
      </c>
      <c r="E118" s="84">
        <f>D118*C106</f>
        <v>1269.3373675078747</v>
      </c>
    </row>
    <row r="119" spans="1:5" ht="15" customHeight="1" thickBot="1" x14ac:dyDescent="0.3">
      <c r="A119" s="285" t="s">
        <v>418</v>
      </c>
      <c r="B119" s="286"/>
      <c r="C119" s="286"/>
      <c r="D119" s="134">
        <f>D118/(44*4)</f>
        <v>144.24288267134938</v>
      </c>
    </row>
    <row r="120" spans="1:5" ht="15" customHeight="1" x14ac:dyDescent="0.25">
      <c r="D120" s="68"/>
    </row>
    <row r="121" spans="1:5" ht="15" customHeight="1" x14ac:dyDescent="0.25">
      <c r="D121" s="68"/>
    </row>
    <row r="122" spans="1:5" ht="15" customHeight="1" x14ac:dyDescent="0.25">
      <c r="D122" s="68"/>
    </row>
    <row r="123" spans="1:5" ht="15" customHeight="1" x14ac:dyDescent="0.25">
      <c r="C123" s="135"/>
    </row>
  </sheetData>
  <mergeCells count="74">
    <mergeCell ref="A119:C119"/>
    <mergeCell ref="A118:C118"/>
    <mergeCell ref="E92:E94"/>
    <mergeCell ref="A88:C88"/>
    <mergeCell ref="A91:C91"/>
    <mergeCell ref="A95:B95"/>
    <mergeCell ref="A97:D97"/>
    <mergeCell ref="A98:B98"/>
    <mergeCell ref="B117:C117"/>
    <mergeCell ref="B112:C112"/>
    <mergeCell ref="B113:C113"/>
    <mergeCell ref="A116:C116"/>
    <mergeCell ref="A101:A106"/>
    <mergeCell ref="A107:B107"/>
    <mergeCell ref="A109:D109"/>
    <mergeCell ref="A110:C110"/>
    <mergeCell ref="A57:D57"/>
    <mergeCell ref="A20:D20"/>
    <mergeCell ref="B21:C21"/>
    <mergeCell ref="B114:C114"/>
    <mergeCell ref="B58:C58"/>
    <mergeCell ref="B59:C59"/>
    <mergeCell ref="B60:C60"/>
    <mergeCell ref="B61:C61"/>
    <mergeCell ref="A62:C62"/>
    <mergeCell ref="A31:C31"/>
    <mergeCell ref="B32:C32"/>
    <mergeCell ref="B27:C27"/>
    <mergeCell ref="B28:C28"/>
    <mergeCell ref="A56:B56"/>
    <mergeCell ref="A53:B53"/>
    <mergeCell ref="A35:D35"/>
    <mergeCell ref="B115:C115"/>
    <mergeCell ref="A64:D64"/>
    <mergeCell ref="A65:B65"/>
    <mergeCell ref="A72:B72"/>
    <mergeCell ref="A74:D74"/>
    <mergeCell ref="A75:B75"/>
    <mergeCell ref="A90:D90"/>
    <mergeCell ref="A81:B81"/>
    <mergeCell ref="A82:B82"/>
    <mergeCell ref="A84:B84"/>
    <mergeCell ref="A85:D85"/>
    <mergeCell ref="B86:C86"/>
    <mergeCell ref="B87:C87"/>
    <mergeCell ref="B111:C111"/>
    <mergeCell ref="A36:B36"/>
    <mergeCell ref="A12:D12"/>
    <mergeCell ref="A1:D1"/>
    <mergeCell ref="A2:D2"/>
    <mergeCell ref="A3:D3"/>
    <mergeCell ref="A5:D5"/>
    <mergeCell ref="A6:D6"/>
    <mergeCell ref="A4:D4"/>
    <mergeCell ref="C7:D7"/>
    <mergeCell ref="C8:D8"/>
    <mergeCell ref="C9:D9"/>
    <mergeCell ref="C10:D10"/>
    <mergeCell ref="A54:B54"/>
    <mergeCell ref="A39:B39"/>
    <mergeCell ref="C13:D13"/>
    <mergeCell ref="A40:B40"/>
    <mergeCell ref="B17:C17"/>
    <mergeCell ref="A49:B49"/>
    <mergeCell ref="A50:B50"/>
    <mergeCell ref="A30:D30"/>
    <mergeCell ref="B23:C23"/>
    <mergeCell ref="B22:C22"/>
    <mergeCell ref="B24:C24"/>
    <mergeCell ref="B25:C25"/>
    <mergeCell ref="B26:C26"/>
    <mergeCell ref="B14:C14"/>
    <mergeCell ref="B16:C16"/>
    <mergeCell ref="A33:C33"/>
  </mergeCells>
  <printOptions horizontalCentered="1" verticalCentered="1"/>
  <pageMargins left="7.874015748031496E-2" right="7.874015748031496E-2" top="7.874015748031496E-2" bottom="7.874015748031496E-2" header="0.31496062992125984" footer="0.31496062992125984"/>
  <pageSetup paperSize="8" scale="62" orientation="portrait" r:id="rId1"/>
  <colBreaks count="1" manualBreakCount="1">
    <brk id="4" max="116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C2C96-8A9F-49BF-B04C-31974C6B5C79}">
  <sheetPr>
    <tabColor theme="7" tint="0.79998168889431442"/>
    <pageSetUpPr fitToPage="1"/>
  </sheetPr>
  <dimension ref="A1:E125"/>
  <sheetViews>
    <sheetView showGridLines="0" topLeftCell="B1" workbookViewId="0">
      <selection activeCell="D16" sqref="D16"/>
    </sheetView>
  </sheetViews>
  <sheetFormatPr defaultColWidth="8.85546875" defaultRowHeight="14.25" x14ac:dyDescent="0.25"/>
  <cols>
    <col min="1" max="1" width="3.85546875" style="58" customWidth="1"/>
    <col min="2" max="2" width="70.7109375" style="67" customWidth="1"/>
    <col min="3" max="3" width="14.7109375" style="58" customWidth="1"/>
    <col min="4" max="4" width="23.7109375" style="136" customWidth="1"/>
    <col min="5" max="5" width="100" style="49" customWidth="1"/>
    <col min="6" max="222" width="8.85546875" style="7"/>
    <col min="223" max="223" width="1.85546875" style="7" customWidth="1"/>
    <col min="224" max="224" width="7.28515625" style="7" customWidth="1"/>
    <col min="225" max="225" width="9.85546875" style="7" customWidth="1"/>
    <col min="226" max="226" width="12.7109375" style="7" customWidth="1"/>
    <col min="227" max="227" width="11.140625" style="7" customWidth="1"/>
    <col min="228" max="228" width="10.85546875" style="7" customWidth="1"/>
    <col min="229" max="229" width="11.42578125" style="7" customWidth="1"/>
    <col min="230" max="230" width="13.42578125" style="7" customWidth="1"/>
    <col min="231" max="231" width="11.140625" style="7" customWidth="1"/>
    <col min="232" max="232" width="11.28515625" style="7" bestFit="1" customWidth="1"/>
    <col min="233" max="233" width="11.42578125" style="7" customWidth="1"/>
    <col min="234" max="234" width="8.85546875" style="7" customWidth="1"/>
    <col min="235" max="235" width="9.85546875" style="7" bestFit="1" customWidth="1"/>
    <col min="236" max="236" width="8.85546875" style="7"/>
    <col min="237" max="237" width="9.42578125" style="7" bestFit="1" customWidth="1"/>
    <col min="238" max="478" width="8.85546875" style="7"/>
    <col min="479" max="479" width="1.85546875" style="7" customWidth="1"/>
    <col min="480" max="480" width="7.28515625" style="7" customWidth="1"/>
    <col min="481" max="481" width="9.85546875" style="7" customWidth="1"/>
    <col min="482" max="482" width="12.7109375" style="7" customWidth="1"/>
    <col min="483" max="483" width="11.140625" style="7" customWidth="1"/>
    <col min="484" max="484" width="10.85546875" style="7" customWidth="1"/>
    <col min="485" max="485" width="11.42578125" style="7" customWidth="1"/>
    <col min="486" max="486" width="13.42578125" style="7" customWidth="1"/>
    <col min="487" max="487" width="11.140625" style="7" customWidth="1"/>
    <col min="488" max="488" width="11.28515625" style="7" bestFit="1" customWidth="1"/>
    <col min="489" max="489" width="11.42578125" style="7" customWidth="1"/>
    <col min="490" max="490" width="8.85546875" style="7" customWidth="1"/>
    <col min="491" max="491" width="9.85546875" style="7" bestFit="1" customWidth="1"/>
    <col min="492" max="492" width="8.85546875" style="7"/>
    <col min="493" max="493" width="9.42578125" style="7" bestFit="1" customWidth="1"/>
    <col min="494" max="734" width="8.85546875" style="7"/>
    <col min="735" max="735" width="1.85546875" style="7" customWidth="1"/>
    <col min="736" max="736" width="7.28515625" style="7" customWidth="1"/>
    <col min="737" max="737" width="9.85546875" style="7" customWidth="1"/>
    <col min="738" max="738" width="12.7109375" style="7" customWidth="1"/>
    <col min="739" max="739" width="11.140625" style="7" customWidth="1"/>
    <col min="740" max="740" width="10.85546875" style="7" customWidth="1"/>
    <col min="741" max="741" width="11.42578125" style="7" customWidth="1"/>
    <col min="742" max="742" width="13.42578125" style="7" customWidth="1"/>
    <col min="743" max="743" width="11.140625" style="7" customWidth="1"/>
    <col min="744" max="744" width="11.28515625" style="7" bestFit="1" customWidth="1"/>
    <col min="745" max="745" width="11.42578125" style="7" customWidth="1"/>
    <col min="746" max="746" width="8.85546875" style="7" customWidth="1"/>
    <col min="747" max="747" width="9.85546875" style="7" bestFit="1" customWidth="1"/>
    <col min="748" max="748" width="8.85546875" style="7"/>
    <col min="749" max="749" width="9.42578125" style="7" bestFit="1" customWidth="1"/>
    <col min="750" max="990" width="8.85546875" style="7"/>
    <col min="991" max="991" width="1.85546875" style="7" customWidth="1"/>
    <col min="992" max="992" width="7.28515625" style="7" customWidth="1"/>
    <col min="993" max="993" width="9.85546875" style="7" customWidth="1"/>
    <col min="994" max="994" width="12.7109375" style="7" customWidth="1"/>
    <col min="995" max="995" width="11.140625" style="7" customWidth="1"/>
    <col min="996" max="996" width="10.85546875" style="7" customWidth="1"/>
    <col min="997" max="997" width="11.42578125" style="7" customWidth="1"/>
    <col min="998" max="998" width="13.42578125" style="7" customWidth="1"/>
    <col min="999" max="999" width="11.140625" style="7" customWidth="1"/>
    <col min="1000" max="1000" width="11.28515625" style="7" bestFit="1" customWidth="1"/>
    <col min="1001" max="1001" width="11.42578125" style="7" customWidth="1"/>
    <col min="1002" max="1002" width="8.85546875" style="7" customWidth="1"/>
    <col min="1003" max="1003" width="9.85546875" style="7" bestFit="1" customWidth="1"/>
    <col min="1004" max="1004" width="8.85546875" style="7"/>
    <col min="1005" max="1005" width="9.42578125" style="7" bestFit="1" customWidth="1"/>
    <col min="1006" max="1246" width="8.85546875" style="7"/>
    <col min="1247" max="1247" width="1.85546875" style="7" customWidth="1"/>
    <col min="1248" max="1248" width="7.28515625" style="7" customWidth="1"/>
    <col min="1249" max="1249" width="9.85546875" style="7" customWidth="1"/>
    <col min="1250" max="1250" width="12.7109375" style="7" customWidth="1"/>
    <col min="1251" max="1251" width="11.140625" style="7" customWidth="1"/>
    <col min="1252" max="1252" width="10.85546875" style="7" customWidth="1"/>
    <col min="1253" max="1253" width="11.42578125" style="7" customWidth="1"/>
    <col min="1254" max="1254" width="13.42578125" style="7" customWidth="1"/>
    <col min="1255" max="1255" width="11.140625" style="7" customWidth="1"/>
    <col min="1256" max="1256" width="11.28515625" style="7" bestFit="1" customWidth="1"/>
    <col min="1257" max="1257" width="11.42578125" style="7" customWidth="1"/>
    <col min="1258" max="1258" width="8.85546875" style="7" customWidth="1"/>
    <col min="1259" max="1259" width="9.85546875" style="7" bestFit="1" customWidth="1"/>
    <col min="1260" max="1260" width="8.85546875" style="7"/>
    <col min="1261" max="1261" width="9.42578125" style="7" bestFit="1" customWidth="1"/>
    <col min="1262" max="1502" width="8.85546875" style="7"/>
    <col min="1503" max="1503" width="1.85546875" style="7" customWidth="1"/>
    <col min="1504" max="1504" width="7.28515625" style="7" customWidth="1"/>
    <col min="1505" max="1505" width="9.85546875" style="7" customWidth="1"/>
    <col min="1506" max="1506" width="12.7109375" style="7" customWidth="1"/>
    <col min="1507" max="1507" width="11.140625" style="7" customWidth="1"/>
    <col min="1508" max="1508" width="10.85546875" style="7" customWidth="1"/>
    <col min="1509" max="1509" width="11.42578125" style="7" customWidth="1"/>
    <col min="1510" max="1510" width="13.42578125" style="7" customWidth="1"/>
    <col min="1511" max="1511" width="11.140625" style="7" customWidth="1"/>
    <col min="1512" max="1512" width="11.28515625" style="7" bestFit="1" customWidth="1"/>
    <col min="1513" max="1513" width="11.42578125" style="7" customWidth="1"/>
    <col min="1514" max="1514" width="8.85546875" style="7" customWidth="1"/>
    <col min="1515" max="1515" width="9.85546875" style="7" bestFit="1" customWidth="1"/>
    <col min="1516" max="1516" width="8.85546875" style="7"/>
    <col min="1517" max="1517" width="9.42578125" style="7" bestFit="1" customWidth="1"/>
    <col min="1518" max="1758" width="8.85546875" style="7"/>
    <col min="1759" max="1759" width="1.85546875" style="7" customWidth="1"/>
    <col min="1760" max="1760" width="7.28515625" style="7" customWidth="1"/>
    <col min="1761" max="1761" width="9.85546875" style="7" customWidth="1"/>
    <col min="1762" max="1762" width="12.7109375" style="7" customWidth="1"/>
    <col min="1763" max="1763" width="11.140625" style="7" customWidth="1"/>
    <col min="1764" max="1764" width="10.85546875" style="7" customWidth="1"/>
    <col min="1765" max="1765" width="11.42578125" style="7" customWidth="1"/>
    <col min="1766" max="1766" width="13.42578125" style="7" customWidth="1"/>
    <col min="1767" max="1767" width="11.140625" style="7" customWidth="1"/>
    <col min="1768" max="1768" width="11.28515625" style="7" bestFit="1" customWidth="1"/>
    <col min="1769" max="1769" width="11.42578125" style="7" customWidth="1"/>
    <col min="1770" max="1770" width="8.85546875" style="7" customWidth="1"/>
    <col min="1771" max="1771" width="9.85546875" style="7" bestFit="1" customWidth="1"/>
    <col min="1772" max="1772" width="8.85546875" style="7"/>
    <col min="1773" max="1773" width="9.42578125" style="7" bestFit="1" customWidth="1"/>
    <col min="1774" max="2014" width="8.85546875" style="7"/>
    <col min="2015" max="2015" width="1.85546875" style="7" customWidth="1"/>
    <col min="2016" max="2016" width="7.28515625" style="7" customWidth="1"/>
    <col min="2017" max="2017" width="9.85546875" style="7" customWidth="1"/>
    <col min="2018" max="2018" width="12.7109375" style="7" customWidth="1"/>
    <col min="2019" max="2019" width="11.140625" style="7" customWidth="1"/>
    <col min="2020" max="2020" width="10.85546875" style="7" customWidth="1"/>
    <col min="2021" max="2021" width="11.42578125" style="7" customWidth="1"/>
    <col min="2022" max="2022" width="13.42578125" style="7" customWidth="1"/>
    <col min="2023" max="2023" width="11.140625" style="7" customWidth="1"/>
    <col min="2024" max="2024" width="11.28515625" style="7" bestFit="1" customWidth="1"/>
    <col min="2025" max="2025" width="11.42578125" style="7" customWidth="1"/>
    <col min="2026" max="2026" width="8.85546875" style="7" customWidth="1"/>
    <col min="2027" max="2027" width="9.85546875" style="7" bestFit="1" customWidth="1"/>
    <col min="2028" max="2028" width="8.85546875" style="7"/>
    <col min="2029" max="2029" width="9.42578125" style="7" bestFit="1" customWidth="1"/>
    <col min="2030" max="2270" width="8.85546875" style="7"/>
    <col min="2271" max="2271" width="1.85546875" style="7" customWidth="1"/>
    <col min="2272" max="2272" width="7.28515625" style="7" customWidth="1"/>
    <col min="2273" max="2273" width="9.85546875" style="7" customWidth="1"/>
    <col min="2274" max="2274" width="12.7109375" style="7" customWidth="1"/>
    <col min="2275" max="2275" width="11.140625" style="7" customWidth="1"/>
    <col min="2276" max="2276" width="10.85546875" style="7" customWidth="1"/>
    <col min="2277" max="2277" width="11.42578125" style="7" customWidth="1"/>
    <col min="2278" max="2278" width="13.42578125" style="7" customWidth="1"/>
    <col min="2279" max="2279" width="11.140625" style="7" customWidth="1"/>
    <col min="2280" max="2280" width="11.28515625" style="7" bestFit="1" customWidth="1"/>
    <col min="2281" max="2281" width="11.42578125" style="7" customWidth="1"/>
    <col min="2282" max="2282" width="8.85546875" style="7" customWidth="1"/>
    <col min="2283" max="2283" width="9.85546875" style="7" bestFit="1" customWidth="1"/>
    <col min="2284" max="2284" width="8.85546875" style="7"/>
    <col min="2285" max="2285" width="9.42578125" style="7" bestFit="1" customWidth="1"/>
    <col min="2286" max="2526" width="8.85546875" style="7"/>
    <col min="2527" max="2527" width="1.85546875" style="7" customWidth="1"/>
    <col min="2528" max="2528" width="7.28515625" style="7" customWidth="1"/>
    <col min="2529" max="2529" width="9.85546875" style="7" customWidth="1"/>
    <col min="2530" max="2530" width="12.7109375" style="7" customWidth="1"/>
    <col min="2531" max="2531" width="11.140625" style="7" customWidth="1"/>
    <col min="2532" max="2532" width="10.85546875" style="7" customWidth="1"/>
    <col min="2533" max="2533" width="11.42578125" style="7" customWidth="1"/>
    <col min="2534" max="2534" width="13.42578125" style="7" customWidth="1"/>
    <col min="2535" max="2535" width="11.140625" style="7" customWidth="1"/>
    <col min="2536" max="2536" width="11.28515625" style="7" bestFit="1" customWidth="1"/>
    <col min="2537" max="2537" width="11.42578125" style="7" customWidth="1"/>
    <col min="2538" max="2538" width="8.85546875" style="7" customWidth="1"/>
    <col min="2539" max="2539" width="9.85546875" style="7" bestFit="1" customWidth="1"/>
    <col min="2540" max="2540" width="8.85546875" style="7"/>
    <col min="2541" max="2541" width="9.42578125" style="7" bestFit="1" customWidth="1"/>
    <col min="2542" max="2782" width="8.85546875" style="7"/>
    <col min="2783" max="2783" width="1.85546875" style="7" customWidth="1"/>
    <col min="2784" max="2784" width="7.28515625" style="7" customWidth="1"/>
    <col min="2785" max="2785" width="9.85546875" style="7" customWidth="1"/>
    <col min="2786" max="2786" width="12.7109375" style="7" customWidth="1"/>
    <col min="2787" max="2787" width="11.140625" style="7" customWidth="1"/>
    <col min="2788" max="2788" width="10.85546875" style="7" customWidth="1"/>
    <col min="2789" max="2789" width="11.42578125" style="7" customWidth="1"/>
    <col min="2790" max="2790" width="13.42578125" style="7" customWidth="1"/>
    <col min="2791" max="2791" width="11.140625" style="7" customWidth="1"/>
    <col min="2792" max="2792" width="11.28515625" style="7" bestFit="1" customWidth="1"/>
    <col min="2793" max="2793" width="11.42578125" style="7" customWidth="1"/>
    <col min="2794" max="2794" width="8.85546875" style="7" customWidth="1"/>
    <col min="2795" max="2795" width="9.85546875" style="7" bestFit="1" customWidth="1"/>
    <col min="2796" max="2796" width="8.85546875" style="7"/>
    <col min="2797" max="2797" width="9.42578125" style="7" bestFit="1" customWidth="1"/>
    <col min="2798" max="3038" width="8.85546875" style="7"/>
    <col min="3039" max="3039" width="1.85546875" style="7" customWidth="1"/>
    <col min="3040" max="3040" width="7.28515625" style="7" customWidth="1"/>
    <col min="3041" max="3041" width="9.85546875" style="7" customWidth="1"/>
    <col min="3042" max="3042" width="12.7109375" style="7" customWidth="1"/>
    <col min="3043" max="3043" width="11.140625" style="7" customWidth="1"/>
    <col min="3044" max="3044" width="10.85546875" style="7" customWidth="1"/>
    <col min="3045" max="3045" width="11.42578125" style="7" customWidth="1"/>
    <col min="3046" max="3046" width="13.42578125" style="7" customWidth="1"/>
    <col min="3047" max="3047" width="11.140625" style="7" customWidth="1"/>
    <col min="3048" max="3048" width="11.28515625" style="7" bestFit="1" customWidth="1"/>
    <col min="3049" max="3049" width="11.42578125" style="7" customWidth="1"/>
    <col min="3050" max="3050" width="8.85546875" style="7" customWidth="1"/>
    <col min="3051" max="3051" width="9.85546875" style="7" bestFit="1" customWidth="1"/>
    <col min="3052" max="3052" width="8.85546875" style="7"/>
    <col min="3053" max="3053" width="9.42578125" style="7" bestFit="1" customWidth="1"/>
    <col min="3054" max="3294" width="8.85546875" style="7"/>
    <col min="3295" max="3295" width="1.85546875" style="7" customWidth="1"/>
    <col min="3296" max="3296" width="7.28515625" style="7" customWidth="1"/>
    <col min="3297" max="3297" width="9.85546875" style="7" customWidth="1"/>
    <col min="3298" max="3298" width="12.7109375" style="7" customWidth="1"/>
    <col min="3299" max="3299" width="11.140625" style="7" customWidth="1"/>
    <col min="3300" max="3300" width="10.85546875" style="7" customWidth="1"/>
    <col min="3301" max="3301" width="11.42578125" style="7" customWidth="1"/>
    <col min="3302" max="3302" width="13.42578125" style="7" customWidth="1"/>
    <col min="3303" max="3303" width="11.140625" style="7" customWidth="1"/>
    <col min="3304" max="3304" width="11.28515625" style="7" bestFit="1" customWidth="1"/>
    <col min="3305" max="3305" width="11.42578125" style="7" customWidth="1"/>
    <col min="3306" max="3306" width="8.85546875" style="7" customWidth="1"/>
    <col min="3307" max="3307" width="9.85546875" style="7" bestFit="1" customWidth="1"/>
    <col min="3308" max="3308" width="8.85546875" style="7"/>
    <col min="3309" max="3309" width="9.42578125" style="7" bestFit="1" customWidth="1"/>
    <col min="3310" max="3550" width="8.85546875" style="7"/>
    <col min="3551" max="3551" width="1.85546875" style="7" customWidth="1"/>
    <col min="3552" max="3552" width="7.28515625" style="7" customWidth="1"/>
    <col min="3553" max="3553" width="9.85546875" style="7" customWidth="1"/>
    <col min="3554" max="3554" width="12.7109375" style="7" customWidth="1"/>
    <col min="3555" max="3555" width="11.140625" style="7" customWidth="1"/>
    <col min="3556" max="3556" width="10.85546875" style="7" customWidth="1"/>
    <col min="3557" max="3557" width="11.42578125" style="7" customWidth="1"/>
    <col min="3558" max="3558" width="13.42578125" style="7" customWidth="1"/>
    <col min="3559" max="3559" width="11.140625" style="7" customWidth="1"/>
    <col min="3560" max="3560" width="11.28515625" style="7" bestFit="1" customWidth="1"/>
    <col min="3561" max="3561" width="11.42578125" style="7" customWidth="1"/>
    <col min="3562" max="3562" width="8.85546875" style="7" customWidth="1"/>
    <col min="3563" max="3563" width="9.85546875" style="7" bestFit="1" customWidth="1"/>
    <col min="3564" max="3564" width="8.85546875" style="7"/>
    <col min="3565" max="3565" width="9.42578125" style="7" bestFit="1" customWidth="1"/>
    <col min="3566" max="3806" width="8.85546875" style="7"/>
    <col min="3807" max="3807" width="1.85546875" style="7" customWidth="1"/>
    <col min="3808" max="3808" width="7.28515625" style="7" customWidth="1"/>
    <col min="3809" max="3809" width="9.85546875" style="7" customWidth="1"/>
    <col min="3810" max="3810" width="12.7109375" style="7" customWidth="1"/>
    <col min="3811" max="3811" width="11.140625" style="7" customWidth="1"/>
    <col min="3812" max="3812" width="10.85546875" style="7" customWidth="1"/>
    <col min="3813" max="3813" width="11.42578125" style="7" customWidth="1"/>
    <col min="3814" max="3814" width="13.42578125" style="7" customWidth="1"/>
    <col min="3815" max="3815" width="11.140625" style="7" customWidth="1"/>
    <col min="3816" max="3816" width="11.28515625" style="7" bestFit="1" customWidth="1"/>
    <col min="3817" max="3817" width="11.42578125" style="7" customWidth="1"/>
    <col min="3818" max="3818" width="8.85546875" style="7" customWidth="1"/>
    <col min="3819" max="3819" width="9.85546875" style="7" bestFit="1" customWidth="1"/>
    <col min="3820" max="3820" width="8.85546875" style="7"/>
    <col min="3821" max="3821" width="9.42578125" style="7" bestFit="1" customWidth="1"/>
    <col min="3822" max="4062" width="8.85546875" style="7"/>
    <col min="4063" max="4063" width="1.85546875" style="7" customWidth="1"/>
    <col min="4064" max="4064" width="7.28515625" style="7" customWidth="1"/>
    <col min="4065" max="4065" width="9.85546875" style="7" customWidth="1"/>
    <col min="4066" max="4066" width="12.7109375" style="7" customWidth="1"/>
    <col min="4067" max="4067" width="11.140625" style="7" customWidth="1"/>
    <col min="4068" max="4068" width="10.85546875" style="7" customWidth="1"/>
    <col min="4069" max="4069" width="11.42578125" style="7" customWidth="1"/>
    <col min="4070" max="4070" width="13.42578125" style="7" customWidth="1"/>
    <col min="4071" max="4071" width="11.140625" style="7" customWidth="1"/>
    <col min="4072" max="4072" width="11.28515625" style="7" bestFit="1" customWidth="1"/>
    <col min="4073" max="4073" width="11.42578125" style="7" customWidth="1"/>
    <col min="4074" max="4074" width="8.85546875" style="7" customWidth="1"/>
    <col min="4075" max="4075" width="9.85546875" style="7" bestFit="1" customWidth="1"/>
    <col min="4076" max="4076" width="8.85546875" style="7"/>
    <col min="4077" max="4077" width="9.42578125" style="7" bestFit="1" customWidth="1"/>
    <col min="4078" max="4318" width="8.85546875" style="7"/>
    <col min="4319" max="4319" width="1.85546875" style="7" customWidth="1"/>
    <col min="4320" max="4320" width="7.28515625" style="7" customWidth="1"/>
    <col min="4321" max="4321" width="9.85546875" style="7" customWidth="1"/>
    <col min="4322" max="4322" width="12.7109375" style="7" customWidth="1"/>
    <col min="4323" max="4323" width="11.140625" style="7" customWidth="1"/>
    <col min="4324" max="4324" width="10.85546875" style="7" customWidth="1"/>
    <col min="4325" max="4325" width="11.42578125" style="7" customWidth="1"/>
    <col min="4326" max="4326" width="13.42578125" style="7" customWidth="1"/>
    <col min="4327" max="4327" width="11.140625" style="7" customWidth="1"/>
    <col min="4328" max="4328" width="11.28515625" style="7" bestFit="1" customWidth="1"/>
    <col min="4329" max="4329" width="11.42578125" style="7" customWidth="1"/>
    <col min="4330" max="4330" width="8.85546875" style="7" customWidth="1"/>
    <col min="4331" max="4331" width="9.85546875" style="7" bestFit="1" customWidth="1"/>
    <col min="4332" max="4332" width="8.85546875" style="7"/>
    <col min="4333" max="4333" width="9.42578125" style="7" bestFit="1" customWidth="1"/>
    <col min="4334" max="4574" width="8.85546875" style="7"/>
    <col min="4575" max="4575" width="1.85546875" style="7" customWidth="1"/>
    <col min="4576" max="4576" width="7.28515625" style="7" customWidth="1"/>
    <col min="4577" max="4577" width="9.85546875" style="7" customWidth="1"/>
    <col min="4578" max="4578" width="12.7109375" style="7" customWidth="1"/>
    <col min="4579" max="4579" width="11.140625" style="7" customWidth="1"/>
    <col min="4580" max="4580" width="10.85546875" style="7" customWidth="1"/>
    <col min="4581" max="4581" width="11.42578125" style="7" customWidth="1"/>
    <col min="4582" max="4582" width="13.42578125" style="7" customWidth="1"/>
    <col min="4583" max="4583" width="11.140625" style="7" customWidth="1"/>
    <col min="4584" max="4584" width="11.28515625" style="7" bestFit="1" customWidth="1"/>
    <col min="4585" max="4585" width="11.42578125" style="7" customWidth="1"/>
    <col min="4586" max="4586" width="8.85546875" style="7" customWidth="1"/>
    <col min="4587" max="4587" width="9.85546875" style="7" bestFit="1" customWidth="1"/>
    <col min="4588" max="4588" width="8.85546875" style="7"/>
    <col min="4589" max="4589" width="9.42578125" style="7" bestFit="1" customWidth="1"/>
    <col min="4590" max="4830" width="8.85546875" style="7"/>
    <col min="4831" max="4831" width="1.85546875" style="7" customWidth="1"/>
    <col min="4832" max="4832" width="7.28515625" style="7" customWidth="1"/>
    <col min="4833" max="4833" width="9.85546875" style="7" customWidth="1"/>
    <col min="4834" max="4834" width="12.7109375" style="7" customWidth="1"/>
    <col min="4835" max="4835" width="11.140625" style="7" customWidth="1"/>
    <col min="4836" max="4836" width="10.85546875" style="7" customWidth="1"/>
    <col min="4837" max="4837" width="11.42578125" style="7" customWidth="1"/>
    <col min="4838" max="4838" width="13.42578125" style="7" customWidth="1"/>
    <col min="4839" max="4839" width="11.140625" style="7" customWidth="1"/>
    <col min="4840" max="4840" width="11.28515625" style="7" bestFit="1" customWidth="1"/>
    <col min="4841" max="4841" width="11.42578125" style="7" customWidth="1"/>
    <col min="4842" max="4842" width="8.85546875" style="7" customWidth="1"/>
    <col min="4843" max="4843" width="9.85546875" style="7" bestFit="1" customWidth="1"/>
    <col min="4844" max="4844" width="8.85546875" style="7"/>
    <col min="4845" max="4845" width="9.42578125" style="7" bestFit="1" customWidth="1"/>
    <col min="4846" max="5086" width="8.85546875" style="7"/>
    <col min="5087" max="5087" width="1.85546875" style="7" customWidth="1"/>
    <col min="5088" max="5088" width="7.28515625" style="7" customWidth="1"/>
    <col min="5089" max="5089" width="9.85546875" style="7" customWidth="1"/>
    <col min="5090" max="5090" width="12.7109375" style="7" customWidth="1"/>
    <col min="5091" max="5091" width="11.140625" style="7" customWidth="1"/>
    <col min="5092" max="5092" width="10.85546875" style="7" customWidth="1"/>
    <col min="5093" max="5093" width="11.42578125" style="7" customWidth="1"/>
    <col min="5094" max="5094" width="13.42578125" style="7" customWidth="1"/>
    <col min="5095" max="5095" width="11.140625" style="7" customWidth="1"/>
    <col min="5096" max="5096" width="11.28515625" style="7" bestFit="1" customWidth="1"/>
    <col min="5097" max="5097" width="11.42578125" style="7" customWidth="1"/>
    <col min="5098" max="5098" width="8.85546875" style="7" customWidth="1"/>
    <col min="5099" max="5099" width="9.85546875" style="7" bestFit="1" customWidth="1"/>
    <col min="5100" max="5100" width="8.85546875" style="7"/>
    <col min="5101" max="5101" width="9.42578125" style="7" bestFit="1" customWidth="1"/>
    <col min="5102" max="5342" width="8.85546875" style="7"/>
    <col min="5343" max="5343" width="1.85546875" style="7" customWidth="1"/>
    <col min="5344" max="5344" width="7.28515625" style="7" customWidth="1"/>
    <col min="5345" max="5345" width="9.85546875" style="7" customWidth="1"/>
    <col min="5346" max="5346" width="12.7109375" style="7" customWidth="1"/>
    <col min="5347" max="5347" width="11.140625" style="7" customWidth="1"/>
    <col min="5348" max="5348" width="10.85546875" style="7" customWidth="1"/>
    <col min="5349" max="5349" width="11.42578125" style="7" customWidth="1"/>
    <col min="5350" max="5350" width="13.42578125" style="7" customWidth="1"/>
    <col min="5351" max="5351" width="11.140625" style="7" customWidth="1"/>
    <col min="5352" max="5352" width="11.28515625" style="7" bestFit="1" customWidth="1"/>
    <col min="5353" max="5353" width="11.42578125" style="7" customWidth="1"/>
    <col min="5354" max="5354" width="8.85546875" style="7" customWidth="1"/>
    <col min="5355" max="5355" width="9.85546875" style="7" bestFit="1" customWidth="1"/>
    <col min="5356" max="5356" width="8.85546875" style="7"/>
    <col min="5357" max="5357" width="9.42578125" style="7" bestFit="1" customWidth="1"/>
    <col min="5358" max="5598" width="8.85546875" style="7"/>
    <col min="5599" max="5599" width="1.85546875" style="7" customWidth="1"/>
    <col min="5600" max="5600" width="7.28515625" style="7" customWidth="1"/>
    <col min="5601" max="5601" width="9.85546875" style="7" customWidth="1"/>
    <col min="5602" max="5602" width="12.7109375" style="7" customWidth="1"/>
    <col min="5603" max="5603" width="11.140625" style="7" customWidth="1"/>
    <col min="5604" max="5604" width="10.85546875" style="7" customWidth="1"/>
    <col min="5605" max="5605" width="11.42578125" style="7" customWidth="1"/>
    <col min="5606" max="5606" width="13.42578125" style="7" customWidth="1"/>
    <col min="5607" max="5607" width="11.140625" style="7" customWidth="1"/>
    <col min="5608" max="5608" width="11.28515625" style="7" bestFit="1" customWidth="1"/>
    <col min="5609" max="5609" width="11.42578125" style="7" customWidth="1"/>
    <col min="5610" max="5610" width="8.85546875" style="7" customWidth="1"/>
    <col min="5611" max="5611" width="9.85546875" style="7" bestFit="1" customWidth="1"/>
    <col min="5612" max="5612" width="8.85546875" style="7"/>
    <col min="5613" max="5613" width="9.42578125" style="7" bestFit="1" customWidth="1"/>
    <col min="5614" max="5854" width="8.85546875" style="7"/>
    <col min="5855" max="5855" width="1.85546875" style="7" customWidth="1"/>
    <col min="5856" max="5856" width="7.28515625" style="7" customWidth="1"/>
    <col min="5857" max="5857" width="9.85546875" style="7" customWidth="1"/>
    <col min="5858" max="5858" width="12.7109375" style="7" customWidth="1"/>
    <col min="5859" max="5859" width="11.140625" style="7" customWidth="1"/>
    <col min="5860" max="5860" width="10.85546875" style="7" customWidth="1"/>
    <col min="5861" max="5861" width="11.42578125" style="7" customWidth="1"/>
    <col min="5862" max="5862" width="13.42578125" style="7" customWidth="1"/>
    <col min="5863" max="5863" width="11.140625" style="7" customWidth="1"/>
    <col min="5864" max="5864" width="11.28515625" style="7" bestFit="1" customWidth="1"/>
    <col min="5865" max="5865" width="11.42578125" style="7" customWidth="1"/>
    <col min="5866" max="5866" width="8.85546875" style="7" customWidth="1"/>
    <col min="5867" max="5867" width="9.85546875" style="7" bestFit="1" customWidth="1"/>
    <col min="5868" max="5868" width="8.85546875" style="7"/>
    <col min="5869" max="5869" width="9.42578125" style="7" bestFit="1" customWidth="1"/>
    <col min="5870" max="6110" width="8.85546875" style="7"/>
    <col min="6111" max="6111" width="1.85546875" style="7" customWidth="1"/>
    <col min="6112" max="6112" width="7.28515625" style="7" customWidth="1"/>
    <col min="6113" max="6113" width="9.85546875" style="7" customWidth="1"/>
    <col min="6114" max="6114" width="12.7109375" style="7" customWidth="1"/>
    <col min="6115" max="6115" width="11.140625" style="7" customWidth="1"/>
    <col min="6116" max="6116" width="10.85546875" style="7" customWidth="1"/>
    <col min="6117" max="6117" width="11.42578125" style="7" customWidth="1"/>
    <col min="6118" max="6118" width="13.42578125" style="7" customWidth="1"/>
    <col min="6119" max="6119" width="11.140625" style="7" customWidth="1"/>
    <col min="6120" max="6120" width="11.28515625" style="7" bestFit="1" customWidth="1"/>
    <col min="6121" max="6121" width="11.42578125" style="7" customWidth="1"/>
    <col min="6122" max="6122" width="8.85546875" style="7" customWidth="1"/>
    <col min="6123" max="6123" width="9.85546875" style="7" bestFit="1" customWidth="1"/>
    <col min="6124" max="6124" width="8.85546875" style="7"/>
    <col min="6125" max="6125" width="9.42578125" style="7" bestFit="1" customWidth="1"/>
    <col min="6126" max="6366" width="8.85546875" style="7"/>
    <col min="6367" max="6367" width="1.85546875" style="7" customWidth="1"/>
    <col min="6368" max="6368" width="7.28515625" style="7" customWidth="1"/>
    <col min="6369" max="6369" width="9.85546875" style="7" customWidth="1"/>
    <col min="6370" max="6370" width="12.7109375" style="7" customWidth="1"/>
    <col min="6371" max="6371" width="11.140625" style="7" customWidth="1"/>
    <col min="6372" max="6372" width="10.85546875" style="7" customWidth="1"/>
    <col min="6373" max="6373" width="11.42578125" style="7" customWidth="1"/>
    <col min="6374" max="6374" width="13.42578125" style="7" customWidth="1"/>
    <col min="6375" max="6375" width="11.140625" style="7" customWidth="1"/>
    <col min="6376" max="6376" width="11.28515625" style="7" bestFit="1" customWidth="1"/>
    <col min="6377" max="6377" width="11.42578125" style="7" customWidth="1"/>
    <col min="6378" max="6378" width="8.85546875" style="7" customWidth="1"/>
    <col min="6379" max="6379" width="9.85546875" style="7" bestFit="1" customWidth="1"/>
    <col min="6380" max="6380" width="8.85546875" style="7"/>
    <col min="6381" max="6381" width="9.42578125" style="7" bestFit="1" customWidth="1"/>
    <col min="6382" max="6622" width="8.85546875" style="7"/>
    <col min="6623" max="6623" width="1.85546875" style="7" customWidth="1"/>
    <col min="6624" max="6624" width="7.28515625" style="7" customWidth="1"/>
    <col min="6625" max="6625" width="9.85546875" style="7" customWidth="1"/>
    <col min="6626" max="6626" width="12.7109375" style="7" customWidth="1"/>
    <col min="6627" max="6627" width="11.140625" style="7" customWidth="1"/>
    <col min="6628" max="6628" width="10.85546875" style="7" customWidth="1"/>
    <col min="6629" max="6629" width="11.42578125" style="7" customWidth="1"/>
    <col min="6630" max="6630" width="13.42578125" style="7" customWidth="1"/>
    <col min="6631" max="6631" width="11.140625" style="7" customWidth="1"/>
    <col min="6632" max="6632" width="11.28515625" style="7" bestFit="1" customWidth="1"/>
    <col min="6633" max="6633" width="11.42578125" style="7" customWidth="1"/>
    <col min="6634" max="6634" width="8.85546875" style="7" customWidth="1"/>
    <col min="6635" max="6635" width="9.85546875" style="7" bestFit="1" customWidth="1"/>
    <col min="6636" max="6636" width="8.85546875" style="7"/>
    <col min="6637" max="6637" width="9.42578125" style="7" bestFit="1" customWidth="1"/>
    <col min="6638" max="6878" width="8.85546875" style="7"/>
    <col min="6879" max="6879" width="1.85546875" style="7" customWidth="1"/>
    <col min="6880" max="6880" width="7.28515625" style="7" customWidth="1"/>
    <col min="6881" max="6881" width="9.85546875" style="7" customWidth="1"/>
    <col min="6882" max="6882" width="12.7109375" style="7" customWidth="1"/>
    <col min="6883" max="6883" width="11.140625" style="7" customWidth="1"/>
    <col min="6884" max="6884" width="10.85546875" style="7" customWidth="1"/>
    <col min="6885" max="6885" width="11.42578125" style="7" customWidth="1"/>
    <col min="6886" max="6886" width="13.42578125" style="7" customWidth="1"/>
    <col min="6887" max="6887" width="11.140625" style="7" customWidth="1"/>
    <col min="6888" max="6888" width="11.28515625" style="7" bestFit="1" customWidth="1"/>
    <col min="6889" max="6889" width="11.42578125" style="7" customWidth="1"/>
    <col min="6890" max="6890" width="8.85546875" style="7" customWidth="1"/>
    <col min="6891" max="6891" width="9.85546875" style="7" bestFit="1" customWidth="1"/>
    <col min="6892" max="6892" width="8.85546875" style="7"/>
    <col min="6893" max="6893" width="9.42578125" style="7" bestFit="1" customWidth="1"/>
    <col min="6894" max="7134" width="8.85546875" style="7"/>
    <col min="7135" max="7135" width="1.85546875" style="7" customWidth="1"/>
    <col min="7136" max="7136" width="7.28515625" style="7" customWidth="1"/>
    <col min="7137" max="7137" width="9.85546875" style="7" customWidth="1"/>
    <col min="7138" max="7138" width="12.7109375" style="7" customWidth="1"/>
    <col min="7139" max="7139" width="11.140625" style="7" customWidth="1"/>
    <col min="7140" max="7140" width="10.85546875" style="7" customWidth="1"/>
    <col min="7141" max="7141" width="11.42578125" style="7" customWidth="1"/>
    <col min="7142" max="7142" width="13.42578125" style="7" customWidth="1"/>
    <col min="7143" max="7143" width="11.140625" style="7" customWidth="1"/>
    <col min="7144" max="7144" width="11.28515625" style="7" bestFit="1" customWidth="1"/>
    <col min="7145" max="7145" width="11.42578125" style="7" customWidth="1"/>
    <col min="7146" max="7146" width="8.85546875" style="7" customWidth="1"/>
    <col min="7147" max="7147" width="9.85546875" style="7" bestFit="1" customWidth="1"/>
    <col min="7148" max="7148" width="8.85546875" style="7"/>
    <col min="7149" max="7149" width="9.42578125" style="7" bestFit="1" customWidth="1"/>
    <col min="7150" max="7390" width="8.85546875" style="7"/>
    <col min="7391" max="7391" width="1.85546875" style="7" customWidth="1"/>
    <col min="7392" max="7392" width="7.28515625" style="7" customWidth="1"/>
    <col min="7393" max="7393" width="9.85546875" style="7" customWidth="1"/>
    <col min="7394" max="7394" width="12.7109375" style="7" customWidth="1"/>
    <col min="7395" max="7395" width="11.140625" style="7" customWidth="1"/>
    <col min="7396" max="7396" width="10.85546875" style="7" customWidth="1"/>
    <col min="7397" max="7397" width="11.42578125" style="7" customWidth="1"/>
    <col min="7398" max="7398" width="13.42578125" style="7" customWidth="1"/>
    <col min="7399" max="7399" width="11.140625" style="7" customWidth="1"/>
    <col min="7400" max="7400" width="11.28515625" style="7" bestFit="1" customWidth="1"/>
    <col min="7401" max="7401" width="11.42578125" style="7" customWidth="1"/>
    <col min="7402" max="7402" width="8.85546875" style="7" customWidth="1"/>
    <col min="7403" max="7403" width="9.85546875" style="7" bestFit="1" customWidth="1"/>
    <col min="7404" max="7404" width="8.85546875" style="7"/>
    <col min="7405" max="7405" width="9.42578125" style="7" bestFit="1" customWidth="1"/>
    <col min="7406" max="7646" width="8.85546875" style="7"/>
    <col min="7647" max="7647" width="1.85546875" style="7" customWidth="1"/>
    <col min="7648" max="7648" width="7.28515625" style="7" customWidth="1"/>
    <col min="7649" max="7649" width="9.85546875" style="7" customWidth="1"/>
    <col min="7650" max="7650" width="12.7109375" style="7" customWidth="1"/>
    <col min="7651" max="7651" width="11.140625" style="7" customWidth="1"/>
    <col min="7652" max="7652" width="10.85546875" style="7" customWidth="1"/>
    <col min="7653" max="7653" width="11.42578125" style="7" customWidth="1"/>
    <col min="7654" max="7654" width="13.42578125" style="7" customWidth="1"/>
    <col min="7655" max="7655" width="11.140625" style="7" customWidth="1"/>
    <col min="7656" max="7656" width="11.28515625" style="7" bestFit="1" customWidth="1"/>
    <col min="7657" max="7657" width="11.42578125" style="7" customWidth="1"/>
    <col min="7658" max="7658" width="8.85546875" style="7" customWidth="1"/>
    <col min="7659" max="7659" width="9.85546875" style="7" bestFit="1" customWidth="1"/>
    <col min="7660" max="7660" width="8.85546875" style="7"/>
    <col min="7661" max="7661" width="9.42578125" style="7" bestFit="1" customWidth="1"/>
    <col min="7662" max="7902" width="8.85546875" style="7"/>
    <col min="7903" max="7903" width="1.85546875" style="7" customWidth="1"/>
    <col min="7904" max="7904" width="7.28515625" style="7" customWidth="1"/>
    <col min="7905" max="7905" width="9.85546875" style="7" customWidth="1"/>
    <col min="7906" max="7906" width="12.7109375" style="7" customWidth="1"/>
    <col min="7907" max="7907" width="11.140625" style="7" customWidth="1"/>
    <col min="7908" max="7908" width="10.85546875" style="7" customWidth="1"/>
    <col min="7909" max="7909" width="11.42578125" style="7" customWidth="1"/>
    <col min="7910" max="7910" width="13.42578125" style="7" customWidth="1"/>
    <col min="7911" max="7911" width="11.140625" style="7" customWidth="1"/>
    <col min="7912" max="7912" width="11.28515625" style="7" bestFit="1" customWidth="1"/>
    <col min="7913" max="7913" width="11.42578125" style="7" customWidth="1"/>
    <col min="7914" max="7914" width="8.85546875" style="7" customWidth="1"/>
    <col min="7915" max="7915" width="9.85546875" style="7" bestFit="1" customWidth="1"/>
    <col min="7916" max="7916" width="8.85546875" style="7"/>
    <col min="7917" max="7917" width="9.42578125" style="7" bestFit="1" customWidth="1"/>
    <col min="7918" max="8158" width="8.85546875" style="7"/>
    <col min="8159" max="8159" width="1.85546875" style="7" customWidth="1"/>
    <col min="8160" max="8160" width="7.28515625" style="7" customWidth="1"/>
    <col min="8161" max="8161" width="9.85546875" style="7" customWidth="1"/>
    <col min="8162" max="8162" width="12.7109375" style="7" customWidth="1"/>
    <col min="8163" max="8163" width="11.140625" style="7" customWidth="1"/>
    <col min="8164" max="8164" width="10.85546875" style="7" customWidth="1"/>
    <col min="8165" max="8165" width="11.42578125" style="7" customWidth="1"/>
    <col min="8166" max="8166" width="13.42578125" style="7" customWidth="1"/>
    <col min="8167" max="8167" width="11.140625" style="7" customWidth="1"/>
    <col min="8168" max="8168" width="11.28515625" style="7" bestFit="1" customWidth="1"/>
    <col min="8169" max="8169" width="11.42578125" style="7" customWidth="1"/>
    <col min="8170" max="8170" width="8.85546875" style="7" customWidth="1"/>
    <col min="8171" max="8171" width="9.85546875" style="7" bestFit="1" customWidth="1"/>
    <col min="8172" max="8172" width="8.85546875" style="7"/>
    <col min="8173" max="8173" width="9.42578125" style="7" bestFit="1" customWidth="1"/>
    <col min="8174" max="8414" width="8.85546875" style="7"/>
    <col min="8415" max="8415" width="1.85546875" style="7" customWidth="1"/>
    <col min="8416" max="8416" width="7.28515625" style="7" customWidth="1"/>
    <col min="8417" max="8417" width="9.85546875" style="7" customWidth="1"/>
    <col min="8418" max="8418" width="12.7109375" style="7" customWidth="1"/>
    <col min="8419" max="8419" width="11.140625" style="7" customWidth="1"/>
    <col min="8420" max="8420" width="10.85546875" style="7" customWidth="1"/>
    <col min="8421" max="8421" width="11.42578125" style="7" customWidth="1"/>
    <col min="8422" max="8422" width="13.42578125" style="7" customWidth="1"/>
    <col min="8423" max="8423" width="11.140625" style="7" customWidth="1"/>
    <col min="8424" max="8424" width="11.28515625" style="7" bestFit="1" customWidth="1"/>
    <col min="8425" max="8425" width="11.42578125" style="7" customWidth="1"/>
    <col min="8426" max="8426" width="8.85546875" style="7" customWidth="1"/>
    <col min="8427" max="8427" width="9.85546875" style="7" bestFit="1" customWidth="1"/>
    <col min="8428" max="8428" width="8.85546875" style="7"/>
    <col min="8429" max="8429" width="9.42578125" style="7" bestFit="1" customWidth="1"/>
    <col min="8430" max="8670" width="8.85546875" style="7"/>
    <col min="8671" max="8671" width="1.85546875" style="7" customWidth="1"/>
    <col min="8672" max="8672" width="7.28515625" style="7" customWidth="1"/>
    <col min="8673" max="8673" width="9.85546875" style="7" customWidth="1"/>
    <col min="8674" max="8674" width="12.7109375" style="7" customWidth="1"/>
    <col min="8675" max="8675" width="11.140625" style="7" customWidth="1"/>
    <col min="8676" max="8676" width="10.85546875" style="7" customWidth="1"/>
    <col min="8677" max="8677" width="11.42578125" style="7" customWidth="1"/>
    <col min="8678" max="8678" width="13.42578125" style="7" customWidth="1"/>
    <col min="8679" max="8679" width="11.140625" style="7" customWidth="1"/>
    <col min="8680" max="8680" width="11.28515625" style="7" bestFit="1" customWidth="1"/>
    <col min="8681" max="8681" width="11.42578125" style="7" customWidth="1"/>
    <col min="8682" max="8682" width="8.85546875" style="7" customWidth="1"/>
    <col min="8683" max="8683" width="9.85546875" style="7" bestFit="1" customWidth="1"/>
    <col min="8684" max="8684" width="8.85546875" style="7"/>
    <col min="8685" max="8685" width="9.42578125" style="7" bestFit="1" customWidth="1"/>
    <col min="8686" max="8926" width="8.85546875" style="7"/>
    <col min="8927" max="8927" width="1.85546875" style="7" customWidth="1"/>
    <col min="8928" max="8928" width="7.28515625" style="7" customWidth="1"/>
    <col min="8929" max="8929" width="9.85546875" style="7" customWidth="1"/>
    <col min="8930" max="8930" width="12.7109375" style="7" customWidth="1"/>
    <col min="8931" max="8931" width="11.140625" style="7" customWidth="1"/>
    <col min="8932" max="8932" width="10.85546875" style="7" customWidth="1"/>
    <col min="8933" max="8933" width="11.42578125" style="7" customWidth="1"/>
    <col min="8934" max="8934" width="13.42578125" style="7" customWidth="1"/>
    <col min="8935" max="8935" width="11.140625" style="7" customWidth="1"/>
    <col min="8936" max="8936" width="11.28515625" style="7" bestFit="1" customWidth="1"/>
    <col min="8937" max="8937" width="11.42578125" style="7" customWidth="1"/>
    <col min="8938" max="8938" width="8.85546875" style="7" customWidth="1"/>
    <col min="8939" max="8939" width="9.85546875" style="7" bestFit="1" customWidth="1"/>
    <col min="8940" max="8940" width="8.85546875" style="7"/>
    <col min="8941" max="8941" width="9.42578125" style="7" bestFit="1" customWidth="1"/>
    <col min="8942" max="9182" width="8.85546875" style="7"/>
    <col min="9183" max="9183" width="1.85546875" style="7" customWidth="1"/>
    <col min="9184" max="9184" width="7.28515625" style="7" customWidth="1"/>
    <col min="9185" max="9185" width="9.85546875" style="7" customWidth="1"/>
    <col min="9186" max="9186" width="12.7109375" style="7" customWidth="1"/>
    <col min="9187" max="9187" width="11.140625" style="7" customWidth="1"/>
    <col min="9188" max="9188" width="10.85546875" style="7" customWidth="1"/>
    <col min="9189" max="9189" width="11.42578125" style="7" customWidth="1"/>
    <col min="9190" max="9190" width="13.42578125" style="7" customWidth="1"/>
    <col min="9191" max="9191" width="11.140625" style="7" customWidth="1"/>
    <col min="9192" max="9192" width="11.28515625" style="7" bestFit="1" customWidth="1"/>
    <col min="9193" max="9193" width="11.42578125" style="7" customWidth="1"/>
    <col min="9194" max="9194" width="8.85546875" style="7" customWidth="1"/>
    <col min="9195" max="9195" width="9.85546875" style="7" bestFit="1" customWidth="1"/>
    <col min="9196" max="9196" width="8.85546875" style="7"/>
    <col min="9197" max="9197" width="9.42578125" style="7" bestFit="1" customWidth="1"/>
    <col min="9198" max="9438" width="8.85546875" style="7"/>
    <col min="9439" max="9439" width="1.85546875" style="7" customWidth="1"/>
    <col min="9440" max="9440" width="7.28515625" style="7" customWidth="1"/>
    <col min="9441" max="9441" width="9.85546875" style="7" customWidth="1"/>
    <col min="9442" max="9442" width="12.7109375" style="7" customWidth="1"/>
    <col min="9443" max="9443" width="11.140625" style="7" customWidth="1"/>
    <col min="9444" max="9444" width="10.85546875" style="7" customWidth="1"/>
    <col min="9445" max="9445" width="11.42578125" style="7" customWidth="1"/>
    <col min="9446" max="9446" width="13.42578125" style="7" customWidth="1"/>
    <col min="9447" max="9447" width="11.140625" style="7" customWidth="1"/>
    <col min="9448" max="9448" width="11.28515625" style="7" bestFit="1" customWidth="1"/>
    <col min="9449" max="9449" width="11.42578125" style="7" customWidth="1"/>
    <col min="9450" max="9450" width="8.85546875" style="7" customWidth="1"/>
    <col min="9451" max="9451" width="9.85546875" style="7" bestFit="1" customWidth="1"/>
    <col min="9452" max="9452" width="8.85546875" style="7"/>
    <col min="9453" max="9453" width="9.42578125" style="7" bestFit="1" customWidth="1"/>
    <col min="9454" max="9694" width="8.85546875" style="7"/>
    <col min="9695" max="9695" width="1.85546875" style="7" customWidth="1"/>
    <col min="9696" max="9696" width="7.28515625" style="7" customWidth="1"/>
    <col min="9697" max="9697" width="9.85546875" style="7" customWidth="1"/>
    <col min="9698" max="9698" width="12.7109375" style="7" customWidth="1"/>
    <col min="9699" max="9699" width="11.140625" style="7" customWidth="1"/>
    <col min="9700" max="9700" width="10.85546875" style="7" customWidth="1"/>
    <col min="9701" max="9701" width="11.42578125" style="7" customWidth="1"/>
    <col min="9702" max="9702" width="13.42578125" style="7" customWidth="1"/>
    <col min="9703" max="9703" width="11.140625" style="7" customWidth="1"/>
    <col min="9704" max="9704" width="11.28515625" style="7" bestFit="1" customWidth="1"/>
    <col min="9705" max="9705" width="11.42578125" style="7" customWidth="1"/>
    <col min="9706" max="9706" width="8.85546875" style="7" customWidth="1"/>
    <col min="9707" max="9707" width="9.85546875" style="7" bestFit="1" customWidth="1"/>
    <col min="9708" max="9708" width="8.85546875" style="7"/>
    <col min="9709" max="9709" width="9.42578125" style="7" bestFit="1" customWidth="1"/>
    <col min="9710" max="9950" width="8.85546875" style="7"/>
    <col min="9951" max="9951" width="1.85546875" style="7" customWidth="1"/>
    <col min="9952" max="9952" width="7.28515625" style="7" customWidth="1"/>
    <col min="9953" max="9953" width="9.85546875" style="7" customWidth="1"/>
    <col min="9954" max="9954" width="12.7109375" style="7" customWidth="1"/>
    <col min="9955" max="9955" width="11.140625" style="7" customWidth="1"/>
    <col min="9956" max="9956" width="10.85546875" style="7" customWidth="1"/>
    <col min="9957" max="9957" width="11.42578125" style="7" customWidth="1"/>
    <col min="9958" max="9958" width="13.42578125" style="7" customWidth="1"/>
    <col min="9959" max="9959" width="11.140625" style="7" customWidth="1"/>
    <col min="9960" max="9960" width="11.28515625" style="7" bestFit="1" customWidth="1"/>
    <col min="9961" max="9961" width="11.42578125" style="7" customWidth="1"/>
    <col min="9962" max="9962" width="8.85546875" style="7" customWidth="1"/>
    <col min="9963" max="9963" width="9.85546875" style="7" bestFit="1" customWidth="1"/>
    <col min="9964" max="9964" width="8.85546875" style="7"/>
    <col min="9965" max="9965" width="9.42578125" style="7" bestFit="1" customWidth="1"/>
    <col min="9966" max="10206" width="8.85546875" style="7"/>
    <col min="10207" max="10207" width="1.85546875" style="7" customWidth="1"/>
    <col min="10208" max="10208" width="7.28515625" style="7" customWidth="1"/>
    <col min="10209" max="10209" width="9.85546875" style="7" customWidth="1"/>
    <col min="10210" max="10210" width="12.7109375" style="7" customWidth="1"/>
    <col min="10211" max="10211" width="11.140625" style="7" customWidth="1"/>
    <col min="10212" max="10212" width="10.85546875" style="7" customWidth="1"/>
    <col min="10213" max="10213" width="11.42578125" style="7" customWidth="1"/>
    <col min="10214" max="10214" width="13.42578125" style="7" customWidth="1"/>
    <col min="10215" max="10215" width="11.140625" style="7" customWidth="1"/>
    <col min="10216" max="10216" width="11.28515625" style="7" bestFit="1" customWidth="1"/>
    <col min="10217" max="10217" width="11.42578125" style="7" customWidth="1"/>
    <col min="10218" max="10218" width="8.85546875" style="7" customWidth="1"/>
    <col min="10219" max="10219" width="9.85546875" style="7" bestFit="1" customWidth="1"/>
    <col min="10220" max="10220" width="8.85546875" style="7"/>
    <col min="10221" max="10221" width="9.42578125" style="7" bestFit="1" customWidth="1"/>
    <col min="10222" max="10462" width="8.85546875" style="7"/>
    <col min="10463" max="10463" width="1.85546875" style="7" customWidth="1"/>
    <col min="10464" max="10464" width="7.28515625" style="7" customWidth="1"/>
    <col min="10465" max="10465" width="9.85546875" style="7" customWidth="1"/>
    <col min="10466" max="10466" width="12.7109375" style="7" customWidth="1"/>
    <col min="10467" max="10467" width="11.140625" style="7" customWidth="1"/>
    <col min="10468" max="10468" width="10.85546875" style="7" customWidth="1"/>
    <col min="10469" max="10469" width="11.42578125" style="7" customWidth="1"/>
    <col min="10470" max="10470" width="13.42578125" style="7" customWidth="1"/>
    <col min="10471" max="10471" width="11.140625" style="7" customWidth="1"/>
    <col min="10472" max="10472" width="11.28515625" style="7" bestFit="1" customWidth="1"/>
    <col min="10473" max="10473" width="11.42578125" style="7" customWidth="1"/>
    <col min="10474" max="10474" width="8.85546875" style="7" customWidth="1"/>
    <col min="10475" max="10475" width="9.85546875" style="7" bestFit="1" customWidth="1"/>
    <col min="10476" max="10476" width="8.85546875" style="7"/>
    <col min="10477" max="10477" width="9.42578125" style="7" bestFit="1" customWidth="1"/>
    <col min="10478" max="10718" width="8.85546875" style="7"/>
    <col min="10719" max="10719" width="1.85546875" style="7" customWidth="1"/>
    <col min="10720" max="10720" width="7.28515625" style="7" customWidth="1"/>
    <col min="10721" max="10721" width="9.85546875" style="7" customWidth="1"/>
    <col min="10722" max="10722" width="12.7109375" style="7" customWidth="1"/>
    <col min="10723" max="10723" width="11.140625" style="7" customWidth="1"/>
    <col min="10724" max="10724" width="10.85546875" style="7" customWidth="1"/>
    <col min="10725" max="10725" width="11.42578125" style="7" customWidth="1"/>
    <col min="10726" max="10726" width="13.42578125" style="7" customWidth="1"/>
    <col min="10727" max="10727" width="11.140625" style="7" customWidth="1"/>
    <col min="10728" max="10728" width="11.28515625" style="7" bestFit="1" customWidth="1"/>
    <col min="10729" max="10729" width="11.42578125" style="7" customWidth="1"/>
    <col min="10730" max="10730" width="8.85546875" style="7" customWidth="1"/>
    <col min="10731" max="10731" width="9.85546875" style="7" bestFit="1" customWidth="1"/>
    <col min="10732" max="10732" width="8.85546875" style="7"/>
    <col min="10733" max="10733" width="9.42578125" style="7" bestFit="1" customWidth="1"/>
    <col min="10734" max="10974" width="8.85546875" style="7"/>
    <col min="10975" max="10975" width="1.85546875" style="7" customWidth="1"/>
    <col min="10976" max="10976" width="7.28515625" style="7" customWidth="1"/>
    <col min="10977" max="10977" width="9.85546875" style="7" customWidth="1"/>
    <col min="10978" max="10978" width="12.7109375" style="7" customWidth="1"/>
    <col min="10979" max="10979" width="11.140625" style="7" customWidth="1"/>
    <col min="10980" max="10980" width="10.85546875" style="7" customWidth="1"/>
    <col min="10981" max="10981" width="11.42578125" style="7" customWidth="1"/>
    <col min="10982" max="10982" width="13.42578125" style="7" customWidth="1"/>
    <col min="10983" max="10983" width="11.140625" style="7" customWidth="1"/>
    <col min="10984" max="10984" width="11.28515625" style="7" bestFit="1" customWidth="1"/>
    <col min="10985" max="10985" width="11.42578125" style="7" customWidth="1"/>
    <col min="10986" max="10986" width="8.85546875" style="7" customWidth="1"/>
    <col min="10987" max="10987" width="9.85546875" style="7" bestFit="1" customWidth="1"/>
    <col min="10988" max="10988" width="8.85546875" style="7"/>
    <col min="10989" max="10989" width="9.42578125" style="7" bestFit="1" customWidth="1"/>
    <col min="10990" max="11230" width="8.85546875" style="7"/>
    <col min="11231" max="11231" width="1.85546875" style="7" customWidth="1"/>
    <col min="11232" max="11232" width="7.28515625" style="7" customWidth="1"/>
    <col min="11233" max="11233" width="9.85546875" style="7" customWidth="1"/>
    <col min="11234" max="11234" width="12.7109375" style="7" customWidth="1"/>
    <col min="11235" max="11235" width="11.140625" style="7" customWidth="1"/>
    <col min="11236" max="11236" width="10.85546875" style="7" customWidth="1"/>
    <col min="11237" max="11237" width="11.42578125" style="7" customWidth="1"/>
    <col min="11238" max="11238" width="13.42578125" style="7" customWidth="1"/>
    <col min="11239" max="11239" width="11.140625" style="7" customWidth="1"/>
    <col min="11240" max="11240" width="11.28515625" style="7" bestFit="1" customWidth="1"/>
    <col min="11241" max="11241" width="11.42578125" style="7" customWidth="1"/>
    <col min="11242" max="11242" width="8.85546875" style="7" customWidth="1"/>
    <col min="11243" max="11243" width="9.85546875" style="7" bestFit="1" customWidth="1"/>
    <col min="11244" max="11244" width="8.85546875" style="7"/>
    <col min="11245" max="11245" width="9.42578125" style="7" bestFit="1" customWidth="1"/>
    <col min="11246" max="11486" width="8.85546875" style="7"/>
    <col min="11487" max="11487" width="1.85546875" style="7" customWidth="1"/>
    <col min="11488" max="11488" width="7.28515625" style="7" customWidth="1"/>
    <col min="11489" max="11489" width="9.85546875" style="7" customWidth="1"/>
    <col min="11490" max="11490" width="12.7109375" style="7" customWidth="1"/>
    <col min="11491" max="11491" width="11.140625" style="7" customWidth="1"/>
    <col min="11492" max="11492" width="10.85546875" style="7" customWidth="1"/>
    <col min="11493" max="11493" width="11.42578125" style="7" customWidth="1"/>
    <col min="11494" max="11494" width="13.42578125" style="7" customWidth="1"/>
    <col min="11495" max="11495" width="11.140625" style="7" customWidth="1"/>
    <col min="11496" max="11496" width="11.28515625" style="7" bestFit="1" customWidth="1"/>
    <col min="11497" max="11497" width="11.42578125" style="7" customWidth="1"/>
    <col min="11498" max="11498" width="8.85546875" style="7" customWidth="1"/>
    <col min="11499" max="11499" width="9.85546875" style="7" bestFit="1" customWidth="1"/>
    <col min="11500" max="11500" width="8.85546875" style="7"/>
    <col min="11501" max="11501" width="9.42578125" style="7" bestFit="1" customWidth="1"/>
    <col min="11502" max="11742" width="8.85546875" style="7"/>
    <col min="11743" max="11743" width="1.85546875" style="7" customWidth="1"/>
    <col min="11744" max="11744" width="7.28515625" style="7" customWidth="1"/>
    <col min="11745" max="11745" width="9.85546875" style="7" customWidth="1"/>
    <col min="11746" max="11746" width="12.7109375" style="7" customWidth="1"/>
    <col min="11747" max="11747" width="11.140625" style="7" customWidth="1"/>
    <col min="11748" max="11748" width="10.85546875" style="7" customWidth="1"/>
    <col min="11749" max="11749" width="11.42578125" style="7" customWidth="1"/>
    <col min="11750" max="11750" width="13.42578125" style="7" customWidth="1"/>
    <col min="11751" max="11751" width="11.140625" style="7" customWidth="1"/>
    <col min="11752" max="11752" width="11.28515625" style="7" bestFit="1" customWidth="1"/>
    <col min="11753" max="11753" width="11.42578125" style="7" customWidth="1"/>
    <col min="11754" max="11754" width="8.85546875" style="7" customWidth="1"/>
    <col min="11755" max="11755" width="9.85546875" style="7" bestFit="1" customWidth="1"/>
    <col min="11756" max="11756" width="8.85546875" style="7"/>
    <col min="11757" max="11757" width="9.42578125" style="7" bestFit="1" customWidth="1"/>
    <col min="11758" max="11998" width="8.85546875" style="7"/>
    <col min="11999" max="11999" width="1.85546875" style="7" customWidth="1"/>
    <col min="12000" max="12000" width="7.28515625" style="7" customWidth="1"/>
    <col min="12001" max="12001" width="9.85546875" style="7" customWidth="1"/>
    <col min="12002" max="12002" width="12.7109375" style="7" customWidth="1"/>
    <col min="12003" max="12003" width="11.140625" style="7" customWidth="1"/>
    <col min="12004" max="12004" width="10.85546875" style="7" customWidth="1"/>
    <col min="12005" max="12005" width="11.42578125" style="7" customWidth="1"/>
    <col min="12006" max="12006" width="13.42578125" style="7" customWidth="1"/>
    <col min="12007" max="12007" width="11.140625" style="7" customWidth="1"/>
    <col min="12008" max="12008" width="11.28515625" style="7" bestFit="1" customWidth="1"/>
    <col min="12009" max="12009" width="11.42578125" style="7" customWidth="1"/>
    <col min="12010" max="12010" width="8.85546875" style="7" customWidth="1"/>
    <col min="12011" max="12011" width="9.85546875" style="7" bestFit="1" customWidth="1"/>
    <col min="12012" max="12012" width="8.85546875" style="7"/>
    <col min="12013" max="12013" width="9.42578125" style="7" bestFit="1" customWidth="1"/>
    <col min="12014" max="12254" width="8.85546875" style="7"/>
    <col min="12255" max="12255" width="1.85546875" style="7" customWidth="1"/>
    <col min="12256" max="12256" width="7.28515625" style="7" customWidth="1"/>
    <col min="12257" max="12257" width="9.85546875" style="7" customWidth="1"/>
    <col min="12258" max="12258" width="12.7109375" style="7" customWidth="1"/>
    <col min="12259" max="12259" width="11.140625" style="7" customWidth="1"/>
    <col min="12260" max="12260" width="10.85546875" style="7" customWidth="1"/>
    <col min="12261" max="12261" width="11.42578125" style="7" customWidth="1"/>
    <col min="12262" max="12262" width="13.42578125" style="7" customWidth="1"/>
    <col min="12263" max="12263" width="11.140625" style="7" customWidth="1"/>
    <col min="12264" max="12264" width="11.28515625" style="7" bestFit="1" customWidth="1"/>
    <col min="12265" max="12265" width="11.42578125" style="7" customWidth="1"/>
    <col min="12266" max="12266" width="8.85546875" style="7" customWidth="1"/>
    <col min="12267" max="12267" width="9.85546875" style="7" bestFit="1" customWidth="1"/>
    <col min="12268" max="12268" width="8.85546875" style="7"/>
    <col min="12269" max="12269" width="9.42578125" style="7" bestFit="1" customWidth="1"/>
    <col min="12270" max="12510" width="8.85546875" style="7"/>
    <col min="12511" max="12511" width="1.85546875" style="7" customWidth="1"/>
    <col min="12512" max="12512" width="7.28515625" style="7" customWidth="1"/>
    <col min="12513" max="12513" width="9.85546875" style="7" customWidth="1"/>
    <col min="12514" max="12514" width="12.7109375" style="7" customWidth="1"/>
    <col min="12515" max="12515" width="11.140625" style="7" customWidth="1"/>
    <col min="12516" max="12516" width="10.85546875" style="7" customWidth="1"/>
    <col min="12517" max="12517" width="11.42578125" style="7" customWidth="1"/>
    <col min="12518" max="12518" width="13.42578125" style="7" customWidth="1"/>
    <col min="12519" max="12519" width="11.140625" style="7" customWidth="1"/>
    <col min="12520" max="12520" width="11.28515625" style="7" bestFit="1" customWidth="1"/>
    <col min="12521" max="12521" width="11.42578125" style="7" customWidth="1"/>
    <col min="12522" max="12522" width="8.85546875" style="7" customWidth="1"/>
    <col min="12523" max="12523" width="9.85546875" style="7" bestFit="1" customWidth="1"/>
    <col min="12524" max="12524" width="8.85546875" style="7"/>
    <col min="12525" max="12525" width="9.42578125" style="7" bestFit="1" customWidth="1"/>
    <col min="12526" max="12766" width="8.85546875" style="7"/>
    <col min="12767" max="12767" width="1.85546875" style="7" customWidth="1"/>
    <col min="12768" max="12768" width="7.28515625" style="7" customWidth="1"/>
    <col min="12769" max="12769" width="9.85546875" style="7" customWidth="1"/>
    <col min="12770" max="12770" width="12.7109375" style="7" customWidth="1"/>
    <col min="12771" max="12771" width="11.140625" style="7" customWidth="1"/>
    <col min="12772" max="12772" width="10.85546875" style="7" customWidth="1"/>
    <col min="12773" max="12773" width="11.42578125" style="7" customWidth="1"/>
    <col min="12774" max="12774" width="13.42578125" style="7" customWidth="1"/>
    <col min="12775" max="12775" width="11.140625" style="7" customWidth="1"/>
    <col min="12776" max="12776" width="11.28515625" style="7" bestFit="1" customWidth="1"/>
    <col min="12777" max="12777" width="11.42578125" style="7" customWidth="1"/>
    <col min="12778" max="12778" width="8.85546875" style="7" customWidth="1"/>
    <col min="12779" max="12779" width="9.85546875" style="7" bestFit="1" customWidth="1"/>
    <col min="12780" max="12780" width="8.85546875" style="7"/>
    <col min="12781" max="12781" width="9.42578125" style="7" bestFit="1" customWidth="1"/>
    <col min="12782" max="13022" width="8.85546875" style="7"/>
    <col min="13023" max="13023" width="1.85546875" style="7" customWidth="1"/>
    <col min="13024" max="13024" width="7.28515625" style="7" customWidth="1"/>
    <col min="13025" max="13025" width="9.85546875" style="7" customWidth="1"/>
    <col min="13026" max="13026" width="12.7109375" style="7" customWidth="1"/>
    <col min="13027" max="13027" width="11.140625" style="7" customWidth="1"/>
    <col min="13028" max="13028" width="10.85546875" style="7" customWidth="1"/>
    <col min="13029" max="13029" width="11.42578125" style="7" customWidth="1"/>
    <col min="13030" max="13030" width="13.42578125" style="7" customWidth="1"/>
    <col min="13031" max="13031" width="11.140625" style="7" customWidth="1"/>
    <col min="13032" max="13032" width="11.28515625" style="7" bestFit="1" customWidth="1"/>
    <col min="13033" max="13033" width="11.42578125" style="7" customWidth="1"/>
    <col min="13034" max="13034" width="8.85546875" style="7" customWidth="1"/>
    <col min="13035" max="13035" width="9.85546875" style="7" bestFit="1" customWidth="1"/>
    <col min="13036" max="13036" width="8.85546875" style="7"/>
    <col min="13037" max="13037" width="9.42578125" style="7" bestFit="1" customWidth="1"/>
    <col min="13038" max="13278" width="8.85546875" style="7"/>
    <col min="13279" max="13279" width="1.85546875" style="7" customWidth="1"/>
    <col min="13280" max="13280" width="7.28515625" style="7" customWidth="1"/>
    <col min="13281" max="13281" width="9.85546875" style="7" customWidth="1"/>
    <col min="13282" max="13282" width="12.7109375" style="7" customWidth="1"/>
    <col min="13283" max="13283" width="11.140625" style="7" customWidth="1"/>
    <col min="13284" max="13284" width="10.85546875" style="7" customWidth="1"/>
    <col min="13285" max="13285" width="11.42578125" style="7" customWidth="1"/>
    <col min="13286" max="13286" width="13.42578125" style="7" customWidth="1"/>
    <col min="13287" max="13287" width="11.140625" style="7" customWidth="1"/>
    <col min="13288" max="13288" width="11.28515625" style="7" bestFit="1" customWidth="1"/>
    <col min="13289" max="13289" width="11.42578125" style="7" customWidth="1"/>
    <col min="13290" max="13290" width="8.85546875" style="7" customWidth="1"/>
    <col min="13291" max="13291" width="9.85546875" style="7" bestFit="1" customWidth="1"/>
    <col min="13292" max="13292" width="8.85546875" style="7"/>
    <col min="13293" max="13293" width="9.42578125" style="7" bestFit="1" customWidth="1"/>
    <col min="13294" max="13534" width="8.85546875" style="7"/>
    <col min="13535" max="13535" width="1.85546875" style="7" customWidth="1"/>
    <col min="13536" max="13536" width="7.28515625" style="7" customWidth="1"/>
    <col min="13537" max="13537" width="9.85546875" style="7" customWidth="1"/>
    <col min="13538" max="13538" width="12.7109375" style="7" customWidth="1"/>
    <col min="13539" max="13539" width="11.140625" style="7" customWidth="1"/>
    <col min="13540" max="13540" width="10.85546875" style="7" customWidth="1"/>
    <col min="13541" max="13541" width="11.42578125" style="7" customWidth="1"/>
    <col min="13542" max="13542" width="13.42578125" style="7" customWidth="1"/>
    <col min="13543" max="13543" width="11.140625" style="7" customWidth="1"/>
    <col min="13544" max="13544" width="11.28515625" style="7" bestFit="1" customWidth="1"/>
    <col min="13545" max="13545" width="11.42578125" style="7" customWidth="1"/>
    <col min="13546" max="13546" width="8.85546875" style="7" customWidth="1"/>
    <col min="13547" max="13547" width="9.85546875" style="7" bestFit="1" customWidth="1"/>
    <col min="13548" max="13548" width="8.85546875" style="7"/>
    <col min="13549" max="13549" width="9.42578125" style="7" bestFit="1" customWidth="1"/>
    <col min="13550" max="13790" width="8.85546875" style="7"/>
    <col min="13791" max="13791" width="1.85546875" style="7" customWidth="1"/>
    <col min="13792" max="13792" width="7.28515625" style="7" customWidth="1"/>
    <col min="13793" max="13793" width="9.85546875" style="7" customWidth="1"/>
    <col min="13794" max="13794" width="12.7109375" style="7" customWidth="1"/>
    <col min="13795" max="13795" width="11.140625" style="7" customWidth="1"/>
    <col min="13796" max="13796" width="10.85546875" style="7" customWidth="1"/>
    <col min="13797" max="13797" width="11.42578125" style="7" customWidth="1"/>
    <col min="13798" max="13798" width="13.42578125" style="7" customWidth="1"/>
    <col min="13799" max="13799" width="11.140625" style="7" customWidth="1"/>
    <col min="13800" max="13800" width="11.28515625" style="7" bestFit="1" customWidth="1"/>
    <col min="13801" max="13801" width="11.42578125" style="7" customWidth="1"/>
    <col min="13802" max="13802" width="8.85546875" style="7" customWidth="1"/>
    <col min="13803" max="13803" width="9.85546875" style="7" bestFit="1" customWidth="1"/>
    <col min="13804" max="13804" width="8.85546875" style="7"/>
    <col min="13805" max="13805" width="9.42578125" style="7" bestFit="1" customWidth="1"/>
    <col min="13806" max="14046" width="8.85546875" style="7"/>
    <col min="14047" max="14047" width="1.85546875" style="7" customWidth="1"/>
    <col min="14048" max="14048" width="7.28515625" style="7" customWidth="1"/>
    <col min="14049" max="14049" width="9.85546875" style="7" customWidth="1"/>
    <col min="14050" max="14050" width="12.7109375" style="7" customWidth="1"/>
    <col min="14051" max="14051" width="11.140625" style="7" customWidth="1"/>
    <col min="14052" max="14052" width="10.85546875" style="7" customWidth="1"/>
    <col min="14053" max="14053" width="11.42578125" style="7" customWidth="1"/>
    <col min="14054" max="14054" width="13.42578125" style="7" customWidth="1"/>
    <col min="14055" max="14055" width="11.140625" style="7" customWidth="1"/>
    <col min="14056" max="14056" width="11.28515625" style="7" bestFit="1" customWidth="1"/>
    <col min="14057" max="14057" width="11.42578125" style="7" customWidth="1"/>
    <col min="14058" max="14058" width="8.85546875" style="7" customWidth="1"/>
    <col min="14059" max="14059" width="9.85546875" style="7" bestFit="1" customWidth="1"/>
    <col min="14060" max="14060" width="8.85546875" style="7"/>
    <col min="14061" max="14061" width="9.42578125" style="7" bestFit="1" customWidth="1"/>
    <col min="14062" max="14302" width="8.85546875" style="7"/>
    <col min="14303" max="14303" width="1.85546875" style="7" customWidth="1"/>
    <col min="14304" max="14304" width="7.28515625" style="7" customWidth="1"/>
    <col min="14305" max="14305" width="9.85546875" style="7" customWidth="1"/>
    <col min="14306" max="14306" width="12.7109375" style="7" customWidth="1"/>
    <col min="14307" max="14307" width="11.140625" style="7" customWidth="1"/>
    <col min="14308" max="14308" width="10.85546875" style="7" customWidth="1"/>
    <col min="14309" max="14309" width="11.42578125" style="7" customWidth="1"/>
    <col min="14310" max="14310" width="13.42578125" style="7" customWidth="1"/>
    <col min="14311" max="14311" width="11.140625" style="7" customWidth="1"/>
    <col min="14312" max="14312" width="11.28515625" style="7" bestFit="1" customWidth="1"/>
    <col min="14313" max="14313" width="11.42578125" style="7" customWidth="1"/>
    <col min="14314" max="14314" width="8.85546875" style="7" customWidth="1"/>
    <col min="14315" max="14315" width="9.85546875" style="7" bestFit="1" customWidth="1"/>
    <col min="14316" max="14316" width="8.85546875" style="7"/>
    <col min="14317" max="14317" width="9.42578125" style="7" bestFit="1" customWidth="1"/>
    <col min="14318" max="14558" width="8.85546875" style="7"/>
    <col min="14559" max="14559" width="1.85546875" style="7" customWidth="1"/>
    <col min="14560" max="14560" width="7.28515625" style="7" customWidth="1"/>
    <col min="14561" max="14561" width="9.85546875" style="7" customWidth="1"/>
    <col min="14562" max="14562" width="12.7109375" style="7" customWidth="1"/>
    <col min="14563" max="14563" width="11.140625" style="7" customWidth="1"/>
    <col min="14564" max="14564" width="10.85546875" style="7" customWidth="1"/>
    <col min="14565" max="14565" width="11.42578125" style="7" customWidth="1"/>
    <col min="14566" max="14566" width="13.42578125" style="7" customWidth="1"/>
    <col min="14567" max="14567" width="11.140625" style="7" customWidth="1"/>
    <col min="14568" max="14568" width="11.28515625" style="7" bestFit="1" customWidth="1"/>
    <col min="14569" max="14569" width="11.42578125" style="7" customWidth="1"/>
    <col min="14570" max="14570" width="8.85546875" style="7" customWidth="1"/>
    <col min="14571" max="14571" width="9.85546875" style="7" bestFit="1" customWidth="1"/>
    <col min="14572" max="14572" width="8.85546875" style="7"/>
    <col min="14573" max="14573" width="9.42578125" style="7" bestFit="1" customWidth="1"/>
    <col min="14574" max="14814" width="8.85546875" style="7"/>
    <col min="14815" max="14815" width="1.85546875" style="7" customWidth="1"/>
    <col min="14816" max="14816" width="7.28515625" style="7" customWidth="1"/>
    <col min="14817" max="14817" width="9.85546875" style="7" customWidth="1"/>
    <col min="14818" max="14818" width="12.7109375" style="7" customWidth="1"/>
    <col min="14819" max="14819" width="11.140625" style="7" customWidth="1"/>
    <col min="14820" max="14820" width="10.85546875" style="7" customWidth="1"/>
    <col min="14821" max="14821" width="11.42578125" style="7" customWidth="1"/>
    <col min="14822" max="14822" width="13.42578125" style="7" customWidth="1"/>
    <col min="14823" max="14823" width="11.140625" style="7" customWidth="1"/>
    <col min="14824" max="14824" width="11.28515625" style="7" bestFit="1" customWidth="1"/>
    <col min="14825" max="14825" width="11.42578125" style="7" customWidth="1"/>
    <col min="14826" max="14826" width="8.85546875" style="7" customWidth="1"/>
    <col min="14827" max="14827" width="9.85546875" style="7" bestFit="1" customWidth="1"/>
    <col min="14828" max="14828" width="8.85546875" style="7"/>
    <col min="14829" max="14829" width="9.42578125" style="7" bestFit="1" customWidth="1"/>
    <col min="14830" max="15070" width="8.85546875" style="7"/>
    <col min="15071" max="15071" width="1.85546875" style="7" customWidth="1"/>
    <col min="15072" max="15072" width="7.28515625" style="7" customWidth="1"/>
    <col min="15073" max="15073" width="9.85546875" style="7" customWidth="1"/>
    <col min="15074" max="15074" width="12.7109375" style="7" customWidth="1"/>
    <col min="15075" max="15075" width="11.140625" style="7" customWidth="1"/>
    <col min="15076" max="15076" width="10.85546875" style="7" customWidth="1"/>
    <col min="15077" max="15077" width="11.42578125" style="7" customWidth="1"/>
    <col min="15078" max="15078" width="13.42578125" style="7" customWidth="1"/>
    <col min="15079" max="15079" width="11.140625" style="7" customWidth="1"/>
    <col min="15080" max="15080" width="11.28515625" style="7" bestFit="1" customWidth="1"/>
    <col min="15081" max="15081" width="11.42578125" style="7" customWidth="1"/>
    <col min="15082" max="15082" width="8.85546875" style="7" customWidth="1"/>
    <col min="15083" max="15083" width="9.85546875" style="7" bestFit="1" customWidth="1"/>
    <col min="15084" max="15084" width="8.85546875" style="7"/>
    <col min="15085" max="15085" width="9.42578125" style="7" bestFit="1" customWidth="1"/>
    <col min="15086" max="15326" width="8.85546875" style="7"/>
    <col min="15327" max="15327" width="1.85546875" style="7" customWidth="1"/>
    <col min="15328" max="15328" width="7.28515625" style="7" customWidth="1"/>
    <col min="15329" max="15329" width="9.85546875" style="7" customWidth="1"/>
    <col min="15330" max="15330" width="12.7109375" style="7" customWidth="1"/>
    <col min="15331" max="15331" width="11.140625" style="7" customWidth="1"/>
    <col min="15332" max="15332" width="10.85546875" style="7" customWidth="1"/>
    <col min="15333" max="15333" width="11.42578125" style="7" customWidth="1"/>
    <col min="15334" max="15334" width="13.42578125" style="7" customWidth="1"/>
    <col min="15335" max="15335" width="11.140625" style="7" customWidth="1"/>
    <col min="15336" max="15336" width="11.28515625" style="7" bestFit="1" customWidth="1"/>
    <col min="15337" max="15337" width="11.42578125" style="7" customWidth="1"/>
    <col min="15338" max="15338" width="8.85546875" style="7" customWidth="1"/>
    <col min="15339" max="15339" width="9.85546875" style="7" bestFit="1" customWidth="1"/>
    <col min="15340" max="15340" width="8.85546875" style="7"/>
    <col min="15341" max="15341" width="9.42578125" style="7" bestFit="1" customWidth="1"/>
    <col min="15342" max="15582" width="8.85546875" style="7"/>
    <col min="15583" max="15583" width="1.85546875" style="7" customWidth="1"/>
    <col min="15584" max="15584" width="7.28515625" style="7" customWidth="1"/>
    <col min="15585" max="15585" width="9.85546875" style="7" customWidth="1"/>
    <col min="15586" max="15586" width="12.7109375" style="7" customWidth="1"/>
    <col min="15587" max="15587" width="11.140625" style="7" customWidth="1"/>
    <col min="15588" max="15588" width="10.85546875" style="7" customWidth="1"/>
    <col min="15589" max="15589" width="11.42578125" style="7" customWidth="1"/>
    <col min="15590" max="15590" width="13.42578125" style="7" customWidth="1"/>
    <col min="15591" max="15591" width="11.140625" style="7" customWidth="1"/>
    <col min="15592" max="15592" width="11.28515625" style="7" bestFit="1" customWidth="1"/>
    <col min="15593" max="15593" width="11.42578125" style="7" customWidth="1"/>
    <col min="15594" max="15594" width="8.85546875" style="7" customWidth="1"/>
    <col min="15595" max="15595" width="9.85546875" style="7" bestFit="1" customWidth="1"/>
    <col min="15596" max="15596" width="8.85546875" style="7"/>
    <col min="15597" max="15597" width="9.42578125" style="7" bestFit="1" customWidth="1"/>
    <col min="15598" max="15838" width="8.85546875" style="7"/>
    <col min="15839" max="15839" width="1.85546875" style="7" customWidth="1"/>
    <col min="15840" max="15840" width="7.28515625" style="7" customWidth="1"/>
    <col min="15841" max="15841" width="9.85546875" style="7" customWidth="1"/>
    <col min="15842" max="15842" width="12.7109375" style="7" customWidth="1"/>
    <col min="15843" max="15843" width="11.140625" style="7" customWidth="1"/>
    <col min="15844" max="15844" width="10.85546875" style="7" customWidth="1"/>
    <col min="15845" max="15845" width="11.42578125" style="7" customWidth="1"/>
    <col min="15846" max="15846" width="13.42578125" style="7" customWidth="1"/>
    <col min="15847" max="15847" width="11.140625" style="7" customWidth="1"/>
    <col min="15848" max="15848" width="11.28515625" style="7" bestFit="1" customWidth="1"/>
    <col min="15849" max="15849" width="11.42578125" style="7" customWidth="1"/>
    <col min="15850" max="15850" width="8.85546875" style="7" customWidth="1"/>
    <col min="15851" max="15851" width="9.85546875" style="7" bestFit="1" customWidth="1"/>
    <col min="15852" max="15852" width="8.85546875" style="7"/>
    <col min="15853" max="15853" width="9.42578125" style="7" bestFit="1" customWidth="1"/>
    <col min="15854" max="16094" width="8.85546875" style="7"/>
    <col min="16095" max="16095" width="1.85546875" style="7" customWidth="1"/>
    <col min="16096" max="16096" width="7.28515625" style="7" customWidth="1"/>
    <col min="16097" max="16097" width="9.85546875" style="7" customWidth="1"/>
    <col min="16098" max="16098" width="12.7109375" style="7" customWidth="1"/>
    <col min="16099" max="16099" width="11.140625" style="7" customWidth="1"/>
    <col min="16100" max="16100" width="10.85546875" style="7" customWidth="1"/>
    <col min="16101" max="16101" width="11.42578125" style="7" customWidth="1"/>
    <col min="16102" max="16102" width="13.42578125" style="7" customWidth="1"/>
    <col min="16103" max="16103" width="11.140625" style="7" customWidth="1"/>
    <col min="16104" max="16104" width="11.28515625" style="7" bestFit="1" customWidth="1"/>
    <col min="16105" max="16105" width="11.42578125" style="7" customWidth="1"/>
    <col min="16106" max="16106" width="8.85546875" style="7" customWidth="1"/>
    <col min="16107" max="16107" width="9.85546875" style="7" bestFit="1" customWidth="1"/>
    <col min="16108" max="16108" width="8.85546875" style="7"/>
    <col min="16109" max="16109" width="9.42578125" style="7" bestFit="1" customWidth="1"/>
    <col min="16110" max="16384" width="8.85546875" style="7"/>
  </cols>
  <sheetData>
    <row r="1" spans="1:5" ht="15" customHeight="1" thickBot="1" x14ac:dyDescent="0.3">
      <c r="A1" s="335" t="s">
        <v>250</v>
      </c>
      <c r="B1" s="336"/>
      <c r="C1" s="336"/>
      <c r="D1" s="337"/>
    </row>
    <row r="2" spans="1:5" ht="15" customHeight="1" x14ac:dyDescent="0.25">
      <c r="A2" s="338" t="s">
        <v>251</v>
      </c>
      <c r="B2" s="338"/>
      <c r="C2" s="338"/>
      <c r="D2" s="338"/>
    </row>
    <row r="3" spans="1:5" ht="15" customHeight="1" x14ac:dyDescent="0.25">
      <c r="A3" s="338" t="s">
        <v>252</v>
      </c>
      <c r="B3" s="338"/>
      <c r="C3" s="338"/>
      <c r="D3" s="338"/>
    </row>
    <row r="4" spans="1:5" ht="15" customHeight="1" thickBot="1" x14ac:dyDescent="0.3">
      <c r="A4" s="339"/>
      <c r="B4" s="339"/>
      <c r="C4" s="339"/>
      <c r="D4" s="339"/>
    </row>
    <row r="5" spans="1:5" ht="15" customHeight="1" thickBot="1" x14ac:dyDescent="0.3">
      <c r="A5" s="335" t="s">
        <v>253</v>
      </c>
      <c r="B5" s="336"/>
      <c r="C5" s="336"/>
      <c r="D5" s="337"/>
    </row>
    <row r="6" spans="1:5" ht="15" customHeight="1" thickBot="1" x14ac:dyDescent="0.3">
      <c r="A6" s="343" t="s">
        <v>254</v>
      </c>
      <c r="B6" s="344"/>
      <c r="C6" s="345"/>
      <c r="D6" s="346"/>
    </row>
    <row r="7" spans="1:5" ht="15" customHeight="1" x14ac:dyDescent="0.25">
      <c r="A7" s="50" t="s">
        <v>255</v>
      </c>
      <c r="B7" s="51" t="s">
        <v>256</v>
      </c>
      <c r="C7" s="347" t="s">
        <v>257</v>
      </c>
      <c r="D7" s="348"/>
    </row>
    <row r="8" spans="1:5" ht="15" customHeight="1" x14ac:dyDescent="0.25">
      <c r="A8" s="52" t="s">
        <v>258</v>
      </c>
      <c r="B8" s="53" t="s">
        <v>259</v>
      </c>
      <c r="C8" s="349"/>
      <c r="D8" s="350"/>
    </row>
    <row r="9" spans="1:5" ht="15" customHeight="1" x14ac:dyDescent="0.25">
      <c r="A9" s="52" t="s">
        <v>260</v>
      </c>
      <c r="B9" s="53" t="s">
        <v>261</v>
      </c>
      <c r="C9" s="349"/>
      <c r="D9" s="350"/>
    </row>
    <row r="10" spans="1:5" ht="15" customHeight="1" thickBot="1" x14ac:dyDescent="0.3">
      <c r="A10" s="54" t="s">
        <v>262</v>
      </c>
      <c r="B10" s="55" t="s">
        <v>263</v>
      </c>
      <c r="C10" s="351"/>
      <c r="D10" s="352"/>
    </row>
    <row r="11" spans="1:5" ht="15" customHeight="1" thickBot="1" x14ac:dyDescent="0.3">
      <c r="A11" s="56"/>
      <c r="B11" s="57"/>
      <c r="D11" s="59"/>
    </row>
    <row r="12" spans="1:5" ht="15" customHeight="1" thickBot="1" x14ac:dyDescent="0.3">
      <c r="A12" s="343" t="s">
        <v>264</v>
      </c>
      <c r="B12" s="344"/>
      <c r="C12" s="344"/>
      <c r="D12" s="353"/>
    </row>
    <row r="13" spans="1:5" ht="15" customHeight="1" x14ac:dyDescent="0.25">
      <c r="A13" s="50" t="s">
        <v>265</v>
      </c>
      <c r="B13" s="51" t="s">
        <v>266</v>
      </c>
      <c r="C13" s="340"/>
      <c r="D13" s="341"/>
    </row>
    <row r="14" spans="1:5" ht="15" customHeight="1" x14ac:dyDescent="0.25">
      <c r="A14" s="52" t="s">
        <v>267</v>
      </c>
      <c r="B14" s="342" t="s">
        <v>268</v>
      </c>
      <c r="C14" s="342"/>
      <c r="D14" s="60" t="s">
        <v>269</v>
      </c>
    </row>
    <row r="15" spans="1:5" ht="15" customHeight="1" x14ac:dyDescent="0.25">
      <c r="A15" s="52" t="s">
        <v>270</v>
      </c>
      <c r="B15" s="53" t="s">
        <v>271</v>
      </c>
      <c r="C15" s="61" t="s">
        <v>272</v>
      </c>
      <c r="D15" s="60" t="s">
        <v>468</v>
      </c>
      <c r="E15" s="62"/>
    </row>
    <row r="16" spans="1:5" ht="28.5" x14ac:dyDescent="0.25">
      <c r="A16" s="52" t="s">
        <v>273</v>
      </c>
      <c r="B16" s="342" t="s">
        <v>274</v>
      </c>
      <c r="C16" s="342"/>
      <c r="D16" s="63" t="s">
        <v>419</v>
      </c>
    </row>
    <row r="17" spans="1:5" ht="15" customHeight="1" x14ac:dyDescent="0.25">
      <c r="A17" s="52" t="s">
        <v>275</v>
      </c>
      <c r="B17" s="342" t="s">
        <v>276</v>
      </c>
      <c r="C17" s="342"/>
      <c r="D17" s="60" t="s">
        <v>277</v>
      </c>
    </row>
    <row r="18" spans="1:5" ht="15" customHeight="1" thickBot="1" x14ac:dyDescent="0.3">
      <c r="A18" s="54" t="s">
        <v>278</v>
      </c>
      <c r="B18" s="64" t="s">
        <v>279</v>
      </c>
      <c r="C18" s="65" t="s">
        <v>280</v>
      </c>
      <c r="D18" s="66">
        <v>1302</v>
      </c>
    </row>
    <row r="19" spans="1:5" ht="15" customHeight="1" thickBot="1" x14ac:dyDescent="0.3">
      <c r="D19" s="68"/>
    </row>
    <row r="20" spans="1:5" ht="15" customHeight="1" thickBot="1" x14ac:dyDescent="0.3">
      <c r="A20" s="323" t="s">
        <v>281</v>
      </c>
      <c r="B20" s="324"/>
      <c r="C20" s="324"/>
      <c r="D20" s="325"/>
      <c r="E20" s="69" t="s">
        <v>235</v>
      </c>
    </row>
    <row r="21" spans="1:5" ht="30" x14ac:dyDescent="0.25">
      <c r="A21" s="50" t="s">
        <v>282</v>
      </c>
      <c r="B21" s="326" t="s">
        <v>283</v>
      </c>
      <c r="C21" s="326"/>
      <c r="D21" s="70" t="s">
        <v>433</v>
      </c>
    </row>
    <row r="22" spans="1:5" ht="15" customHeight="1" x14ac:dyDescent="0.25">
      <c r="A22" s="52" t="s">
        <v>285</v>
      </c>
      <c r="B22" s="327" t="s">
        <v>286</v>
      </c>
      <c r="C22" s="327"/>
      <c r="D22" s="71" t="s">
        <v>434</v>
      </c>
    </row>
    <row r="23" spans="1:5" ht="15" customHeight="1" x14ac:dyDescent="0.25">
      <c r="A23" s="52" t="s">
        <v>288</v>
      </c>
      <c r="B23" s="327" t="s">
        <v>289</v>
      </c>
      <c r="C23" s="327"/>
      <c r="D23" s="72">
        <v>2238.1</v>
      </c>
      <c r="E23" s="73" t="s">
        <v>435</v>
      </c>
    </row>
    <row r="24" spans="1:5" ht="15" customHeight="1" x14ac:dyDescent="0.25">
      <c r="A24" s="52" t="s">
        <v>291</v>
      </c>
      <c r="B24" s="327" t="s">
        <v>292</v>
      </c>
      <c r="C24" s="327"/>
      <c r="D24" s="74" t="s">
        <v>436</v>
      </c>
      <c r="E24" s="73" t="s">
        <v>437</v>
      </c>
    </row>
    <row r="25" spans="1:5" ht="15" customHeight="1" x14ac:dyDescent="0.25">
      <c r="A25" s="52" t="s">
        <v>295</v>
      </c>
      <c r="B25" s="327" t="s">
        <v>296</v>
      </c>
      <c r="C25" s="327"/>
      <c r="D25" s="75">
        <v>44945</v>
      </c>
    </row>
    <row r="26" spans="1:5" ht="15" customHeight="1" x14ac:dyDescent="0.25">
      <c r="A26" s="52" t="s">
        <v>297</v>
      </c>
      <c r="B26" s="327" t="s">
        <v>298</v>
      </c>
      <c r="C26" s="327"/>
      <c r="D26" s="76">
        <v>44927</v>
      </c>
    </row>
    <row r="27" spans="1:5" ht="15" customHeight="1" x14ac:dyDescent="0.25">
      <c r="A27" s="52" t="s">
        <v>299</v>
      </c>
      <c r="B27" s="327" t="s">
        <v>300</v>
      </c>
      <c r="C27" s="328"/>
      <c r="D27" s="76" t="s">
        <v>301</v>
      </c>
      <c r="E27" s="73" t="s">
        <v>438</v>
      </c>
    </row>
    <row r="28" spans="1:5" ht="15" customHeight="1" thickBot="1" x14ac:dyDescent="0.3">
      <c r="A28" s="54" t="s">
        <v>303</v>
      </c>
      <c r="B28" s="329" t="s">
        <v>304</v>
      </c>
      <c r="C28" s="330"/>
      <c r="D28" s="77">
        <v>1</v>
      </c>
      <c r="E28" s="62"/>
    </row>
    <row r="29" spans="1:5" ht="15" customHeight="1" thickBot="1" x14ac:dyDescent="0.3">
      <c r="A29" s="78"/>
      <c r="B29" s="79"/>
      <c r="C29" s="79"/>
      <c r="D29" s="80"/>
    </row>
    <row r="30" spans="1:5" ht="15" customHeight="1" x14ac:dyDescent="0.25">
      <c r="A30" s="302" t="s">
        <v>305</v>
      </c>
      <c r="B30" s="303"/>
      <c r="C30" s="303"/>
      <c r="D30" s="304"/>
    </row>
    <row r="31" spans="1:5" ht="15" customHeight="1" x14ac:dyDescent="0.25">
      <c r="A31" s="315" t="s">
        <v>306</v>
      </c>
      <c r="B31" s="316"/>
      <c r="C31" s="331"/>
      <c r="D31" s="81" t="s">
        <v>307</v>
      </c>
    </row>
    <row r="32" spans="1:5" ht="15" customHeight="1" x14ac:dyDescent="0.25">
      <c r="A32" s="52" t="s">
        <v>308</v>
      </c>
      <c r="B32" s="332" t="s">
        <v>309</v>
      </c>
      <c r="C32" s="332"/>
      <c r="D32" s="82">
        <f>D23</f>
        <v>2238.1</v>
      </c>
      <c r="E32" s="73"/>
    </row>
    <row r="33" spans="1:5" ht="15" customHeight="1" x14ac:dyDescent="0.25">
      <c r="A33" s="52" t="s">
        <v>424</v>
      </c>
      <c r="B33" s="92" t="s">
        <v>425</v>
      </c>
      <c r="C33" s="137">
        <v>0.3</v>
      </c>
      <c r="D33" s="82">
        <f>D32*C33</f>
        <v>671.43</v>
      </c>
      <c r="E33" s="73"/>
    </row>
    <row r="34" spans="1:5" ht="15" customHeight="1" thickBot="1" x14ac:dyDescent="0.3">
      <c r="A34" s="333" t="s">
        <v>310</v>
      </c>
      <c r="B34" s="334"/>
      <c r="C34" s="334"/>
      <c r="D34" s="83">
        <f>SUM(D32:D33)</f>
        <v>2909.5299999999997</v>
      </c>
      <c r="E34" s="84"/>
    </row>
    <row r="35" spans="1:5" ht="15" customHeight="1" thickBot="1" x14ac:dyDescent="0.3">
      <c r="A35" s="67"/>
      <c r="C35" s="67"/>
      <c r="D35" s="67"/>
    </row>
    <row r="36" spans="1:5" ht="15" customHeight="1" x14ac:dyDescent="0.25">
      <c r="A36" s="302" t="s">
        <v>311</v>
      </c>
      <c r="B36" s="303"/>
      <c r="C36" s="303"/>
      <c r="D36" s="304"/>
    </row>
    <row r="37" spans="1:5" ht="15" customHeight="1" x14ac:dyDescent="0.25">
      <c r="A37" s="305" t="s">
        <v>312</v>
      </c>
      <c r="B37" s="306"/>
      <c r="C37" s="85" t="s">
        <v>313</v>
      </c>
      <c r="D37" s="86" t="s">
        <v>314</v>
      </c>
    </row>
    <row r="38" spans="1:5" ht="15" customHeight="1" x14ac:dyDescent="0.25">
      <c r="A38" s="52" t="s">
        <v>308</v>
      </c>
      <c r="B38" s="87" t="s">
        <v>315</v>
      </c>
      <c r="C38" s="88">
        <v>8.3299999999999999E-2</v>
      </c>
      <c r="D38" s="89">
        <f>(D34)*($C$38)</f>
        <v>242.36384899999999</v>
      </c>
      <c r="E38" s="49" t="s">
        <v>316</v>
      </c>
    </row>
    <row r="39" spans="1:5" ht="28.5" customHeight="1" x14ac:dyDescent="0.25">
      <c r="A39" s="52" t="s">
        <v>317</v>
      </c>
      <c r="B39" s="87" t="s">
        <v>318</v>
      </c>
      <c r="C39" s="88">
        <v>0.121</v>
      </c>
      <c r="D39" s="89">
        <f>(D34)*($C$39)</f>
        <v>352.05312999999995</v>
      </c>
      <c r="E39" s="84" t="s">
        <v>319</v>
      </c>
    </row>
    <row r="40" spans="1:5" ht="15" customHeight="1" x14ac:dyDescent="0.25">
      <c r="A40" s="321" t="s">
        <v>320</v>
      </c>
      <c r="B40" s="322"/>
      <c r="C40" s="90">
        <f>SUM(C38:C39)</f>
        <v>0.20429999999999998</v>
      </c>
      <c r="D40" s="91">
        <f>SUM(D38:D39)</f>
        <v>594.41697899999997</v>
      </c>
    </row>
    <row r="41" spans="1:5" ht="15" customHeight="1" x14ac:dyDescent="0.25">
      <c r="A41" s="305" t="s">
        <v>321</v>
      </c>
      <c r="B41" s="306"/>
      <c r="C41" s="85" t="s">
        <v>313</v>
      </c>
      <c r="D41" s="81" t="s">
        <v>314</v>
      </c>
    </row>
    <row r="42" spans="1:5" ht="15" customHeight="1" x14ac:dyDescent="0.25">
      <c r="A42" s="52" t="s">
        <v>308</v>
      </c>
      <c r="B42" s="92" t="s">
        <v>322</v>
      </c>
      <c r="C42" s="88">
        <v>0.2</v>
      </c>
      <c r="D42" s="89">
        <f t="shared" ref="D42:D49" si="0">($D$34+$D$40)*(C42)</f>
        <v>700.78939579999997</v>
      </c>
    </row>
    <row r="43" spans="1:5" ht="15" customHeight="1" x14ac:dyDescent="0.25">
      <c r="A43" s="52" t="s">
        <v>317</v>
      </c>
      <c r="B43" s="92" t="s">
        <v>323</v>
      </c>
      <c r="C43" s="88">
        <v>2.5000000000000001E-2</v>
      </c>
      <c r="D43" s="89">
        <f t="shared" si="0"/>
        <v>87.598674474999996</v>
      </c>
    </row>
    <row r="44" spans="1:5" ht="31.5" customHeight="1" x14ac:dyDescent="0.25">
      <c r="A44" s="52" t="s">
        <v>324</v>
      </c>
      <c r="B44" s="92" t="s">
        <v>325</v>
      </c>
      <c r="C44" s="88">
        <v>0.06</v>
      </c>
      <c r="D44" s="89">
        <f t="shared" si="0"/>
        <v>210.23681873999999</v>
      </c>
      <c r="E44" s="49" t="s">
        <v>326</v>
      </c>
    </row>
    <row r="45" spans="1:5" ht="15" customHeight="1" x14ac:dyDescent="0.25">
      <c r="A45" s="52" t="s">
        <v>327</v>
      </c>
      <c r="B45" s="92" t="s">
        <v>328</v>
      </c>
      <c r="C45" s="88">
        <v>1.4999999999999999E-2</v>
      </c>
      <c r="D45" s="89">
        <f t="shared" si="0"/>
        <v>52.559204684999997</v>
      </c>
    </row>
    <row r="46" spans="1:5" ht="15" customHeight="1" x14ac:dyDescent="0.25">
      <c r="A46" s="52" t="s">
        <v>329</v>
      </c>
      <c r="B46" s="92" t="s">
        <v>330</v>
      </c>
      <c r="C46" s="88">
        <v>0.01</v>
      </c>
      <c r="D46" s="89">
        <f t="shared" si="0"/>
        <v>35.039469789999998</v>
      </c>
    </row>
    <row r="47" spans="1:5" ht="15" customHeight="1" x14ac:dyDescent="0.25">
      <c r="A47" s="52" t="s">
        <v>331</v>
      </c>
      <c r="B47" s="93" t="s">
        <v>332</v>
      </c>
      <c r="C47" s="88">
        <v>6.0000000000000001E-3</v>
      </c>
      <c r="D47" s="89">
        <f t="shared" si="0"/>
        <v>21.023681874000001</v>
      </c>
    </row>
    <row r="48" spans="1:5" ht="15" customHeight="1" x14ac:dyDescent="0.25">
      <c r="A48" s="52" t="s">
        <v>333</v>
      </c>
      <c r="B48" s="92" t="s">
        <v>334</v>
      </c>
      <c r="C48" s="88">
        <v>2E-3</v>
      </c>
      <c r="D48" s="89">
        <f t="shared" si="0"/>
        <v>7.0078939579999995</v>
      </c>
    </row>
    <row r="49" spans="1:5" ht="15" customHeight="1" x14ac:dyDescent="0.25">
      <c r="A49" s="52" t="s">
        <v>335</v>
      </c>
      <c r="B49" s="92" t="s">
        <v>336</v>
      </c>
      <c r="C49" s="88">
        <v>0.08</v>
      </c>
      <c r="D49" s="89">
        <f t="shared" si="0"/>
        <v>280.31575831999999</v>
      </c>
      <c r="E49" s="84"/>
    </row>
    <row r="50" spans="1:5" ht="15" customHeight="1" x14ac:dyDescent="0.25">
      <c r="A50" s="321" t="s">
        <v>337</v>
      </c>
      <c r="B50" s="322"/>
      <c r="C50" s="90">
        <f>SUM(C42:C49)</f>
        <v>0.39800000000000008</v>
      </c>
      <c r="D50" s="91">
        <f>SUM(D42:D49)</f>
        <v>1394.5708976419999</v>
      </c>
    </row>
    <row r="51" spans="1:5" ht="15" customHeight="1" x14ac:dyDescent="0.25">
      <c r="A51" s="305" t="s">
        <v>338</v>
      </c>
      <c r="B51" s="306"/>
      <c r="C51" s="94" t="s">
        <v>339</v>
      </c>
      <c r="D51" s="81" t="s">
        <v>314</v>
      </c>
    </row>
    <row r="52" spans="1:5" ht="15" customHeight="1" x14ac:dyDescent="0.25">
      <c r="A52" s="52" t="s">
        <v>308</v>
      </c>
      <c r="B52" s="95" t="s">
        <v>340</v>
      </c>
      <c r="C52" s="96">
        <v>11</v>
      </c>
      <c r="D52" s="97">
        <f>IF((C52*22)-(D32*6%)&gt;0,(C52*22)-(D32*6%),0)</f>
        <v>107.714</v>
      </c>
      <c r="E52" s="73" t="s">
        <v>439</v>
      </c>
    </row>
    <row r="53" spans="1:5" ht="15" customHeight="1" x14ac:dyDescent="0.25">
      <c r="A53" s="52" t="s">
        <v>317</v>
      </c>
      <c r="B53" s="95" t="s">
        <v>342</v>
      </c>
      <c r="C53" s="98">
        <v>40.5</v>
      </c>
      <c r="D53" s="89">
        <f>(C53)*22</f>
        <v>891</v>
      </c>
      <c r="E53" s="73" t="s">
        <v>440</v>
      </c>
    </row>
    <row r="54" spans="1:5" ht="15" customHeight="1" x14ac:dyDescent="0.25">
      <c r="A54" s="317" t="s">
        <v>344</v>
      </c>
      <c r="B54" s="318"/>
      <c r="C54" s="99"/>
      <c r="D54" s="91">
        <f>SUM(D52:D53)</f>
        <v>998.71399999999994</v>
      </c>
    </row>
    <row r="55" spans="1:5" ht="15" customHeight="1" x14ac:dyDescent="0.25">
      <c r="A55" s="315" t="s">
        <v>345</v>
      </c>
      <c r="B55" s="316"/>
      <c r="C55" s="85" t="s">
        <v>346</v>
      </c>
      <c r="D55" s="81" t="s">
        <v>314</v>
      </c>
    </row>
    <row r="56" spans="1:5" ht="15" customHeight="1" x14ac:dyDescent="0.25">
      <c r="A56" s="52" t="s">
        <v>308</v>
      </c>
      <c r="B56" s="87" t="s">
        <v>347</v>
      </c>
      <c r="C56" s="100"/>
      <c r="D56" s="101">
        <f>(D34/220)*150%*0.5*C56</f>
        <v>0</v>
      </c>
      <c r="E56" s="49" t="s">
        <v>348</v>
      </c>
    </row>
    <row r="57" spans="1:5" ht="15" customHeight="1" thickBot="1" x14ac:dyDescent="0.3">
      <c r="A57" s="299" t="s">
        <v>349</v>
      </c>
      <c r="B57" s="300"/>
      <c r="C57" s="102"/>
      <c r="D57" s="103">
        <f>SUM(D56)</f>
        <v>0</v>
      </c>
    </row>
    <row r="58" spans="1:5" ht="15" customHeight="1" x14ac:dyDescent="0.25">
      <c r="A58" s="305" t="s">
        <v>350</v>
      </c>
      <c r="B58" s="306"/>
      <c r="C58" s="306"/>
      <c r="D58" s="319"/>
    </row>
    <row r="59" spans="1:5" ht="15" customHeight="1" x14ac:dyDescent="0.2">
      <c r="A59" s="104" t="s">
        <v>351</v>
      </c>
      <c r="B59" s="320" t="s">
        <v>352</v>
      </c>
      <c r="C59" s="320"/>
      <c r="D59" s="82">
        <f>(D40)</f>
        <v>594.41697899999997</v>
      </c>
    </row>
    <row r="60" spans="1:5" ht="15" customHeight="1" x14ac:dyDescent="0.2">
      <c r="A60" s="104" t="s">
        <v>353</v>
      </c>
      <c r="B60" s="320" t="s">
        <v>354</v>
      </c>
      <c r="C60" s="320"/>
      <c r="D60" s="82">
        <f>(D50)</f>
        <v>1394.5708976419999</v>
      </c>
    </row>
    <row r="61" spans="1:5" ht="15" customHeight="1" x14ac:dyDescent="0.2">
      <c r="A61" s="104" t="s">
        <v>355</v>
      </c>
      <c r="B61" s="320" t="s">
        <v>356</v>
      </c>
      <c r="C61" s="320"/>
      <c r="D61" s="82">
        <f>(D54)</f>
        <v>998.71399999999994</v>
      </c>
    </row>
    <row r="62" spans="1:5" ht="15" customHeight="1" x14ac:dyDescent="0.2">
      <c r="A62" s="104" t="s">
        <v>357</v>
      </c>
      <c r="B62" s="307" t="s">
        <v>358</v>
      </c>
      <c r="C62" s="308"/>
      <c r="D62" s="82">
        <f>D57</f>
        <v>0</v>
      </c>
    </row>
    <row r="63" spans="1:5" ht="15" customHeight="1" thickBot="1" x14ac:dyDescent="0.3">
      <c r="A63" s="299" t="s">
        <v>359</v>
      </c>
      <c r="B63" s="300"/>
      <c r="C63" s="300"/>
      <c r="D63" s="83">
        <f>SUM(D59:D62)</f>
        <v>2987.7018766419997</v>
      </c>
    </row>
    <row r="64" spans="1:5" ht="15" customHeight="1" thickBot="1" x14ac:dyDescent="0.3">
      <c r="A64" s="105"/>
      <c r="B64" s="105"/>
      <c r="C64" s="105"/>
      <c r="D64" s="105"/>
    </row>
    <row r="65" spans="1:5" ht="15" customHeight="1" x14ac:dyDescent="0.25">
      <c r="A65" s="302" t="s">
        <v>360</v>
      </c>
      <c r="B65" s="303"/>
      <c r="C65" s="303"/>
      <c r="D65" s="304"/>
    </row>
    <row r="66" spans="1:5" ht="15" customHeight="1" x14ac:dyDescent="0.25">
      <c r="A66" s="305" t="s">
        <v>361</v>
      </c>
      <c r="B66" s="306"/>
      <c r="C66" s="85" t="s">
        <v>313</v>
      </c>
      <c r="D66" s="81" t="s">
        <v>314</v>
      </c>
    </row>
    <row r="67" spans="1:5" ht="15" customHeight="1" x14ac:dyDescent="0.25">
      <c r="A67" s="52" t="s">
        <v>308</v>
      </c>
      <c r="B67" s="106" t="s">
        <v>362</v>
      </c>
      <c r="C67" s="107">
        <v>4.1999999999999997E-3</v>
      </c>
      <c r="D67" s="101">
        <f t="shared" ref="D67:D72" si="1">($D$34)*(C67)</f>
        <v>12.220025999999999</v>
      </c>
    </row>
    <row r="68" spans="1:5" ht="28.5" x14ac:dyDescent="0.25">
      <c r="A68" s="52" t="s">
        <v>317</v>
      </c>
      <c r="B68" s="106" t="s">
        <v>363</v>
      </c>
      <c r="C68" s="108">
        <f>($C$49)*(C67)</f>
        <v>3.3599999999999998E-4</v>
      </c>
      <c r="D68" s="101">
        <f t="shared" si="1"/>
        <v>0.97760207999999982</v>
      </c>
    </row>
    <row r="69" spans="1:5" ht="28.5" x14ac:dyDescent="0.25">
      <c r="A69" s="52" t="s">
        <v>324</v>
      </c>
      <c r="B69" s="106" t="s">
        <v>364</v>
      </c>
      <c r="C69" s="108">
        <v>3.9199999999999999E-2</v>
      </c>
      <c r="D69" s="101">
        <f t="shared" si="1"/>
        <v>114.05357599999999</v>
      </c>
    </row>
    <row r="70" spans="1:5" ht="28.5" x14ac:dyDescent="0.25">
      <c r="A70" s="52" t="s">
        <v>327</v>
      </c>
      <c r="B70" s="106" t="s">
        <v>365</v>
      </c>
      <c r="C70" s="108">
        <v>1.9400000000000001E-2</v>
      </c>
      <c r="D70" s="101">
        <f t="shared" si="1"/>
        <v>56.444882</v>
      </c>
    </row>
    <row r="71" spans="1:5" x14ac:dyDescent="0.25">
      <c r="A71" s="52" t="s">
        <v>329</v>
      </c>
      <c r="B71" s="106" t="s">
        <v>366</v>
      </c>
      <c r="C71" s="108">
        <f>($C$50)*(C70)</f>
        <v>7.7212000000000018E-3</v>
      </c>
      <c r="D71" s="101">
        <f t="shared" si="1"/>
        <v>22.465063036000004</v>
      </c>
    </row>
    <row r="72" spans="1:5" ht="28.5" x14ac:dyDescent="0.25">
      <c r="A72" s="52" t="s">
        <v>331</v>
      </c>
      <c r="B72" s="106" t="s">
        <v>367</v>
      </c>
      <c r="C72" s="108">
        <v>8.0000000000000004E-4</v>
      </c>
      <c r="D72" s="101">
        <f t="shared" si="1"/>
        <v>2.3276239999999997</v>
      </c>
    </row>
    <row r="73" spans="1:5" ht="15" customHeight="1" thickBot="1" x14ac:dyDescent="0.3">
      <c r="A73" s="299" t="s">
        <v>368</v>
      </c>
      <c r="B73" s="300"/>
      <c r="C73" s="109">
        <f>SUM(C67:C72)</f>
        <v>7.165719999999999E-2</v>
      </c>
      <c r="D73" s="83">
        <f>SUM(D67:D72)</f>
        <v>208.48877311599998</v>
      </c>
    </row>
    <row r="74" spans="1:5" ht="15" customHeight="1" thickBot="1" x14ac:dyDescent="0.3">
      <c r="A74" s="105"/>
      <c r="B74" s="110"/>
      <c r="C74" s="110"/>
      <c r="D74" s="110"/>
    </row>
    <row r="75" spans="1:5" ht="15" customHeight="1" x14ac:dyDescent="0.25">
      <c r="A75" s="302" t="s">
        <v>369</v>
      </c>
      <c r="B75" s="303"/>
      <c r="C75" s="303"/>
      <c r="D75" s="304"/>
    </row>
    <row r="76" spans="1:5" ht="15" customHeight="1" x14ac:dyDescent="0.25">
      <c r="A76" s="315" t="s">
        <v>370</v>
      </c>
      <c r="B76" s="316"/>
      <c r="C76" s="85" t="s">
        <v>313</v>
      </c>
      <c r="D76" s="81" t="s">
        <v>314</v>
      </c>
    </row>
    <row r="77" spans="1:5" ht="25.5" x14ac:dyDescent="0.25">
      <c r="A77" s="52" t="s">
        <v>308</v>
      </c>
      <c r="B77" s="87" t="s">
        <v>371</v>
      </c>
      <c r="C77" s="108">
        <v>0</v>
      </c>
      <c r="D77" s="101">
        <f>($D$34+$D$40+$D$50+$D$54+$D$73)*(C77)</f>
        <v>0</v>
      </c>
      <c r="E77" s="84" t="s">
        <v>372</v>
      </c>
    </row>
    <row r="78" spans="1:5" ht="15" customHeight="1" x14ac:dyDescent="0.25">
      <c r="A78" s="52" t="s">
        <v>317</v>
      </c>
      <c r="B78" s="87" t="s">
        <v>373</v>
      </c>
      <c r="C78" s="108">
        <v>2.3999999999999998E-3</v>
      </c>
      <c r="D78" s="101">
        <f>($D$34+$D$40+$D$50+$D$54+$D$73)*(C78)</f>
        <v>14.653729559419197</v>
      </c>
    </row>
    <row r="79" spans="1:5" ht="15" customHeight="1" x14ac:dyDescent="0.25">
      <c r="A79" s="52" t="s">
        <v>324</v>
      </c>
      <c r="B79" s="87" t="s">
        <v>374</v>
      </c>
      <c r="C79" s="108">
        <v>1E-3</v>
      </c>
      <c r="D79" s="101">
        <f>($D$34+$D$40+$D$50+$D$54+$D$73)*(C79)</f>
        <v>6.1057206497579992</v>
      </c>
    </row>
    <row r="80" spans="1:5" ht="15" customHeight="1" x14ac:dyDescent="0.25">
      <c r="A80" s="52" t="s">
        <v>327</v>
      </c>
      <c r="B80" s="87" t="s">
        <v>375</v>
      </c>
      <c r="C80" s="108">
        <v>1.6999999999999999E-3</v>
      </c>
      <c r="D80" s="101">
        <f>($D$34+$D$40+$D$50+$D$54+$D$73)*(C80)</f>
        <v>10.379725104588598</v>
      </c>
    </row>
    <row r="81" spans="1:5" ht="15" customHeight="1" x14ac:dyDescent="0.25">
      <c r="A81" s="52" t="s">
        <v>329</v>
      </c>
      <c r="B81" s="106" t="s">
        <v>376</v>
      </c>
      <c r="C81" s="108">
        <v>5.0000000000000001E-4</v>
      </c>
      <c r="D81" s="101">
        <f>($D$34+$D$40+$D$50+$D$54+$D$73)*(C81)</f>
        <v>3.0528603248789996</v>
      </c>
    </row>
    <row r="82" spans="1:5" ht="15" customHeight="1" x14ac:dyDescent="0.25">
      <c r="A82" s="317" t="s">
        <v>377</v>
      </c>
      <c r="B82" s="318"/>
      <c r="C82" s="111">
        <f>SUM(C77:C81)</f>
        <v>5.5999999999999991E-3</v>
      </c>
      <c r="D82" s="112">
        <f>SUM(D77:D81)</f>
        <v>34.192035638644796</v>
      </c>
    </row>
    <row r="83" spans="1:5" ht="15" customHeight="1" x14ac:dyDescent="0.25">
      <c r="A83" s="315" t="s">
        <v>378</v>
      </c>
      <c r="B83" s="316"/>
      <c r="C83" s="85"/>
      <c r="D83" s="81" t="s">
        <v>314</v>
      </c>
    </row>
    <row r="84" spans="1:5" ht="15" customHeight="1" x14ac:dyDescent="0.25">
      <c r="A84" s="52" t="s">
        <v>308</v>
      </c>
      <c r="B84" s="87" t="s">
        <v>379</v>
      </c>
      <c r="C84" s="100"/>
      <c r="D84" s="101">
        <f>(D62/220)*150%*0.5*C84</f>
        <v>0</v>
      </c>
      <c r="E84" s="49" t="s">
        <v>348</v>
      </c>
    </row>
    <row r="85" spans="1:5" ht="15" customHeight="1" thickBot="1" x14ac:dyDescent="0.3">
      <c r="A85" s="299" t="s">
        <v>380</v>
      </c>
      <c r="B85" s="300"/>
      <c r="C85" s="102"/>
      <c r="D85" s="103">
        <f>SUM(D84)</f>
        <v>0</v>
      </c>
    </row>
    <row r="86" spans="1:5" ht="15" customHeight="1" x14ac:dyDescent="0.25">
      <c r="A86" s="294" t="s">
        <v>381</v>
      </c>
      <c r="B86" s="295"/>
      <c r="C86" s="295"/>
      <c r="D86" s="296"/>
    </row>
    <row r="87" spans="1:5" ht="15" customHeight="1" x14ac:dyDescent="0.2">
      <c r="A87" s="104" t="s">
        <v>382</v>
      </c>
      <c r="B87" s="297" t="s">
        <v>383</v>
      </c>
      <c r="C87" s="298"/>
      <c r="D87" s="82">
        <f>(D82)</f>
        <v>34.192035638644796</v>
      </c>
    </row>
    <row r="88" spans="1:5" ht="15" customHeight="1" x14ac:dyDescent="0.2">
      <c r="A88" s="113" t="s">
        <v>384</v>
      </c>
      <c r="B88" s="307" t="s">
        <v>379</v>
      </c>
      <c r="C88" s="308"/>
      <c r="D88" s="101">
        <f>D85</f>
        <v>0</v>
      </c>
    </row>
    <row r="89" spans="1:5" ht="15" customHeight="1" thickBot="1" x14ac:dyDescent="0.3">
      <c r="A89" s="299" t="s">
        <v>385</v>
      </c>
      <c r="B89" s="300"/>
      <c r="C89" s="301"/>
      <c r="D89" s="83">
        <f>SUM(D87:D88)</f>
        <v>34.192035638644796</v>
      </c>
    </row>
    <row r="90" spans="1:5" ht="15" customHeight="1" thickBot="1" x14ac:dyDescent="0.3">
      <c r="A90" s="105"/>
      <c r="B90" s="105"/>
      <c r="C90" s="105"/>
      <c r="D90" s="105"/>
    </row>
    <row r="91" spans="1:5" ht="15" customHeight="1" x14ac:dyDescent="0.25">
      <c r="A91" s="302" t="s">
        <v>386</v>
      </c>
      <c r="B91" s="303"/>
      <c r="C91" s="303"/>
      <c r="D91" s="304"/>
    </row>
    <row r="92" spans="1:5" ht="15" customHeight="1" x14ac:dyDescent="0.25">
      <c r="A92" s="305" t="s">
        <v>387</v>
      </c>
      <c r="B92" s="306"/>
      <c r="C92" s="306"/>
      <c r="D92" s="81" t="s">
        <v>314</v>
      </c>
    </row>
    <row r="93" spans="1:5" ht="15" customHeight="1" x14ac:dyDescent="0.25">
      <c r="A93" s="52" t="s">
        <v>308</v>
      </c>
      <c r="B93" s="114" t="s">
        <v>428</v>
      </c>
      <c r="C93" s="115"/>
      <c r="D93" s="97">
        <v>0</v>
      </c>
      <c r="E93" s="293" t="s">
        <v>389</v>
      </c>
    </row>
    <row r="94" spans="1:5" ht="15" customHeight="1" x14ac:dyDescent="0.25">
      <c r="A94" s="52" t="s">
        <v>317</v>
      </c>
      <c r="B94" s="114" t="s">
        <v>429</v>
      </c>
      <c r="C94" s="115"/>
      <c r="D94" s="89">
        <v>0</v>
      </c>
      <c r="E94" s="293"/>
    </row>
    <row r="95" spans="1:5" ht="15" customHeight="1" x14ac:dyDescent="0.25">
      <c r="A95" s="52" t="s">
        <v>324</v>
      </c>
      <c r="B95" s="114" t="s">
        <v>391</v>
      </c>
      <c r="C95" s="115"/>
      <c r="D95" s="89">
        <f>'ANEXO VI_MATERIAL_FERRAMENTAL'!H68</f>
        <v>106.88</v>
      </c>
      <c r="E95" s="293"/>
    </row>
    <row r="96" spans="1:5" ht="15" customHeight="1" x14ac:dyDescent="0.25">
      <c r="A96" s="52" t="s">
        <v>430</v>
      </c>
      <c r="B96" s="114" t="s">
        <v>139</v>
      </c>
      <c r="C96" s="115"/>
      <c r="D96" s="89">
        <f>'ANEXO VI_MATERIAL_FERRAMENTAL'!H79</f>
        <v>22.060000000000002</v>
      </c>
      <c r="E96" s="293"/>
    </row>
    <row r="97" spans="1:5" ht="15" customHeight="1" thickBot="1" x14ac:dyDescent="0.3">
      <c r="A97" s="299" t="s">
        <v>392</v>
      </c>
      <c r="B97" s="301"/>
      <c r="C97" s="116">
        <f>C93</f>
        <v>0</v>
      </c>
      <c r="D97" s="83">
        <f>SUM(D93:D95)</f>
        <v>106.88</v>
      </c>
    </row>
    <row r="98" spans="1:5" ht="15" customHeight="1" thickBot="1" x14ac:dyDescent="0.3">
      <c r="A98" s="117"/>
      <c r="B98" s="118"/>
      <c r="C98" s="118"/>
      <c r="D98" s="119"/>
    </row>
    <row r="99" spans="1:5" ht="15" customHeight="1" x14ac:dyDescent="0.25">
      <c r="A99" s="309" t="s">
        <v>393</v>
      </c>
      <c r="B99" s="310"/>
      <c r="C99" s="310"/>
      <c r="D99" s="311"/>
    </row>
    <row r="100" spans="1:5" ht="15" customHeight="1" x14ac:dyDescent="0.25">
      <c r="A100" s="312" t="s">
        <v>394</v>
      </c>
      <c r="B100" s="313"/>
      <c r="C100" s="85" t="s">
        <v>313</v>
      </c>
      <c r="D100" s="120" t="s">
        <v>314</v>
      </c>
    </row>
    <row r="101" spans="1:5" ht="15" customHeight="1" x14ac:dyDescent="0.25">
      <c r="A101" s="52" t="s">
        <v>308</v>
      </c>
      <c r="B101" s="121" t="s">
        <v>395</v>
      </c>
      <c r="C101" s="88">
        <v>0.05</v>
      </c>
      <c r="D101" s="101">
        <f>(D34+D63+D73+D89+D97)*C101</f>
        <v>312.33963426983223</v>
      </c>
      <c r="E101" s="122" t="s">
        <v>396</v>
      </c>
    </row>
    <row r="102" spans="1:5" ht="15" customHeight="1" x14ac:dyDescent="0.25">
      <c r="A102" s="52" t="s">
        <v>317</v>
      </c>
      <c r="B102" s="121" t="s">
        <v>397</v>
      </c>
      <c r="C102" s="88">
        <v>0.1</v>
      </c>
      <c r="D102" s="101">
        <f>(D34+D63+D73+D89+D97+D101)*C102</f>
        <v>655.91323196664769</v>
      </c>
      <c r="E102" s="122" t="s">
        <v>398</v>
      </c>
    </row>
    <row r="103" spans="1:5" ht="15" customHeight="1" x14ac:dyDescent="0.25">
      <c r="A103" s="314" t="s">
        <v>324</v>
      </c>
      <c r="B103" s="93" t="s">
        <v>399</v>
      </c>
      <c r="C103" s="123">
        <f>C104+C105+C108</f>
        <v>0.14250000000000002</v>
      </c>
      <c r="D103" s="124"/>
      <c r="E103" s="125"/>
    </row>
    <row r="104" spans="1:5" ht="15" customHeight="1" x14ac:dyDescent="0.25">
      <c r="A104" s="314"/>
      <c r="B104" s="126" t="s">
        <v>400</v>
      </c>
      <c r="C104" s="88">
        <v>1.6500000000000001E-2</v>
      </c>
      <c r="D104" s="101">
        <f>((D34+D63+D73+D89+D97+D101+D102)/(1-C103))*C104</f>
        <v>138.83178029381523</v>
      </c>
      <c r="E104" s="125" t="s">
        <v>247</v>
      </c>
    </row>
    <row r="105" spans="1:5" ht="15" customHeight="1" x14ac:dyDescent="0.25">
      <c r="A105" s="314"/>
      <c r="B105" s="126" t="s">
        <v>401</v>
      </c>
      <c r="C105" s="88">
        <v>7.5999999999999998E-2</v>
      </c>
      <c r="D105" s="101">
        <f>((D34+D63+D73+D89+D97+D101+D102)/(1-C103))*C105</f>
        <v>639.46759408060348</v>
      </c>
      <c r="E105" s="125" t="s">
        <v>247</v>
      </c>
    </row>
    <row r="106" spans="1:5" ht="15" customHeight="1" x14ac:dyDescent="0.25">
      <c r="A106" s="314"/>
      <c r="B106" s="93" t="s">
        <v>402</v>
      </c>
      <c r="C106" s="127"/>
      <c r="D106" s="101"/>
    </row>
    <row r="107" spans="1:5" ht="15" customHeight="1" x14ac:dyDescent="0.25">
      <c r="A107" s="314"/>
      <c r="B107" s="93" t="s">
        <v>403</v>
      </c>
      <c r="C107" s="127"/>
      <c r="D107" s="101"/>
    </row>
    <row r="108" spans="1:5" ht="15" customHeight="1" x14ac:dyDescent="0.25">
      <c r="A108" s="314"/>
      <c r="B108" s="126" t="s">
        <v>405</v>
      </c>
      <c r="C108" s="88">
        <v>0.05</v>
      </c>
      <c r="D108" s="101">
        <f>((D34+D63+D73+D89+D97+D101+D102)/(1-C103))*C108</f>
        <v>420.70236452671281</v>
      </c>
      <c r="E108" s="49" t="s">
        <v>431</v>
      </c>
    </row>
    <row r="109" spans="1:5" ht="15" customHeight="1" thickBot="1" x14ac:dyDescent="0.3">
      <c r="A109" s="299" t="s">
        <v>406</v>
      </c>
      <c r="B109" s="300"/>
      <c r="C109" s="128">
        <f>C101+C102+C104+C105+C108</f>
        <v>0.29250000000000004</v>
      </c>
      <c r="D109" s="103">
        <f>SUM(D101:D102,D104:D105,D108)</f>
        <v>2167.2546051376116</v>
      </c>
      <c r="E109" s="84">
        <f>D102/(44*4)</f>
        <v>3.7267797270832257</v>
      </c>
    </row>
    <row r="110" spans="1:5" ht="15" customHeight="1" thickBot="1" x14ac:dyDescent="0.3">
      <c r="A110" s="105"/>
      <c r="B110" s="105"/>
      <c r="C110" s="105"/>
      <c r="D110" s="105"/>
      <c r="E110" s="49" t="s">
        <v>432</v>
      </c>
    </row>
    <row r="111" spans="1:5" ht="15" customHeight="1" x14ac:dyDescent="0.25">
      <c r="A111" s="302" t="s">
        <v>408</v>
      </c>
      <c r="B111" s="303"/>
      <c r="C111" s="303"/>
      <c r="D111" s="304"/>
      <c r="E111" s="84">
        <f>E109*48</f>
        <v>178.88542689999483</v>
      </c>
    </row>
    <row r="112" spans="1:5" ht="15" customHeight="1" x14ac:dyDescent="0.25">
      <c r="A112" s="305" t="s">
        <v>409</v>
      </c>
      <c r="B112" s="306"/>
      <c r="C112" s="306"/>
      <c r="D112" s="129" t="s">
        <v>314</v>
      </c>
    </row>
    <row r="113" spans="1:5" ht="15" customHeight="1" x14ac:dyDescent="0.25">
      <c r="A113" s="52" t="s">
        <v>308</v>
      </c>
      <c r="B113" s="287" t="s">
        <v>410</v>
      </c>
      <c r="C113" s="288"/>
      <c r="D113" s="130">
        <f>(D34)</f>
        <v>2909.5299999999997</v>
      </c>
    </row>
    <row r="114" spans="1:5" ht="15" customHeight="1" x14ac:dyDescent="0.25">
      <c r="A114" s="52" t="s">
        <v>317</v>
      </c>
      <c r="B114" s="287" t="s">
        <v>411</v>
      </c>
      <c r="C114" s="288"/>
      <c r="D114" s="101">
        <f>(D63)</f>
        <v>2987.7018766419997</v>
      </c>
    </row>
    <row r="115" spans="1:5" ht="15" customHeight="1" x14ac:dyDescent="0.25">
      <c r="A115" s="52" t="s">
        <v>324</v>
      </c>
      <c r="B115" s="287" t="s">
        <v>412</v>
      </c>
      <c r="C115" s="288"/>
      <c r="D115" s="101">
        <f>(D73)</f>
        <v>208.48877311599998</v>
      </c>
    </row>
    <row r="116" spans="1:5" ht="15" customHeight="1" x14ac:dyDescent="0.25">
      <c r="A116" s="52" t="s">
        <v>327</v>
      </c>
      <c r="B116" s="287" t="s">
        <v>413</v>
      </c>
      <c r="C116" s="288"/>
      <c r="D116" s="101">
        <f>(D89)</f>
        <v>34.192035638644796</v>
      </c>
    </row>
    <row r="117" spans="1:5" ht="15" customHeight="1" x14ac:dyDescent="0.25">
      <c r="A117" s="52" t="s">
        <v>329</v>
      </c>
      <c r="B117" s="287" t="s">
        <v>414</v>
      </c>
      <c r="C117" s="288"/>
      <c r="D117" s="101">
        <f>D97</f>
        <v>106.88</v>
      </c>
    </row>
    <row r="118" spans="1:5" ht="15" customHeight="1" x14ac:dyDescent="0.25">
      <c r="A118" s="289" t="s">
        <v>415</v>
      </c>
      <c r="B118" s="290"/>
      <c r="C118" s="291"/>
      <c r="D118" s="131">
        <f>SUM(D113:D117)</f>
        <v>6246.7926853966437</v>
      </c>
      <c r="E118" s="84"/>
    </row>
    <row r="119" spans="1:5" ht="15" customHeight="1" thickBot="1" x14ac:dyDescent="0.3">
      <c r="A119" s="132" t="s">
        <v>331</v>
      </c>
      <c r="B119" s="292" t="s">
        <v>416</v>
      </c>
      <c r="C119" s="292"/>
      <c r="D119" s="133">
        <f>(D109)</f>
        <v>2167.2546051376116</v>
      </c>
    </row>
    <row r="120" spans="1:5" ht="15" customHeight="1" thickBot="1" x14ac:dyDescent="0.3">
      <c r="A120" s="285" t="s">
        <v>417</v>
      </c>
      <c r="B120" s="286"/>
      <c r="C120" s="286"/>
      <c r="D120" s="134">
        <f>SUM(D118:D119)</f>
        <v>8414.0472905342558</v>
      </c>
    </row>
    <row r="121" spans="1:5" ht="15" customHeight="1" thickBot="1" x14ac:dyDescent="0.3">
      <c r="A121" s="285" t="s">
        <v>418</v>
      </c>
      <c r="B121" s="286"/>
      <c r="C121" s="286"/>
      <c r="D121" s="134">
        <f>D120/(44*4)</f>
        <v>47.807086878035541</v>
      </c>
    </row>
    <row r="122" spans="1:5" ht="15" customHeight="1" x14ac:dyDescent="0.25">
      <c r="D122" s="68"/>
    </row>
    <row r="123" spans="1:5" ht="15" customHeight="1" x14ac:dyDescent="0.25">
      <c r="D123" s="68"/>
    </row>
    <row r="124" spans="1:5" ht="15" customHeight="1" x14ac:dyDescent="0.25">
      <c r="D124" s="68"/>
    </row>
    <row r="125" spans="1:5" ht="15" customHeight="1" x14ac:dyDescent="0.25">
      <c r="C125" s="135"/>
    </row>
  </sheetData>
  <mergeCells count="74">
    <mergeCell ref="A121:C121"/>
    <mergeCell ref="A1:D1"/>
    <mergeCell ref="A2:D2"/>
    <mergeCell ref="A3:D3"/>
    <mergeCell ref="A4:D4"/>
    <mergeCell ref="A5:D5"/>
    <mergeCell ref="C13:D13"/>
    <mergeCell ref="B14:C14"/>
    <mergeCell ref="B16:C16"/>
    <mergeCell ref="B17:C17"/>
    <mergeCell ref="A6:D6"/>
    <mergeCell ref="C7:D7"/>
    <mergeCell ref="C8:D8"/>
    <mergeCell ref="C9:D9"/>
    <mergeCell ref="C10:D10"/>
    <mergeCell ref="A12:D12"/>
    <mergeCell ref="A20:D20"/>
    <mergeCell ref="B21:C21"/>
    <mergeCell ref="A37:B37"/>
    <mergeCell ref="B23:C23"/>
    <mergeCell ref="B24:C24"/>
    <mergeCell ref="B25:C25"/>
    <mergeCell ref="B26:C26"/>
    <mergeCell ref="B27:C27"/>
    <mergeCell ref="B28:C28"/>
    <mergeCell ref="A30:D30"/>
    <mergeCell ref="B22:C22"/>
    <mergeCell ref="A31:C31"/>
    <mergeCell ref="B32:C32"/>
    <mergeCell ref="A34:C34"/>
    <mergeCell ref="A36:D36"/>
    <mergeCell ref="A40:B40"/>
    <mergeCell ref="A41:B41"/>
    <mergeCell ref="A50:B50"/>
    <mergeCell ref="A51:B51"/>
    <mergeCell ref="A54:B54"/>
    <mergeCell ref="A76:B76"/>
    <mergeCell ref="A82:B82"/>
    <mergeCell ref="A83:B83"/>
    <mergeCell ref="A85:B85"/>
    <mergeCell ref="A55:B55"/>
    <mergeCell ref="A57:B57"/>
    <mergeCell ref="A58:D58"/>
    <mergeCell ref="B59:C59"/>
    <mergeCell ref="B60:C60"/>
    <mergeCell ref="B61:C61"/>
    <mergeCell ref="A63:C63"/>
    <mergeCell ref="A65:D65"/>
    <mergeCell ref="A66:B66"/>
    <mergeCell ref="A73:B73"/>
    <mergeCell ref="A75:D75"/>
    <mergeCell ref="B62:C62"/>
    <mergeCell ref="A86:D86"/>
    <mergeCell ref="B87:C87"/>
    <mergeCell ref="B113:C113"/>
    <mergeCell ref="A89:C89"/>
    <mergeCell ref="A91:D91"/>
    <mergeCell ref="A92:C92"/>
    <mergeCell ref="A111:D111"/>
    <mergeCell ref="A112:C112"/>
    <mergeCell ref="B88:C88"/>
    <mergeCell ref="A97:B97"/>
    <mergeCell ref="A99:D99"/>
    <mergeCell ref="A100:B100"/>
    <mergeCell ref="A103:A108"/>
    <mergeCell ref="E93:E96"/>
    <mergeCell ref="A120:C120"/>
    <mergeCell ref="B114:C114"/>
    <mergeCell ref="B115:C115"/>
    <mergeCell ref="B116:C116"/>
    <mergeCell ref="B117:C117"/>
    <mergeCell ref="A118:C118"/>
    <mergeCell ref="B119:C119"/>
    <mergeCell ref="A109:B109"/>
  </mergeCells>
  <printOptions horizontalCentered="1" verticalCentered="1"/>
  <pageMargins left="7.874015748031496E-2" right="7.874015748031496E-2" top="7.874015748031496E-2" bottom="7.874015748031496E-2" header="0.31496062992125984" footer="0.31496062992125984"/>
  <pageSetup paperSize="8" scale="6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</vt:i4>
      </vt:variant>
    </vt:vector>
  </HeadingPairs>
  <TitlesOfParts>
    <vt:vector size="13" baseType="lpstr">
      <vt:lpstr>ANEXO IV - CUSTO TOTAL</vt:lpstr>
      <vt:lpstr>ANEXO V_MÃO_DE_OBRA </vt:lpstr>
      <vt:lpstr>ANEXO VI_MATERIAL_FERRAMENTAL</vt:lpstr>
      <vt:lpstr>ANEXO VII_SERVIÇOS_ESPECIALIZAD</vt:lpstr>
      <vt:lpstr>ANEXO VIII_PEÇAS_COMPONENTES</vt:lpstr>
      <vt:lpstr>ANEXO IX_CÁLCULO_BDI</vt:lpstr>
      <vt:lpstr>ANEXO X_TÉC. REGRIGERAÇÃO</vt:lpstr>
      <vt:lpstr>ANEXO XI_SUPERV. ENG. MECÂNICO</vt:lpstr>
      <vt:lpstr>ANEXO XII_TÉC. ELETRICISTA</vt:lpstr>
      <vt:lpstr>ANEXO XIII_AJUDANTE</vt:lpstr>
      <vt:lpstr>ANEXO XIV_CURVA ABC-SERVIÇOS</vt:lpstr>
      <vt:lpstr>ANEXO XV_CURVA ABC-PEÇAS</vt:lpstr>
      <vt:lpstr>'ANEXO XI_SUPERV. ENG. MECÂNICO'!Area_de_impressao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Leonidas CGU</dc:creator>
  <cp:keywords/>
  <dc:description/>
  <cp:lastModifiedBy>Leonidas Barbosa da Silva Junior</cp:lastModifiedBy>
  <cp:revision/>
  <cp:lastPrinted>2023-04-28T17:32:52Z</cp:lastPrinted>
  <dcterms:created xsi:type="dcterms:W3CDTF">2015-06-05T18:19:34Z</dcterms:created>
  <dcterms:modified xsi:type="dcterms:W3CDTF">2023-05-03T16:25:14Z</dcterms:modified>
  <cp:category/>
  <cp:contentStatus/>
</cp:coreProperties>
</file>