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8D39C969-1F5A-4597-B76E-7DB2F2A64A1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6" sheetId="1" r:id="rId1"/>
  </sheets>
  <externalReferences>
    <externalReference r:id="rId2"/>
  </externalReferences>
  <definedNames>
    <definedName name="_Fill">#REF!</definedName>
    <definedName name="_xlnm.Print_Area" localSheetId="0">'T1.26'!$A$1:$L$38</definedName>
    <definedName name="Excel_BuiltIn__FilterDatabase" localSheetId="0">[1]T3!$A$3:$L$6</definedName>
    <definedName name="_xlnm.Print_Titles" localSheetId="0">'T1.26'!$A:$A</definedName>
    <definedName name="Títulos_impressão_IM" localSheetId="0">[1]T3!$A:$A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G34" i="1"/>
  <c r="F34" i="1"/>
  <c r="B34" i="1"/>
  <c r="K33" i="1"/>
  <c r="J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0" i="1"/>
  <c r="J30" i="1"/>
  <c r="H30" i="1"/>
  <c r="G30" i="1"/>
  <c r="F30" i="1"/>
  <c r="E30" i="1"/>
  <c r="D30" i="1"/>
  <c r="B30" i="1"/>
  <c r="J29" i="1"/>
  <c r="L28" i="1"/>
  <c r="B28" i="1"/>
  <c r="K27" i="1"/>
  <c r="J27" i="1"/>
  <c r="I27" i="1"/>
  <c r="H27" i="1"/>
  <c r="G27" i="1"/>
  <c r="F27" i="1"/>
  <c r="E27" i="1"/>
  <c r="D27" i="1"/>
  <c r="C27" i="1"/>
  <c r="B27" i="1"/>
  <c r="K25" i="1"/>
  <c r="J25" i="1"/>
  <c r="H25" i="1"/>
  <c r="G25" i="1"/>
  <c r="F25" i="1"/>
  <c r="D25" i="1"/>
  <c r="C25" i="1"/>
  <c r="B25" i="1"/>
  <c r="K24" i="1"/>
  <c r="J24" i="1"/>
  <c r="H24" i="1"/>
  <c r="G24" i="1"/>
  <c r="F24" i="1"/>
  <c r="E24" i="1"/>
  <c r="D24" i="1"/>
  <c r="C24" i="1"/>
  <c r="B24" i="1"/>
  <c r="L23" i="1"/>
  <c r="B23" i="1"/>
  <c r="K22" i="1"/>
  <c r="F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19" i="1"/>
  <c r="J19" i="1"/>
  <c r="G19" i="1"/>
  <c r="F19" i="1"/>
  <c r="E19" i="1"/>
  <c r="D19" i="1"/>
  <c r="C19" i="1"/>
  <c r="B19" i="1"/>
  <c r="J18" i="1"/>
  <c r="G18" i="1"/>
  <c r="F18" i="1"/>
  <c r="E18" i="1"/>
  <c r="C18" i="1"/>
  <c r="B18" i="1"/>
  <c r="L17" i="1"/>
  <c r="B17" i="1"/>
  <c r="L16" i="1"/>
  <c r="B16" i="1"/>
  <c r="L15" i="1"/>
  <c r="K14" i="1"/>
  <c r="G14" i="1"/>
  <c r="F14" i="1"/>
  <c r="E14" i="1"/>
  <c r="D14" i="1"/>
  <c r="C14" i="1"/>
  <c r="B14" i="1"/>
  <c r="K13" i="1"/>
  <c r="G13" i="1"/>
  <c r="F13" i="1"/>
  <c r="E13" i="1"/>
  <c r="D13" i="1"/>
  <c r="B13" i="1"/>
  <c r="L12" i="1"/>
  <c r="K11" i="1"/>
  <c r="J11" i="1"/>
  <c r="I11" i="1"/>
  <c r="H11" i="1"/>
  <c r="G11" i="1"/>
  <c r="F11" i="1"/>
  <c r="E11" i="1"/>
  <c r="D11" i="1"/>
  <c r="C11" i="1"/>
  <c r="B11" i="1"/>
  <c r="L9" i="1"/>
  <c r="K8" i="1"/>
  <c r="J8" i="1"/>
  <c r="I8" i="1"/>
  <c r="H8" i="1"/>
  <c r="G8" i="1"/>
  <c r="F8" i="1"/>
  <c r="E8" i="1"/>
  <c r="D8" i="1"/>
  <c r="C8" i="1"/>
  <c r="B8" i="1"/>
  <c r="K6" i="1"/>
  <c r="J6" i="1"/>
  <c r="I6" i="1"/>
  <c r="H6" i="1"/>
  <c r="G6" i="1"/>
  <c r="F6" i="1"/>
  <c r="E6" i="1"/>
  <c r="D6" i="1"/>
  <c r="C6" i="1"/>
  <c r="B6" i="1"/>
  <c r="L33" i="1" l="1"/>
  <c r="L32" i="1"/>
  <c r="L30" i="1"/>
  <c r="L29" i="1"/>
  <c r="L27" i="1"/>
  <c r="L25" i="1"/>
  <c r="L24" i="1"/>
  <c r="L22" i="1"/>
  <c r="L21" i="1"/>
  <c r="L19" i="1"/>
  <c r="L18" i="1"/>
  <c r="L14" i="1"/>
  <c r="L13" i="1"/>
  <c r="L11" i="1"/>
  <c r="L8" i="1"/>
  <c r="M6" i="1"/>
  <c r="L6" i="1"/>
</calcChain>
</file>

<file path=xl/sharedStrings.xml><?xml version="1.0" encoding="utf-8"?>
<sst xmlns="http://schemas.openxmlformats.org/spreadsheetml/2006/main" count="29" uniqueCount="29">
  <si>
    <t>Regions and states</t>
  </si>
  <si>
    <t>Natural gas sales by producers and importers (10⁶ m³)</t>
  </si>
  <si>
    <t>25/24
%</t>
  </si>
  <si>
    <t>Brazil</t>
  </si>
  <si>
    <t>North Region</t>
  </si>
  <si>
    <t>Amazonas</t>
  </si>
  <si>
    <t>Northeast Region</t>
  </si>
  <si>
    <t>Ceará</t>
  </si>
  <si>
    <t>Rio Grande do Norte</t>
  </si>
  <si>
    <t>Pernambuco</t>
  </si>
  <si>
    <t>Alagoas</t>
  </si>
  <si>
    <t>Sergipe</t>
  </si>
  <si>
    <t>Southeast Region</t>
  </si>
  <si>
    <t>Minas Gerais</t>
  </si>
  <si>
    <t>Rio de Janeiro</t>
  </si>
  <si>
    <t>South Region</t>
  </si>
  <si>
    <t>Santa Catarina</t>
  </si>
  <si>
    <t>Central-West Region</t>
  </si>
  <si>
    <t>Mato Grosso do Sul</t>
  </si>
  <si>
    <t>Sources: Petrobras and ANP.</t>
  </si>
  <si>
    <t>Maranhão</t>
  </si>
  <si>
    <t>Paraíba</t>
  </si>
  <si>
    <t>Bahia</t>
  </si>
  <si>
    <t>Espírito Santo</t>
  </si>
  <si>
    <t>São Paulo</t>
  </si>
  <si>
    <t>Paraná</t>
  </si>
  <si>
    <t>Rio Grande do Sul</t>
  </si>
  <si>
    <t>Mato Grosso</t>
  </si>
  <si>
    <t>Table 1.26 – Natural gas sales, by producers, according brazilian regions and states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</si>
</sst>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??_);_(@_)"/>
    <numFmt numFmtId="165" formatCode="_(* #,##0.00_);_(* \(#,##0.00\);_(* \-??_);_(@_)"/>
    <numFmt numFmtId="166" formatCode="_(* #,##0.000_);_(* \(#,##0.000\);_(* \-??_);_(@_)"/>
    <numFmt numFmtId="167" formatCode="_(* #,##0.0_);_(* \(#,##0.0\);_(* \-??_);_(@_)"/>
    <numFmt numFmtId="168" formatCode="#,##0.0"/>
    <numFmt numFmtId="169" formatCode="[$-409]#,##0_);\(#,##0\)"/>
    <numFmt numFmtId="170" formatCode="_-* #,##0.00_-;\-* #,##0.00_-;_-* \-??_-;_-@_-"/>
  </numFmts>
  <fonts count="9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FFFF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8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7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/>
    </xf>
    <xf numFmtId="164" fontId="6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168" fontId="6" fillId="3" borderId="0" xfId="0" applyNumberFormat="1" applyFont="1" applyFill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/>
    </xf>
    <xf numFmtId="166" fontId="1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169" fontId="1" fillId="3" borderId="4" xfId="0" applyNumberFormat="1" applyFont="1" applyFill="1" applyBorder="1" applyAlignment="1">
      <alignment horizontal="center" vertical="center"/>
    </xf>
    <xf numFmtId="169" fontId="1" fillId="3" borderId="4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169" fontId="7" fillId="3" borderId="0" xfId="0" applyNumberFormat="1" applyFont="1" applyFill="1" applyAlignment="1">
      <alignment horizontal="center" vertical="center"/>
    </xf>
    <xf numFmtId="169" fontId="7" fillId="3" borderId="0" xfId="0" applyNumberFormat="1" applyFont="1" applyFill="1" applyAlignment="1">
      <alignment vertical="center"/>
    </xf>
    <xf numFmtId="169" fontId="1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16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fill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169" fontId="1" fillId="3" borderId="0" xfId="0" applyNumberFormat="1" applyFont="1" applyFill="1" applyAlignment="1" applyProtection="1">
      <alignment vertical="center"/>
      <protection locked="0"/>
    </xf>
    <xf numFmtId="169" fontId="1" fillId="3" borderId="0" xfId="0" applyNumberFormat="1" applyFont="1" applyFill="1" applyAlignment="1" applyProtection="1">
      <alignment horizontal="center" vertical="center"/>
      <protection locked="0"/>
    </xf>
    <xf numFmtId="169" fontId="1" fillId="3" borderId="0" xfId="0" applyNumberFormat="1" applyFont="1" applyFill="1" applyAlignment="1">
      <alignment horizontal="fill" vertical="center"/>
    </xf>
    <xf numFmtId="169" fontId="1" fillId="3" borderId="0" xfId="0" applyNumberFormat="1" applyFont="1" applyFill="1" applyAlignment="1" applyProtection="1">
      <alignment horizontal="fill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3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</cellXfs>
  <cellStyles count="2">
    <cellStyle name="Normal" xfId="0" builtinId="0"/>
    <cellStyle name="Vírgula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3.3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18"/>
  <sheetViews>
    <sheetView tabSelected="1" zoomScaleNormal="100" workbookViewId="0">
      <selection activeCell="A2" sqref="A2"/>
    </sheetView>
  </sheetViews>
  <sheetFormatPr defaultColWidth="10.69140625" defaultRowHeight="15.5"/>
  <cols>
    <col min="1" max="1" width="15.4609375" style="1" customWidth="1"/>
    <col min="2" max="11" width="5.765625" style="2" customWidth="1"/>
    <col min="12" max="12" width="5.3046875" style="2" customWidth="1"/>
    <col min="13" max="13" width="5.23046875" style="2" customWidth="1"/>
    <col min="14" max="257" width="10.69140625" style="2" customWidth="1"/>
  </cols>
  <sheetData>
    <row r="1" spans="1:42" ht="12.65" customHeight="1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s="3" customFormat="1" ht="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3" customFormat="1" ht="10.5" customHeight="1">
      <c r="A3" s="46" t="s">
        <v>0</v>
      </c>
      <c r="B3" s="48" t="s">
        <v>1</v>
      </c>
      <c r="C3" s="49"/>
      <c r="D3" s="49"/>
      <c r="E3" s="49"/>
      <c r="F3" s="49"/>
      <c r="G3" s="49"/>
      <c r="H3" s="49"/>
      <c r="I3" s="49"/>
      <c r="J3" s="49"/>
      <c r="K3" s="50"/>
      <c r="L3" s="44" t="s">
        <v>2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3" customFormat="1" ht="10.5" customHeight="1">
      <c r="A4" s="47"/>
      <c r="B4" s="9">
        <v>2016</v>
      </c>
      <c r="C4" s="9">
        <v>2017</v>
      </c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9">
        <v>2023</v>
      </c>
      <c r="J4" s="9">
        <v>2024</v>
      </c>
      <c r="K4" s="9">
        <v>2025</v>
      </c>
      <c r="L4" s="4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2" customFormat="1" ht="9" customHeight="1">
      <c r="A5" s="10"/>
      <c r="B5" s="7"/>
      <c r="C5" s="7"/>
      <c r="D5" s="7"/>
      <c r="E5" s="7"/>
      <c r="F5" s="7"/>
      <c r="G5" s="7"/>
      <c r="H5" s="7"/>
      <c r="I5" s="7"/>
      <c r="J5" s="7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s="2" customFormat="1" ht="9" customHeight="1">
      <c r="A6" s="10" t="s">
        <v>3</v>
      </c>
      <c r="B6" s="11">
        <f t="shared" ref="B6:K6" si="0">B8+B11+B21+B27+B32</f>
        <v>27524.483515000004</v>
      </c>
      <c r="C6" s="11">
        <f t="shared" si="0"/>
        <v>28090.860364000004</v>
      </c>
      <c r="D6" s="11">
        <f t="shared" si="0"/>
        <v>26550.725306967048</v>
      </c>
      <c r="E6" s="11">
        <f t="shared" si="0"/>
        <v>25854.502469918938</v>
      </c>
      <c r="F6" s="11">
        <f t="shared" si="0"/>
        <v>22165.466898000002</v>
      </c>
      <c r="G6" s="11">
        <f t="shared" si="0"/>
        <v>29115.824013000001</v>
      </c>
      <c r="H6" s="11">
        <f t="shared" si="0"/>
        <v>21677.828934000001</v>
      </c>
      <c r="I6" s="11">
        <f t="shared" si="0"/>
        <v>19835.952870999998</v>
      </c>
      <c r="J6" s="11">
        <f t="shared" si="0"/>
        <v>18883.867631000001</v>
      </c>
      <c r="K6" s="11">
        <f t="shared" si="0"/>
        <v>18574.754000000001</v>
      </c>
      <c r="L6" s="12">
        <f>100*(K6-J6)/J6</f>
        <v>-1.6369190731487402</v>
      </c>
      <c r="M6" s="13">
        <f>((K6/B6)^(1/10)-1)*100</f>
        <v>-3.8563979136569504</v>
      </c>
      <c r="N6" s="5"/>
      <c r="O6" s="1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9" customHeight="1">
      <c r="A7" s="6"/>
      <c r="B7" s="15"/>
      <c r="C7" s="15"/>
      <c r="D7" s="15"/>
      <c r="E7" s="15"/>
      <c r="F7" s="15"/>
      <c r="G7" s="15"/>
      <c r="H7" s="15"/>
      <c r="I7" s="15"/>
      <c r="J7" s="15"/>
      <c r="K7" s="15"/>
      <c r="L7" s="16"/>
      <c r="M7" s="7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>
      <c r="A8" s="10" t="s">
        <v>4</v>
      </c>
      <c r="B8" s="11">
        <f t="shared" ref="B8:K8" si="1">SUM(B9:B9)</f>
        <v>1735.947402</v>
      </c>
      <c r="C8" s="11">
        <f t="shared" si="1"/>
        <v>1765.019133</v>
      </c>
      <c r="D8" s="11">
        <f t="shared" si="1"/>
        <v>1827.134947</v>
      </c>
      <c r="E8" s="11">
        <f t="shared" si="1"/>
        <v>2338.8998897054398</v>
      </c>
      <c r="F8" s="11">
        <f t="shared" si="1"/>
        <v>1746.993074</v>
      </c>
      <c r="G8" s="11">
        <f t="shared" si="1"/>
        <v>2118.7071559999999</v>
      </c>
      <c r="H8" s="11">
        <f t="shared" si="1"/>
        <v>1577.148848</v>
      </c>
      <c r="I8" s="11">
        <f t="shared" si="1"/>
        <v>1665.748</v>
      </c>
      <c r="J8" s="11">
        <f t="shared" si="1"/>
        <v>1758.8073890000001</v>
      </c>
      <c r="K8" s="11">
        <f t="shared" si="1"/>
        <v>1863.308</v>
      </c>
      <c r="L8" s="17">
        <f>100*(K8-J8)/J8</f>
        <v>5.9415608356873886</v>
      </c>
      <c r="M8" s="7"/>
      <c r="N8" s="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9" customHeight="1">
      <c r="A9" s="6" t="s">
        <v>5</v>
      </c>
      <c r="B9" s="19">
        <v>1735.947402</v>
      </c>
      <c r="C9" s="19">
        <v>1765.019133</v>
      </c>
      <c r="D9" s="19">
        <v>1827.134947</v>
      </c>
      <c r="E9" s="19">
        <v>2338.8998897054398</v>
      </c>
      <c r="F9" s="19">
        <v>1746.993074</v>
      </c>
      <c r="G9" s="19">
        <v>2118.7071559999999</v>
      </c>
      <c r="H9" s="19">
        <v>1577.148848</v>
      </c>
      <c r="I9" s="19">
        <v>1665.748</v>
      </c>
      <c r="J9" s="19">
        <v>1758.8073890000001</v>
      </c>
      <c r="K9" s="19">
        <v>1863.308</v>
      </c>
      <c r="L9" s="20">
        <f>100*(K9-J9)/J9</f>
        <v>5.9415608356873886</v>
      </c>
      <c r="M9" s="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9" customHeight="1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7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9" customHeight="1">
      <c r="A11" s="10" t="s">
        <v>6</v>
      </c>
      <c r="B11" s="11">
        <f t="shared" ref="B11:K11" si="2">SUM(B12:B19)</f>
        <v>7360.2420220000004</v>
      </c>
      <c r="C11" s="11">
        <f t="shared" si="2"/>
        <v>7276.6471359999996</v>
      </c>
      <c r="D11" s="11">
        <f t="shared" si="2"/>
        <v>6626.3434585300001</v>
      </c>
      <c r="E11" s="11">
        <f t="shared" si="2"/>
        <v>5804.058102</v>
      </c>
      <c r="F11" s="11">
        <f t="shared" si="2"/>
        <v>4953.0623690000002</v>
      </c>
      <c r="G11" s="11">
        <f t="shared" si="2"/>
        <v>6612.2214760000006</v>
      </c>
      <c r="H11" s="11">
        <f t="shared" si="2"/>
        <v>4519.1880080000001</v>
      </c>
      <c r="I11" s="11">
        <f t="shared" si="2"/>
        <v>4028.7180000000003</v>
      </c>
      <c r="J11" s="11">
        <f t="shared" si="2"/>
        <v>4344.9542959999999</v>
      </c>
      <c r="K11" s="11">
        <f t="shared" si="2"/>
        <v>4642.2759999999998</v>
      </c>
      <c r="L11" s="12">
        <f t="shared" ref="L11:L19" si="3">100*(K11-J11)/J11</f>
        <v>6.8429190215813485</v>
      </c>
      <c r="M11" s="7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9" customHeight="1">
      <c r="A12" s="21" t="s">
        <v>20</v>
      </c>
      <c r="B12" s="7">
        <v>1714.6787139999999</v>
      </c>
      <c r="C12" s="7">
        <v>1607.08</v>
      </c>
      <c r="D12" s="7">
        <v>1402.32442853</v>
      </c>
      <c r="E12" s="7">
        <v>1380.514541</v>
      </c>
      <c r="F12" s="7">
        <v>1342.2636239999999</v>
      </c>
      <c r="G12" s="7">
        <v>2127.4151160000001</v>
      </c>
      <c r="H12" s="7">
        <v>916.09953599999994</v>
      </c>
      <c r="I12" s="7">
        <v>834.73099999999999</v>
      </c>
      <c r="J12" s="7">
        <v>1394.4861040000001</v>
      </c>
      <c r="K12" s="7">
        <v>1702.039</v>
      </c>
      <c r="L12" s="20">
        <f t="shared" si="3"/>
        <v>22.054927268031054</v>
      </c>
      <c r="M12" s="7"/>
      <c r="N12" s="7"/>
      <c r="O12" s="7"/>
      <c r="P12" s="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9" customHeight="1">
      <c r="A13" s="6" t="s">
        <v>7</v>
      </c>
      <c r="B13" s="7">
        <f>497.925725</f>
        <v>497.925725</v>
      </c>
      <c r="C13" s="7">
        <v>579.90225999999996</v>
      </c>
      <c r="D13" s="7">
        <f>289.044457+56.617181</f>
        <v>345.66163800000004</v>
      </c>
      <c r="E13" s="7">
        <f>414.798186+67.543813</f>
        <v>482.34199899999999</v>
      </c>
      <c r="F13" s="7">
        <f>168.177235+12.057254</f>
        <v>180.234489</v>
      </c>
      <c r="G13" s="7">
        <f>235.371775+23.697674</f>
        <v>259.06944900000002</v>
      </c>
      <c r="H13" s="7">
        <v>134.76476199999999</v>
      </c>
      <c r="I13" s="7">
        <v>113.66200000000001</v>
      </c>
      <c r="J13" s="7">
        <v>96.689333000000005</v>
      </c>
      <c r="K13" s="7">
        <f>97.461+0.411</f>
        <v>97.872</v>
      </c>
      <c r="L13" s="20">
        <f t="shared" si="3"/>
        <v>1.223161814550934</v>
      </c>
      <c r="M13" s="7"/>
      <c r="N13" s="7"/>
      <c r="O13" s="7"/>
      <c r="P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9" customHeight="1">
      <c r="A14" s="6" t="s">
        <v>8</v>
      </c>
      <c r="B14" s="7">
        <f>99.450017+58.880121+564.831342</f>
        <v>723.16147999999998</v>
      </c>
      <c r="C14" s="7">
        <f>111.335345+540.413</f>
        <v>651.74834499999997</v>
      </c>
      <c r="D14" s="7">
        <f>114.409751+429.014182</f>
        <v>543.42393300000003</v>
      </c>
      <c r="E14" s="7">
        <f>104.402257+398.113073</f>
        <v>502.51533000000001</v>
      </c>
      <c r="F14" s="7">
        <f>73.40089+343.768329</f>
        <v>417.169219</v>
      </c>
      <c r="G14" s="7">
        <f>83.401544+329.127079</f>
        <v>412.52862299999998</v>
      </c>
      <c r="H14" s="7">
        <v>412.28494799999999</v>
      </c>
      <c r="I14" s="7">
        <v>258.17</v>
      </c>
      <c r="J14" s="7">
        <v>301.390986</v>
      </c>
      <c r="K14" s="7">
        <f>105.573+6.62</f>
        <v>112.193</v>
      </c>
      <c r="L14" s="20">
        <f t="shared" si="3"/>
        <v>-62.774931828916749</v>
      </c>
      <c r="M14" s="7"/>
      <c r="N14" s="7"/>
      <c r="O14" s="7"/>
      <c r="P14" s="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9" customHeight="1">
      <c r="A15" s="6" t="s">
        <v>21</v>
      </c>
      <c r="B15" s="7">
        <v>98.428296000000003</v>
      </c>
      <c r="C15" s="7">
        <v>95.248824999999997</v>
      </c>
      <c r="D15" s="7">
        <v>94.723658</v>
      </c>
      <c r="E15" s="7">
        <v>85.253859000000006</v>
      </c>
      <c r="F15" s="7">
        <v>65.872451999999996</v>
      </c>
      <c r="G15" s="7">
        <v>79.149803000000006</v>
      </c>
      <c r="H15" s="7">
        <v>75.629344000000003</v>
      </c>
      <c r="I15" s="7">
        <v>63.875</v>
      </c>
      <c r="J15" s="7">
        <v>72.895229999999998</v>
      </c>
      <c r="K15" s="7">
        <v>69.186000000000007</v>
      </c>
      <c r="L15" s="20">
        <f t="shared" si="3"/>
        <v>-5.0884399431896865</v>
      </c>
      <c r="M15" s="7"/>
      <c r="N15" s="7"/>
      <c r="O15" s="7"/>
      <c r="P15" s="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9" customHeight="1">
      <c r="A16" s="6" t="s">
        <v>9</v>
      </c>
      <c r="B16" s="22">
        <f>1191.1445</f>
        <v>1191.1445000000001</v>
      </c>
      <c r="C16" s="22">
        <v>1197.1184209999999</v>
      </c>
      <c r="D16" s="22">
        <v>1157.67922</v>
      </c>
      <c r="E16" s="22">
        <v>1165.9443120000001</v>
      </c>
      <c r="F16" s="22">
        <v>970.00803299999995</v>
      </c>
      <c r="G16" s="22">
        <v>1179.594171</v>
      </c>
      <c r="H16" s="22">
        <v>586.11595599999998</v>
      </c>
      <c r="I16" s="22">
        <v>576.65499999999997</v>
      </c>
      <c r="J16" s="22">
        <v>530.46406500000001</v>
      </c>
      <c r="K16" s="22">
        <v>504.05599999999998</v>
      </c>
      <c r="L16" s="20">
        <f t="shared" si="3"/>
        <v>-4.9782948068310757</v>
      </c>
      <c r="M16" s="7"/>
      <c r="N16" s="7"/>
      <c r="O16" s="7"/>
      <c r="P16" s="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9" customHeight="1">
      <c r="A17" s="6" t="s">
        <v>10</v>
      </c>
      <c r="B17" s="7">
        <f>227.068867</f>
        <v>227.06886700000001</v>
      </c>
      <c r="C17" s="7">
        <v>227.221148</v>
      </c>
      <c r="D17" s="7">
        <v>226.50786199999999</v>
      </c>
      <c r="E17" s="7">
        <v>198.3604</v>
      </c>
      <c r="F17" s="7">
        <v>169.69412800000001</v>
      </c>
      <c r="G17" s="7">
        <v>213.27125599999999</v>
      </c>
      <c r="H17" s="7">
        <v>235.42500000000001</v>
      </c>
      <c r="I17" s="7">
        <v>192.62</v>
      </c>
      <c r="J17" s="7">
        <v>285.69660199999998</v>
      </c>
      <c r="K17" s="7">
        <v>235.137</v>
      </c>
      <c r="L17" s="20">
        <f t="shared" si="3"/>
        <v>-17.696956017698799</v>
      </c>
      <c r="M17" s="7"/>
      <c r="N17" s="7"/>
      <c r="O17" s="7"/>
      <c r="P17" s="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9" customHeight="1">
      <c r="A18" s="6" t="s">
        <v>11</v>
      </c>
      <c r="B18" s="7">
        <f>100.372699+470.737342</f>
        <v>571.11004100000002</v>
      </c>
      <c r="C18" s="7">
        <f>91.729319+470.737</f>
        <v>562.466319</v>
      </c>
      <c r="D18" s="7">
        <v>488.81078200000002</v>
      </c>
      <c r="E18" s="7">
        <f>122.723308+33.890618</f>
        <v>156.61392599999999</v>
      </c>
      <c r="F18" s="7">
        <f>84.032817+210</f>
        <v>294.03281700000002</v>
      </c>
      <c r="G18" s="7">
        <f>675.072911</f>
        <v>675.07291099999998</v>
      </c>
      <c r="H18" s="7">
        <v>528.17784500000005</v>
      </c>
      <c r="I18" s="7">
        <v>288.18400000000003</v>
      </c>
      <c r="J18" s="7">
        <f>106.80474+181.027132</f>
        <v>287.83187199999998</v>
      </c>
      <c r="K18" s="7">
        <v>258.495</v>
      </c>
      <c r="L18" s="20">
        <f t="shared" si="3"/>
        <v>-10.192363964474364</v>
      </c>
      <c r="M18" s="7"/>
      <c r="N18" s="7"/>
      <c r="O18" s="7"/>
      <c r="P18" s="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9" customHeight="1">
      <c r="A19" s="6" t="s">
        <v>22</v>
      </c>
      <c r="B19" s="7">
        <f>1229.029236+509.150787+598.544376</f>
        <v>2336.7243990000002</v>
      </c>
      <c r="C19" s="7">
        <f>1303.893818+453.424+402.559+195.985</f>
        <v>2355.8618180000003</v>
      </c>
      <c r="D19" s="7">
        <f>1374.943099+426.019232+566.249606</f>
        <v>2367.211937</v>
      </c>
      <c r="E19" s="7">
        <f>1329.737841+75.969379+426.806515</f>
        <v>1832.5137349999998</v>
      </c>
      <c r="F19" s="7">
        <f>1168.085638+344.483652+1.218317</f>
        <v>1513.787607</v>
      </c>
      <c r="G19" s="7">
        <f>1267.43908+382.858859+15.822208</f>
        <v>1666.1201470000001</v>
      </c>
      <c r="H19" s="7">
        <v>1630.690617</v>
      </c>
      <c r="I19" s="7">
        <v>1700.8209999999999</v>
      </c>
      <c r="J19" s="7">
        <f>1167.346504+208.1536</f>
        <v>1375.5001040000002</v>
      </c>
      <c r="K19" s="7">
        <f>1640.617+22.681</f>
        <v>1663.298</v>
      </c>
      <c r="L19" s="20">
        <f t="shared" si="3"/>
        <v>20.9231460734226</v>
      </c>
      <c r="M19" s="7"/>
      <c r="N19" s="7"/>
      <c r="O19" s="7"/>
      <c r="P19" s="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9" customHeight="1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7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9" customHeight="1">
      <c r="A21" s="10" t="s">
        <v>12</v>
      </c>
      <c r="B21" s="11">
        <f t="shared" ref="B21:K21" si="4">SUM(B22:B25)</f>
        <v>16385.558118000001</v>
      </c>
      <c r="C21" s="11">
        <f t="shared" si="4"/>
        <v>16822.576386000001</v>
      </c>
      <c r="D21" s="11">
        <f t="shared" si="4"/>
        <v>15889.340598999548</v>
      </c>
      <c r="E21" s="11">
        <f t="shared" si="4"/>
        <v>15285.208749452398</v>
      </c>
      <c r="F21" s="11">
        <f t="shared" si="4"/>
        <v>13172.314983</v>
      </c>
      <c r="G21" s="11">
        <f t="shared" si="4"/>
        <v>17500.450431000001</v>
      </c>
      <c r="H21" s="11">
        <f t="shared" si="4"/>
        <v>13608.060282</v>
      </c>
      <c r="I21" s="11">
        <f t="shared" si="4"/>
        <v>12425.616539999999</v>
      </c>
      <c r="J21" s="11">
        <f t="shared" si="4"/>
        <v>11151.517483</v>
      </c>
      <c r="K21" s="11">
        <f t="shared" si="4"/>
        <v>10672.826000000001</v>
      </c>
      <c r="L21" s="12">
        <f>100*(K21-J21)/J21</f>
        <v>-4.2926129446485009</v>
      </c>
      <c r="M21" s="23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9" customHeight="1">
      <c r="A22" s="6" t="s">
        <v>13</v>
      </c>
      <c r="B22" s="7">
        <f>1079.030202+226.254711</f>
        <v>1305.284913</v>
      </c>
      <c r="C22" s="7">
        <f>1272.94499</f>
        <v>1272.94499</v>
      </c>
      <c r="D22" s="7">
        <f>1093.655707</f>
        <v>1093.6557069999999</v>
      </c>
      <c r="E22" s="7">
        <v>1127.336953</v>
      </c>
      <c r="F22" s="7">
        <f>935.825408+140.467121</f>
        <v>1076.2925290000001</v>
      </c>
      <c r="G22" s="7">
        <v>1372.281643</v>
      </c>
      <c r="H22" s="7">
        <v>1001.204667</v>
      </c>
      <c r="I22" s="7">
        <v>920.33753999999999</v>
      </c>
      <c r="J22" s="7">
        <v>702.62154999999996</v>
      </c>
      <c r="K22" s="7">
        <f>936.336+66.21</f>
        <v>1002.546</v>
      </c>
      <c r="L22" s="24">
        <f>100*(K22-J22)/J22</f>
        <v>42.686486060668095</v>
      </c>
      <c r="M22" s="7"/>
      <c r="N22" s="7"/>
      <c r="O22" s="7"/>
      <c r="P22" s="7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9" customHeight="1">
      <c r="A23" s="6" t="s">
        <v>23</v>
      </c>
      <c r="B23" s="7">
        <f>959.815983</f>
        <v>959.81598299999996</v>
      </c>
      <c r="C23" s="7">
        <v>990.89249900000004</v>
      </c>
      <c r="D23" s="7">
        <v>996.96334400000001</v>
      </c>
      <c r="E23" s="7">
        <v>911.37277200000005</v>
      </c>
      <c r="F23" s="7">
        <v>843.52205500000002</v>
      </c>
      <c r="G23" s="7">
        <v>990.59161099999994</v>
      </c>
      <c r="H23" s="7">
        <v>786.46986700000002</v>
      </c>
      <c r="I23" s="7">
        <v>706.55499999999995</v>
      </c>
      <c r="J23" s="7">
        <v>637.89884600000005</v>
      </c>
      <c r="K23" s="7">
        <v>454.84699999999998</v>
      </c>
      <c r="L23" s="24">
        <f>100*(K23-J23)/J23</f>
        <v>-28.696061632317182</v>
      </c>
      <c r="M23" s="7"/>
      <c r="N23" s="7"/>
      <c r="O23" s="7"/>
      <c r="P23" s="7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9" customHeight="1">
      <c r="A24" s="6" t="s">
        <v>14</v>
      </c>
      <c r="B24" s="7">
        <f>5965.81697+2219.154912</f>
        <v>8184.9718819999998</v>
      </c>
      <c r="C24" s="7">
        <f>7351.529968+1279.155</f>
        <v>8630.6849679999996</v>
      </c>
      <c r="D24" s="7">
        <f>5995.557862+2122.16259224955</f>
        <v>8117.7204542495492</v>
      </c>
      <c r="E24" s="7">
        <f>5792.967114+1837.9071174524</f>
        <v>7630.8742314523997</v>
      </c>
      <c r="F24" s="7">
        <f>3971.927622+1892.520343</f>
        <v>5864.4479650000003</v>
      </c>
      <c r="G24" s="7">
        <f>4417.95085+3949.849818</f>
        <v>8367.8006679999999</v>
      </c>
      <c r="H24" s="7">
        <f>4660.629341+1098.695136</f>
        <v>5759.3244770000001</v>
      </c>
      <c r="I24" s="7">
        <v>5525.1689999999999</v>
      </c>
      <c r="J24" s="7">
        <f>3743.156223+679.962847+426.131606+113.285496</f>
        <v>4962.5361720000001</v>
      </c>
      <c r="K24" s="7">
        <f>3706.386+1091.239</f>
        <v>4797.625</v>
      </c>
      <c r="L24" s="20">
        <f>100*(K24-J24)/J24</f>
        <v>-3.3231228203529168</v>
      </c>
      <c r="M24" s="7"/>
      <c r="N24" s="7"/>
      <c r="O24" s="7"/>
      <c r="P24" s="7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9" customHeight="1">
      <c r="A25" s="6" t="s">
        <v>24</v>
      </c>
      <c r="B25" s="22">
        <f>5281.624819+653.860521</f>
        <v>5935.4853399999993</v>
      </c>
      <c r="C25" s="22">
        <f>4974.192929+302.152+651.709</f>
        <v>5928.0539289999997</v>
      </c>
      <c r="D25" s="22">
        <f>5681.00109375</f>
        <v>5681.0010937500001</v>
      </c>
      <c r="E25" s="22">
        <v>5615.624793</v>
      </c>
      <c r="F25" s="22">
        <f>4763.864886+624.187548</f>
        <v>5388.0524340000002</v>
      </c>
      <c r="G25" s="22">
        <f>5588.788771+1180.987738</f>
        <v>6769.7765090000003</v>
      </c>
      <c r="H25" s="22">
        <f>5746.29611+314.765161</f>
        <v>6061.0612710000005</v>
      </c>
      <c r="I25" s="22">
        <v>5273.5550000000003</v>
      </c>
      <c r="J25" s="22">
        <f>4488.967635+359.49328</f>
        <v>4848.4609149999997</v>
      </c>
      <c r="K25" s="22">
        <f>3927.721+490.087</f>
        <v>4417.808</v>
      </c>
      <c r="L25" s="20">
        <f>100*(K25-J25)/J25</f>
        <v>-8.882260217209561</v>
      </c>
      <c r="M25" s="7"/>
      <c r="N25" s="7"/>
      <c r="O25" s="7"/>
      <c r="P25" s="7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9" customHeight="1">
      <c r="A26" s="6"/>
      <c r="B26" s="19"/>
      <c r="C26" s="19"/>
      <c r="D26" s="19"/>
      <c r="E26" s="19"/>
      <c r="F26" s="19"/>
      <c r="G26" s="19"/>
      <c r="H26" s="19"/>
      <c r="I26" s="15"/>
      <c r="J26" s="15"/>
      <c r="K26" s="15"/>
      <c r="L26" s="16"/>
      <c r="M26" s="7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9" customHeight="1">
      <c r="A27" s="10" t="s">
        <v>15</v>
      </c>
      <c r="B27" s="11">
        <f t="shared" ref="B27:K27" si="5">SUM(B28:B30)</f>
        <v>1612.3307709999999</v>
      </c>
      <c r="C27" s="11">
        <f t="shared" si="5"/>
        <v>1640.068415</v>
      </c>
      <c r="D27" s="11">
        <f t="shared" si="5"/>
        <v>1766.5813579999999</v>
      </c>
      <c r="E27" s="11">
        <f t="shared" si="5"/>
        <v>1894.1891930000002</v>
      </c>
      <c r="F27" s="11">
        <f t="shared" si="5"/>
        <v>1829.113513</v>
      </c>
      <c r="G27" s="11">
        <f t="shared" si="5"/>
        <v>2204.810011</v>
      </c>
      <c r="H27" s="11">
        <f t="shared" si="5"/>
        <v>1632.9784490000002</v>
      </c>
      <c r="I27" s="11">
        <f t="shared" si="5"/>
        <v>1455.2629999999999</v>
      </c>
      <c r="J27" s="11">
        <f t="shared" si="5"/>
        <v>1335.150801</v>
      </c>
      <c r="K27" s="11">
        <f t="shared" si="5"/>
        <v>1075.0030000000002</v>
      </c>
      <c r="L27" s="12">
        <f>100*(K27-J27)/J27</f>
        <v>-19.484525703400291</v>
      </c>
      <c r="M27" s="7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9" customHeight="1">
      <c r="A28" s="6" t="s">
        <v>25</v>
      </c>
      <c r="B28" s="19">
        <f>468.824718</f>
        <v>468.82471800000002</v>
      </c>
      <c r="C28" s="19">
        <v>449.72023899999999</v>
      </c>
      <c r="D28" s="19">
        <v>426.750608</v>
      </c>
      <c r="E28" s="19">
        <v>519.67582100000004</v>
      </c>
      <c r="F28" s="19">
        <v>569.38232100000005</v>
      </c>
      <c r="G28" s="19">
        <v>770.85569099999998</v>
      </c>
      <c r="H28" s="19">
        <v>397.76927599999999</v>
      </c>
      <c r="I28" s="19">
        <v>299.74799999999999</v>
      </c>
      <c r="J28" s="19">
        <v>266.47092300000003</v>
      </c>
      <c r="K28" s="19">
        <v>263.12599999999998</v>
      </c>
      <c r="L28" s="20">
        <f>100*(K28-J28)/J28</f>
        <v>-1.255267540016008</v>
      </c>
      <c r="M28" s="7"/>
      <c r="N28" s="7"/>
      <c r="O28" s="7"/>
      <c r="P28" s="7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9" customHeight="1">
      <c r="A29" s="6" t="s">
        <v>16</v>
      </c>
      <c r="B29" s="19">
        <v>619.86875199999997</v>
      </c>
      <c r="C29" s="19">
        <v>659.03948700000001</v>
      </c>
      <c r="D29" s="19">
        <v>711.46735100000001</v>
      </c>
      <c r="E29" s="19">
        <v>725.48268199999995</v>
      </c>
      <c r="F29" s="19">
        <v>681.70398799999998</v>
      </c>
      <c r="G29" s="19">
        <v>811.43610100000001</v>
      </c>
      <c r="H29" s="19">
        <v>652.360321</v>
      </c>
      <c r="I29" s="19">
        <v>571.42899999999997</v>
      </c>
      <c r="J29" s="19">
        <f>528.166741+80.732272</f>
        <v>608.89901299999997</v>
      </c>
      <c r="K29" s="19">
        <v>375.25400000000002</v>
      </c>
      <c r="L29" s="20">
        <f>100*(K29-J29)/J29</f>
        <v>-38.371718135795362</v>
      </c>
      <c r="M29" s="7"/>
      <c r="N29" s="7"/>
      <c r="O29" s="7"/>
      <c r="P29" s="7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9" customHeight="1">
      <c r="A30" s="6" t="s">
        <v>26</v>
      </c>
      <c r="B30" s="19">
        <f>522.180081+1.45722</f>
        <v>523.63730099999998</v>
      </c>
      <c r="C30" s="19">
        <v>531.30868899999996</v>
      </c>
      <c r="D30" s="19">
        <f>627.69373+0.669669</f>
        <v>628.36339899999996</v>
      </c>
      <c r="E30" s="19">
        <f>648.929641+0.101049</f>
        <v>649.03068999999994</v>
      </c>
      <c r="F30" s="19">
        <f>552.136276+25.890928</f>
        <v>578.02720399999998</v>
      </c>
      <c r="G30" s="19">
        <f>555.002935+67.515284</f>
        <v>622.51821899999993</v>
      </c>
      <c r="H30" s="19">
        <f>563.450852+19.398</f>
        <v>582.84885200000008</v>
      </c>
      <c r="I30" s="19">
        <v>584.08600000000001</v>
      </c>
      <c r="J30" s="19">
        <f>459.645865+0.135</f>
        <v>459.78086500000001</v>
      </c>
      <c r="K30" s="19">
        <f>436.112+0.511</f>
        <v>436.62300000000005</v>
      </c>
      <c r="L30" s="20">
        <f>100*(K30-J30)/J30</f>
        <v>-5.0367178721106534</v>
      </c>
      <c r="M30" s="7"/>
      <c r="N30" s="7"/>
      <c r="O30" s="7"/>
      <c r="P30" s="7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9" customHeight="1">
      <c r="A31" s="6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16"/>
      <c r="M31" s="7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9" customHeight="1">
      <c r="A32" s="10" t="s">
        <v>17</v>
      </c>
      <c r="B32" s="27">
        <f t="shared" ref="B32:K32" si="6">B33+B34</f>
        <v>430.40520200000003</v>
      </c>
      <c r="C32" s="27">
        <f t="shared" si="6"/>
        <v>586.54929399999992</v>
      </c>
      <c r="D32" s="27">
        <f t="shared" si="6"/>
        <v>441.32494443750005</v>
      </c>
      <c r="E32" s="27">
        <f t="shared" si="6"/>
        <v>532.14653576110004</v>
      </c>
      <c r="F32" s="27">
        <f t="shared" si="6"/>
        <v>463.98295899999994</v>
      </c>
      <c r="G32" s="27">
        <f t="shared" si="6"/>
        <v>679.63493900000003</v>
      </c>
      <c r="H32" s="27">
        <f t="shared" si="6"/>
        <v>340.45334699999995</v>
      </c>
      <c r="I32" s="27">
        <f t="shared" si="6"/>
        <v>260.60733099999999</v>
      </c>
      <c r="J32" s="27">
        <f t="shared" si="6"/>
        <v>293.43766199999999</v>
      </c>
      <c r="K32" s="27">
        <f t="shared" si="6"/>
        <v>321.34100000000001</v>
      </c>
      <c r="L32" s="12">
        <f>100*(K32-J32)/J32</f>
        <v>9.5091195212699127</v>
      </c>
      <c r="M32" s="7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9" customHeight="1">
      <c r="A33" s="6" t="s">
        <v>18</v>
      </c>
      <c r="B33" s="25">
        <f>156.527005+245.649233</f>
        <v>402.17623800000001</v>
      </c>
      <c r="C33" s="25">
        <f>171.088926+354.593</f>
        <v>525.68192599999998</v>
      </c>
      <c r="D33" s="25">
        <f>211.453727+222.4811644375</f>
        <v>433.93489143750003</v>
      </c>
      <c r="E33" s="25">
        <f>211.727442+309.6288217611</f>
        <v>521.35626376110008</v>
      </c>
      <c r="F33" s="25">
        <f>201.282907+211.527852</f>
        <v>412.81075899999996</v>
      </c>
      <c r="G33" s="25">
        <f>249.876677+375.631524</f>
        <v>625.50820099999999</v>
      </c>
      <c r="H33" s="25">
        <f>201.819879+87.293269</f>
        <v>289.11314799999997</v>
      </c>
      <c r="I33" s="25">
        <v>241.56633099999999</v>
      </c>
      <c r="J33" s="25">
        <f>172.101033+30.285234+49.276249</f>
        <v>251.66251600000001</v>
      </c>
      <c r="K33" s="25">
        <f>221.88+33.298</f>
        <v>255.178</v>
      </c>
      <c r="L33" s="20">
        <f>100*(K33-J33)/J33</f>
        <v>1.3969040983441436</v>
      </c>
      <c r="M33" s="7"/>
      <c r="N33" s="7"/>
      <c r="O33" s="7"/>
      <c r="P33" s="7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>
      <c r="A34" s="6" t="s">
        <v>27</v>
      </c>
      <c r="B34" s="25">
        <f>27.221432+1.007532</f>
        <v>28.228964000000001</v>
      </c>
      <c r="C34" s="25">
        <v>60.867367999999999</v>
      </c>
      <c r="D34" s="25">
        <v>7.390053</v>
      </c>
      <c r="E34" s="25">
        <v>10.790272</v>
      </c>
      <c r="F34" s="25">
        <f>51.1722</f>
        <v>51.172199999999997</v>
      </c>
      <c r="G34" s="25">
        <f>54.126738</f>
        <v>54.126738000000003</v>
      </c>
      <c r="H34" s="25">
        <v>51.340198999999998</v>
      </c>
      <c r="I34" s="25">
        <v>19.041</v>
      </c>
      <c r="J34" s="25">
        <v>41.775145999999999</v>
      </c>
      <c r="K34" s="25">
        <v>66.162999999999997</v>
      </c>
      <c r="L34" s="20">
        <f>100*(K34-J34)/J34</f>
        <v>58.378860004462936</v>
      </c>
      <c r="M34" s="7"/>
      <c r="N34" s="7"/>
      <c r="O34" s="7"/>
      <c r="P34" s="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9" customHeight="1">
      <c r="A35" s="28"/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7"/>
      <c r="N35" s="7"/>
      <c r="O35" s="7"/>
      <c r="P35" s="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10.5" customHeight="1">
      <c r="A36" s="31" t="s">
        <v>19</v>
      </c>
      <c r="B36" s="32"/>
      <c r="C36" s="32"/>
      <c r="D36" s="33"/>
      <c r="E36" s="33"/>
      <c r="F36" s="33"/>
      <c r="G36" s="33"/>
      <c r="H36" s="33"/>
      <c r="I36" s="34"/>
      <c r="J36" s="34"/>
      <c r="K36" s="34"/>
      <c r="L36" s="3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10.5" customHeight="1">
      <c r="A37" s="21"/>
      <c r="B37" s="32"/>
      <c r="C37" s="32"/>
      <c r="D37" s="33"/>
      <c r="E37" s="33"/>
      <c r="F37" s="33"/>
      <c r="G37" s="33"/>
      <c r="H37" s="33"/>
      <c r="I37" s="34"/>
      <c r="J37" s="34"/>
      <c r="K37" s="34"/>
      <c r="L37" s="34"/>
      <c r="M37" s="5"/>
      <c r="N37" s="5"/>
      <c r="O37" s="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0.5" customHeight="1">
      <c r="A38" s="21"/>
      <c r="B38" s="33"/>
      <c r="C38" s="35"/>
      <c r="D38" s="35"/>
      <c r="E38" s="35"/>
      <c r="F38" s="35"/>
      <c r="G38" s="35"/>
      <c r="H38" s="35"/>
      <c r="I38" s="5"/>
      <c r="J38" s="5"/>
      <c r="K38" s="23"/>
      <c r="L38" s="5"/>
      <c r="M38" s="5"/>
      <c r="N38" s="5"/>
      <c r="O38" s="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0.5" customHeight="1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9" customHeight="1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s="2" customFormat="1" ht="9" customHeight="1">
      <c r="A41" s="3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s="2" customFormat="1" ht="9" customHeight="1">
      <c r="A42" s="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s="2" customFormat="1" ht="9" customHeight="1">
      <c r="A43" s="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s="2" customFormat="1" ht="9" customHeight="1">
      <c r="A44" s="6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s="2" customFormat="1" ht="9" customHeight="1">
      <c r="A45" s="6"/>
      <c r="B45" s="5"/>
      <c r="C45" s="5"/>
      <c r="D45" s="5"/>
      <c r="E45" s="5"/>
      <c r="F45" s="5"/>
      <c r="G45" s="5"/>
      <c r="H45" s="5"/>
      <c r="I45" s="5"/>
      <c r="J45" s="5"/>
      <c r="K45" s="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9" customHeight="1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9" customHeight="1">
      <c r="A47" s="10"/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9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9" customHeight="1">
      <c r="A49" s="6"/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9" customHeight="1">
      <c r="A50" s="6"/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9" customHeight="1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9" customHeight="1">
      <c r="A52" s="6"/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9" customHeight="1">
      <c r="A53" s="6"/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9" customHeight="1">
      <c r="A54" s="6"/>
      <c r="B54" s="5"/>
      <c r="C54" s="5"/>
      <c r="D54" s="5"/>
      <c r="E54" s="5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9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9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9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9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9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9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ht="9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6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ht="9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ht="9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6"/>
      <c r="M71" s="5"/>
      <c r="N71" s="5"/>
      <c r="O71" s="5"/>
      <c r="P71" s="5"/>
      <c r="Q71" s="6"/>
      <c r="R71" s="5"/>
      <c r="S71" s="5"/>
      <c r="T71" s="5"/>
      <c r="U71" s="5"/>
      <c r="V71" s="5"/>
      <c r="W71" s="5"/>
      <c r="X71" s="5"/>
      <c r="Y71" s="5"/>
      <c r="Z71" s="38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ht="9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6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5"/>
      <c r="AB72" s="5"/>
      <c r="AC72" s="37"/>
      <c r="AD72" s="37"/>
      <c r="AE72" s="37"/>
      <c r="AF72" s="37"/>
      <c r="AG72" s="5"/>
      <c r="AH72" s="37"/>
      <c r="AI72" s="37"/>
      <c r="AJ72" s="37"/>
      <c r="AK72" s="37"/>
      <c r="AL72" s="5"/>
      <c r="AM72" s="37"/>
      <c r="AN72" s="37"/>
      <c r="AO72" s="37"/>
      <c r="AP72" s="37"/>
    </row>
    <row r="73" spans="1:42" ht="9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6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5"/>
      <c r="AB73" s="5"/>
      <c r="AC73" s="6"/>
      <c r="AD73" s="6"/>
      <c r="AE73" s="6"/>
      <c r="AF73" s="6"/>
      <c r="AG73" s="5"/>
      <c r="AH73" s="6"/>
      <c r="AI73" s="6"/>
      <c r="AJ73" s="6"/>
      <c r="AK73" s="6"/>
      <c r="AL73" s="5"/>
      <c r="AM73" s="6"/>
      <c r="AN73" s="6"/>
      <c r="AO73" s="6"/>
      <c r="AP73" s="6"/>
    </row>
    <row r="74" spans="1:42" ht="9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ht="9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6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1"/>
      <c r="AA75" s="5"/>
      <c r="AB75" s="5"/>
      <c r="AC75" s="40"/>
      <c r="AD75" s="40"/>
      <c r="AE75" s="40"/>
      <c r="AF75" s="5"/>
      <c r="AG75" s="5"/>
      <c r="AH75" s="40"/>
      <c r="AI75" s="40"/>
      <c r="AJ75" s="40"/>
      <c r="AK75" s="5"/>
      <c r="AL75" s="5"/>
      <c r="AM75" s="5"/>
      <c r="AN75" s="5"/>
      <c r="AO75" s="5"/>
      <c r="AP75" s="5"/>
    </row>
    <row r="76" spans="1:42" ht="9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6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1"/>
      <c r="AA76" s="5"/>
      <c r="AB76" s="5"/>
      <c r="AC76" s="40"/>
      <c r="AD76" s="40"/>
      <c r="AE76" s="40"/>
      <c r="AF76" s="5"/>
      <c r="AG76" s="5"/>
      <c r="AH76" s="40"/>
      <c r="AI76" s="40"/>
      <c r="AJ76" s="40"/>
      <c r="AK76" s="5"/>
      <c r="AL76" s="5"/>
      <c r="AM76" s="5"/>
      <c r="AN76" s="5"/>
      <c r="AO76" s="5"/>
      <c r="AP76" s="5"/>
    </row>
    <row r="77" spans="1:42" ht="9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6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1"/>
      <c r="AA77" s="5"/>
      <c r="AB77" s="5"/>
      <c r="AC77" s="40"/>
      <c r="AD77" s="40"/>
      <c r="AE77" s="40"/>
      <c r="AF77" s="5"/>
      <c r="AG77" s="5"/>
      <c r="AH77" s="40"/>
      <c r="AI77" s="40"/>
      <c r="AJ77" s="40"/>
      <c r="AK77" s="5"/>
      <c r="AL77" s="5"/>
      <c r="AM77" s="5"/>
      <c r="AN77" s="5"/>
      <c r="AO77" s="5"/>
      <c r="AP77" s="5"/>
    </row>
    <row r="78" spans="1:42" ht="9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6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1"/>
      <c r="AA78" s="5"/>
      <c r="AB78" s="5"/>
      <c r="AC78" s="40"/>
      <c r="AD78" s="40"/>
      <c r="AE78" s="40"/>
      <c r="AF78" s="5"/>
      <c r="AG78" s="5"/>
      <c r="AH78" s="40"/>
      <c r="AI78" s="40"/>
      <c r="AJ78" s="40"/>
      <c r="AK78" s="5"/>
      <c r="AL78" s="5"/>
      <c r="AM78" s="5"/>
      <c r="AN78" s="5"/>
      <c r="AO78" s="5"/>
      <c r="AP78" s="5"/>
    </row>
    <row r="79" spans="1:42" ht="9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6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1"/>
      <c r="AA79" s="5"/>
      <c r="AB79" s="5"/>
      <c r="AC79" s="40"/>
      <c r="AD79" s="40"/>
      <c r="AE79" s="40"/>
      <c r="AF79" s="5"/>
      <c r="AG79" s="5"/>
      <c r="AH79" s="40"/>
      <c r="AI79" s="40"/>
      <c r="AJ79" s="40"/>
      <c r="AK79" s="5"/>
      <c r="AL79" s="5"/>
      <c r="AM79" s="5"/>
      <c r="AN79" s="5"/>
      <c r="AO79" s="5"/>
      <c r="AP79" s="5"/>
    </row>
    <row r="80" spans="1:42" ht="9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6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1"/>
      <c r="AA80" s="5"/>
      <c r="AB80" s="5"/>
      <c r="AC80" s="40"/>
      <c r="AD80" s="40"/>
      <c r="AE80" s="40"/>
      <c r="AF80" s="5"/>
      <c r="AG80" s="5"/>
      <c r="AH80" s="40"/>
      <c r="AI80" s="40"/>
      <c r="AJ80" s="40"/>
      <c r="AK80" s="5"/>
      <c r="AL80" s="5"/>
      <c r="AM80" s="5"/>
      <c r="AN80" s="5"/>
      <c r="AO80" s="5"/>
      <c r="AP80" s="5"/>
    </row>
    <row r="81" spans="1:42" ht="9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6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40"/>
      <c r="Y81" s="40"/>
      <c r="Z81" s="41"/>
      <c r="AA81" s="5"/>
      <c r="AB81" s="5"/>
      <c r="AC81" s="40"/>
      <c r="AD81" s="40"/>
      <c r="AE81" s="40"/>
      <c r="AF81" s="5"/>
      <c r="AG81" s="5"/>
      <c r="AH81" s="40"/>
      <c r="AI81" s="40"/>
      <c r="AJ81" s="40"/>
      <c r="AK81" s="5"/>
      <c r="AL81" s="5"/>
      <c r="AM81" s="5"/>
      <c r="AN81" s="5"/>
      <c r="AO81" s="5"/>
      <c r="AP81" s="5"/>
    </row>
    <row r="82" spans="1:42" ht="9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39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41"/>
      <c r="AA82" s="5"/>
      <c r="AB82" s="5"/>
      <c r="AC82" s="40"/>
      <c r="AD82" s="40"/>
      <c r="AE82" s="40"/>
      <c r="AF82" s="40"/>
      <c r="AG82" s="5"/>
      <c r="AH82" s="40"/>
      <c r="AI82" s="40"/>
      <c r="AJ82" s="40"/>
      <c r="AK82" s="40"/>
      <c r="AL82" s="5"/>
      <c r="AM82" s="5"/>
      <c r="AN82" s="5"/>
      <c r="AO82" s="5"/>
      <c r="AP82" s="5"/>
    </row>
    <row r="83" spans="1:4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ht="9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6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1"/>
      <c r="AA84" s="5"/>
      <c r="AB84" s="5"/>
      <c r="AC84" s="40"/>
      <c r="AD84" s="40"/>
      <c r="AE84" s="40"/>
      <c r="AF84" s="5"/>
      <c r="AG84" s="5"/>
      <c r="AH84" s="40"/>
      <c r="AI84" s="40"/>
      <c r="AJ84" s="40"/>
      <c r="AK84" s="5"/>
      <c r="AL84" s="5"/>
      <c r="AM84" s="5"/>
      <c r="AN84" s="5"/>
      <c r="AO84" s="5"/>
      <c r="AP84" s="5"/>
    </row>
    <row r="85" spans="1:42" ht="9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6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1"/>
      <c r="AA85" s="5"/>
      <c r="AB85" s="5"/>
      <c r="AC85" s="40"/>
      <c r="AD85" s="40"/>
      <c r="AE85" s="40"/>
      <c r="AF85" s="5"/>
      <c r="AG85" s="5"/>
      <c r="AH85" s="40"/>
      <c r="AI85" s="40"/>
      <c r="AJ85" s="40"/>
      <c r="AK85" s="5"/>
      <c r="AL85" s="5"/>
      <c r="AM85" s="5"/>
      <c r="AN85" s="5"/>
      <c r="AO85" s="5"/>
      <c r="AP85" s="5"/>
    </row>
    <row r="86" spans="1:42" ht="9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6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1"/>
      <c r="AA86" s="5"/>
      <c r="AB86" s="5"/>
      <c r="AC86" s="40"/>
      <c r="AD86" s="40"/>
      <c r="AE86" s="40"/>
      <c r="AF86" s="5"/>
      <c r="AG86" s="5"/>
      <c r="AH86" s="40"/>
      <c r="AI86" s="40"/>
      <c r="AJ86" s="40"/>
      <c r="AK86" s="5"/>
      <c r="AL86" s="5"/>
      <c r="AM86" s="5"/>
      <c r="AN86" s="5"/>
      <c r="AO86" s="5"/>
      <c r="AP86" s="5"/>
    </row>
    <row r="87" spans="1:42" ht="9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6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1"/>
      <c r="AA87" s="5"/>
      <c r="AB87" s="5"/>
      <c r="AC87" s="40"/>
      <c r="AD87" s="40"/>
      <c r="AE87" s="40"/>
      <c r="AF87" s="5"/>
      <c r="AG87" s="5"/>
      <c r="AH87" s="40"/>
      <c r="AI87" s="40"/>
      <c r="AJ87" s="40"/>
      <c r="AK87" s="5"/>
      <c r="AL87" s="5"/>
      <c r="AM87" s="5"/>
      <c r="AN87" s="5"/>
      <c r="AO87" s="5"/>
      <c r="AP87" s="5"/>
    </row>
    <row r="88" spans="1:42" ht="9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6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1"/>
      <c r="AA88" s="5"/>
      <c r="AB88" s="5"/>
      <c r="AC88" s="40"/>
      <c r="AD88" s="40"/>
      <c r="AE88" s="40"/>
      <c r="AF88" s="5"/>
      <c r="AG88" s="5"/>
      <c r="AH88" s="40"/>
      <c r="AI88" s="40"/>
      <c r="AJ88" s="40"/>
      <c r="AK88" s="5"/>
      <c r="AL88" s="5"/>
      <c r="AM88" s="5"/>
      <c r="AN88" s="5"/>
      <c r="AO88" s="5"/>
      <c r="AP88" s="5"/>
    </row>
    <row r="89" spans="1:42" ht="9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6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1"/>
      <c r="AA89" s="5"/>
      <c r="AB89" s="5"/>
      <c r="AC89" s="40"/>
      <c r="AD89" s="40"/>
      <c r="AE89" s="40"/>
      <c r="AF89" s="5"/>
      <c r="AG89" s="5"/>
      <c r="AH89" s="40"/>
      <c r="AI89" s="40"/>
      <c r="AJ89" s="40"/>
      <c r="AK89" s="5"/>
      <c r="AL89" s="5"/>
      <c r="AM89" s="5"/>
      <c r="AN89" s="5"/>
      <c r="AO89" s="5"/>
      <c r="AP89" s="5"/>
    </row>
    <row r="90" spans="1:42" ht="9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6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1"/>
      <c r="AA90" s="5"/>
      <c r="AB90" s="5"/>
      <c r="AC90" s="40"/>
      <c r="AD90" s="40"/>
      <c r="AE90" s="40"/>
      <c r="AF90" s="5"/>
      <c r="AG90" s="5"/>
      <c r="AH90" s="40"/>
      <c r="AI90" s="40"/>
      <c r="AJ90" s="40"/>
      <c r="AK90" s="5"/>
      <c r="AL90" s="5"/>
      <c r="AM90" s="5"/>
      <c r="AN90" s="5"/>
      <c r="AO90" s="5"/>
      <c r="AP90" s="5"/>
    </row>
    <row r="91" spans="1:42" ht="9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6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1"/>
      <c r="AA91" s="5"/>
      <c r="AB91" s="5"/>
      <c r="AC91" s="40"/>
      <c r="AD91" s="40"/>
      <c r="AE91" s="40"/>
      <c r="AF91" s="5"/>
      <c r="AG91" s="5"/>
      <c r="AH91" s="40"/>
      <c r="AI91" s="40"/>
      <c r="AJ91" s="40"/>
      <c r="AK91" s="5"/>
      <c r="AL91" s="5"/>
      <c r="AM91" s="5"/>
      <c r="AN91" s="5"/>
      <c r="AO91" s="5"/>
      <c r="AP91" s="5"/>
    </row>
    <row r="92" spans="1:42" ht="9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6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1"/>
      <c r="AA92" s="5"/>
      <c r="AB92" s="5"/>
      <c r="AC92" s="40"/>
      <c r="AD92" s="40"/>
      <c r="AE92" s="40"/>
      <c r="AF92" s="5"/>
      <c r="AG92" s="5"/>
      <c r="AH92" s="40"/>
      <c r="AI92" s="40"/>
      <c r="AJ92" s="40"/>
      <c r="AK92" s="5"/>
      <c r="AL92" s="5"/>
      <c r="AM92" s="5"/>
      <c r="AN92" s="5"/>
      <c r="AO92" s="5"/>
      <c r="AP92" s="5"/>
    </row>
    <row r="93" spans="1:42" ht="9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39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41"/>
      <c r="AA93" s="5"/>
      <c r="AB93" s="5"/>
      <c r="AC93" s="40"/>
      <c r="AD93" s="40"/>
      <c r="AE93" s="40"/>
      <c r="AF93" s="40"/>
      <c r="AG93" s="5"/>
      <c r="AH93" s="40"/>
      <c r="AI93" s="40"/>
      <c r="AJ93" s="40"/>
      <c r="AK93" s="40"/>
      <c r="AL93" s="5"/>
      <c r="AM93" s="5"/>
      <c r="AN93" s="5"/>
      <c r="AO93" s="5"/>
      <c r="AP93" s="5"/>
    </row>
    <row r="94" spans="1:4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 ht="9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6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1"/>
      <c r="AA95" s="5"/>
      <c r="AB95" s="5"/>
      <c r="AC95" s="40"/>
      <c r="AD95" s="40"/>
      <c r="AE95" s="40"/>
      <c r="AF95" s="5"/>
      <c r="AG95" s="5"/>
      <c r="AH95" s="40"/>
      <c r="AI95" s="40"/>
      <c r="AJ95" s="40"/>
      <c r="AK95" s="5"/>
      <c r="AL95" s="5"/>
      <c r="AM95" s="5"/>
      <c r="AN95" s="5"/>
      <c r="AO95" s="5"/>
      <c r="AP95" s="5"/>
    </row>
    <row r="96" spans="1:42" ht="9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6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1"/>
      <c r="AA96" s="5"/>
      <c r="AB96" s="5"/>
      <c r="AC96" s="40"/>
      <c r="AD96" s="40"/>
      <c r="AE96" s="40"/>
      <c r="AF96" s="5"/>
      <c r="AG96" s="5"/>
      <c r="AH96" s="40"/>
      <c r="AI96" s="40"/>
      <c r="AJ96" s="40"/>
      <c r="AK96" s="5"/>
      <c r="AL96" s="5"/>
      <c r="AM96" s="5"/>
      <c r="AN96" s="5"/>
      <c r="AO96" s="5"/>
      <c r="AP96" s="5"/>
    </row>
    <row r="97" spans="1:42" ht="9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6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1"/>
      <c r="AA97" s="5"/>
      <c r="AB97" s="5"/>
      <c r="AC97" s="40"/>
      <c r="AD97" s="40"/>
      <c r="AE97" s="40"/>
      <c r="AF97" s="5"/>
      <c r="AG97" s="5"/>
      <c r="AH97" s="40"/>
      <c r="AI97" s="40"/>
      <c r="AJ97" s="40"/>
      <c r="AK97" s="5"/>
      <c r="AL97" s="5"/>
      <c r="AM97" s="5"/>
      <c r="AN97" s="5"/>
      <c r="AO97" s="5"/>
      <c r="AP97" s="5"/>
    </row>
    <row r="98" spans="1:42" ht="9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6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1"/>
      <c r="AA98" s="5"/>
      <c r="AB98" s="5"/>
      <c r="AC98" s="40"/>
      <c r="AD98" s="40"/>
      <c r="AE98" s="40"/>
      <c r="AF98" s="5"/>
      <c r="AG98" s="5"/>
      <c r="AH98" s="40"/>
      <c r="AI98" s="40"/>
      <c r="AJ98" s="40"/>
      <c r="AK98" s="5"/>
      <c r="AL98" s="5"/>
      <c r="AM98" s="5"/>
      <c r="AN98" s="5"/>
      <c r="AO98" s="5"/>
      <c r="AP98" s="5"/>
    </row>
    <row r="99" spans="1:42" ht="9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39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41"/>
      <c r="AA99" s="5"/>
      <c r="AB99" s="5"/>
      <c r="AC99" s="40"/>
      <c r="AD99" s="40"/>
      <c r="AE99" s="40"/>
      <c r="AF99" s="40"/>
      <c r="AG99" s="5"/>
      <c r="AH99" s="40"/>
      <c r="AI99" s="40"/>
      <c r="AJ99" s="40"/>
      <c r="AK99" s="40"/>
      <c r="AL99" s="5"/>
      <c r="AM99" s="5"/>
      <c r="AN99" s="5"/>
      <c r="AO99" s="5"/>
      <c r="AP99" s="5"/>
    </row>
    <row r="100" spans="1:4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 ht="9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1"/>
      <c r="AA101" s="5"/>
      <c r="AB101" s="5"/>
      <c r="AC101" s="40"/>
      <c r="AD101" s="40"/>
      <c r="AE101" s="40"/>
      <c r="AF101" s="5"/>
      <c r="AG101" s="5"/>
      <c r="AH101" s="40"/>
      <c r="AI101" s="40"/>
      <c r="AJ101" s="40"/>
      <c r="AK101" s="5"/>
      <c r="AL101" s="5"/>
      <c r="AM101" s="5"/>
      <c r="AN101" s="5"/>
      <c r="AO101" s="5"/>
      <c r="AP101" s="5"/>
    </row>
    <row r="102" spans="1:42" ht="9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6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1"/>
      <c r="AA102" s="5"/>
      <c r="AB102" s="5"/>
      <c r="AC102" s="40"/>
      <c r="AD102" s="40"/>
      <c r="AE102" s="40"/>
      <c r="AF102" s="5"/>
      <c r="AG102" s="5"/>
      <c r="AH102" s="40"/>
      <c r="AI102" s="40"/>
      <c r="AJ102" s="40"/>
      <c r="AK102" s="5"/>
      <c r="AL102" s="5"/>
      <c r="AM102" s="5"/>
      <c r="AN102" s="5"/>
      <c r="AO102" s="5"/>
      <c r="AP102" s="5"/>
    </row>
    <row r="103" spans="1:42" ht="9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6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1"/>
      <c r="AA103" s="5"/>
      <c r="AB103" s="5"/>
      <c r="AC103" s="40"/>
      <c r="AD103" s="40"/>
      <c r="AE103" s="40"/>
      <c r="AF103" s="5"/>
      <c r="AG103" s="5"/>
      <c r="AH103" s="40"/>
      <c r="AI103" s="40"/>
      <c r="AJ103" s="40"/>
      <c r="AK103" s="5"/>
      <c r="AL103" s="5"/>
      <c r="AM103" s="5"/>
      <c r="AN103" s="5"/>
      <c r="AO103" s="5"/>
      <c r="AP103" s="5"/>
    </row>
    <row r="104" spans="1:42" ht="9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39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41"/>
      <c r="AA104" s="5"/>
      <c r="AB104" s="5"/>
      <c r="AC104" s="40"/>
      <c r="AD104" s="40"/>
      <c r="AE104" s="40"/>
      <c r="AF104" s="40"/>
      <c r="AG104" s="5"/>
      <c r="AH104" s="40"/>
      <c r="AI104" s="40"/>
      <c r="AJ104" s="40"/>
      <c r="AK104" s="40"/>
      <c r="AL104" s="5"/>
      <c r="AM104" s="5"/>
      <c r="AN104" s="5"/>
      <c r="AO104" s="5"/>
      <c r="AP104" s="5"/>
    </row>
    <row r="105" spans="1:4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 ht="9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6"/>
      <c r="M106" s="5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1"/>
      <c r="AA106" s="5"/>
      <c r="AB106" s="5"/>
      <c r="AC106" s="40"/>
      <c r="AD106" s="40"/>
      <c r="AE106" s="40"/>
      <c r="AF106" s="5"/>
      <c r="AG106" s="5"/>
      <c r="AH106" s="40"/>
      <c r="AI106" s="40"/>
      <c r="AJ106" s="40"/>
      <c r="AK106" s="5"/>
      <c r="AL106" s="5"/>
      <c r="AM106" s="5"/>
      <c r="AN106" s="5"/>
      <c r="AO106" s="5"/>
      <c r="AP106" s="5"/>
    </row>
    <row r="107" spans="1:42" ht="9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6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1"/>
      <c r="AA107" s="5"/>
      <c r="AB107" s="5"/>
      <c r="AC107" s="40"/>
      <c r="AD107" s="40"/>
      <c r="AE107" s="40"/>
      <c r="AF107" s="5"/>
      <c r="AG107" s="5"/>
      <c r="AH107" s="40"/>
      <c r="AI107" s="40"/>
      <c r="AJ107" s="40"/>
      <c r="AK107" s="5"/>
      <c r="AL107" s="5"/>
      <c r="AM107" s="5"/>
      <c r="AN107" s="5"/>
      <c r="AO107" s="5"/>
      <c r="AP107" s="5"/>
    </row>
    <row r="108" spans="1:42" ht="9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6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1"/>
      <c r="AA108" s="5"/>
      <c r="AB108" s="5"/>
      <c r="AC108" s="40"/>
      <c r="AD108" s="40"/>
      <c r="AE108" s="40"/>
      <c r="AF108" s="5"/>
      <c r="AG108" s="5"/>
      <c r="AH108" s="40"/>
      <c r="AI108" s="40"/>
      <c r="AJ108" s="40"/>
      <c r="AK108" s="5"/>
      <c r="AL108" s="5"/>
      <c r="AM108" s="5"/>
      <c r="AN108" s="5"/>
      <c r="AO108" s="5"/>
      <c r="AP108" s="5"/>
    </row>
    <row r="109" spans="1:42" ht="9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6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1"/>
      <c r="AA109" s="5"/>
      <c r="AB109" s="5"/>
      <c r="AC109" s="40"/>
      <c r="AD109" s="40"/>
      <c r="AE109" s="40"/>
      <c r="AF109" s="5"/>
      <c r="AG109" s="5"/>
      <c r="AH109" s="40"/>
      <c r="AI109" s="40"/>
      <c r="AJ109" s="40"/>
      <c r="AK109" s="5"/>
      <c r="AL109" s="5"/>
      <c r="AM109" s="5"/>
      <c r="AN109" s="5"/>
      <c r="AO109" s="5"/>
      <c r="AP109" s="5"/>
    </row>
    <row r="110" spans="1:42" ht="9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39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41"/>
      <c r="AA110" s="5"/>
      <c r="AB110" s="5"/>
      <c r="AC110" s="40"/>
      <c r="AD110" s="40"/>
      <c r="AE110" s="40"/>
      <c r="AF110" s="40"/>
      <c r="AG110" s="5"/>
      <c r="AH110" s="40"/>
      <c r="AI110" s="40"/>
      <c r="AJ110" s="40"/>
      <c r="AK110" s="40"/>
      <c r="AL110" s="5"/>
      <c r="AM110" s="5"/>
      <c r="AN110" s="5"/>
      <c r="AO110" s="5"/>
      <c r="AP110" s="5"/>
    </row>
    <row r="111" spans="1:42" ht="9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37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3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1:42" ht="9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6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41"/>
      <c r="AA112" s="5"/>
      <c r="AB112" s="5"/>
      <c r="AC112" s="34"/>
      <c r="AD112" s="34"/>
      <c r="AE112" s="34"/>
      <c r="AF112" s="34"/>
      <c r="AG112" s="5"/>
      <c r="AH112" s="34"/>
      <c r="AI112" s="34"/>
      <c r="AJ112" s="34"/>
      <c r="AK112" s="34"/>
      <c r="AL112" s="5"/>
      <c r="AM112" s="5"/>
      <c r="AN112" s="5"/>
      <c r="AO112" s="5"/>
      <c r="AP112" s="5"/>
    </row>
    <row r="113" spans="1:42" ht="9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37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1:42" ht="9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6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1:42" ht="9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6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1:42" ht="9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6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2" ht="9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2" ht="9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6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</sheetData>
  <mergeCells count="3">
    <mergeCell ref="L3:L4"/>
    <mergeCell ref="A3:A4"/>
    <mergeCell ref="B3:K3"/>
  </mergeCells>
  <printOptions horizontalCentered="1"/>
  <pageMargins left="0.59027777777777801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T1.26</vt:lpstr>
      <vt:lpstr>T1.26!Area_de_impressao</vt:lpstr>
      <vt:lpstr>T1.26!Titulos_de_impressao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creator>Jose Lopes de Souza</dc:creator>
  <cp:lastModifiedBy>Jose Lopes de Souza</cp:lastModifiedBy>
  <cp:revision>0</cp:revision>
  <cp:lastPrinted>2009-07-06T13:30:09Z</cp:lastPrinted>
  <dcterms:created xsi:type="dcterms:W3CDTF">1998-04-06T18:41:05Z</dcterms:created>
  <dcterms:modified xsi:type="dcterms:W3CDTF">2026-07-13T21:37:23Z</dcterms:modified>
  <dc:language>en-US</dc:language>
</cp:coreProperties>
</file>