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8060" windowHeight="6490" tabRatio="592" activeTab="0"/>
  </bookViews>
  <sheets>
    <sheet name="T3.30" sheetId="1" r:id="rId1"/>
  </sheets>
  <definedNames>
    <definedName name="_Fill" hidden="1">'T3.30'!#REF!</definedName>
    <definedName name="_xlnm.Print_Area" localSheetId="0">'T3.30'!$A$1:$M$38</definedName>
    <definedName name="_xlnm.Print_Titles" localSheetId="0">'T3.30'!$A:$A</definedName>
    <definedName name="Títulos_impressão_IM" localSheetId="0">'T3.30'!$A:$A</definedName>
  </definedNames>
  <calcPr fullCalcOnLoad="1"/>
</workbook>
</file>

<file path=xl/sharedStrings.xml><?xml version="1.0" encoding="utf-8"?>
<sst xmlns="http://schemas.openxmlformats.org/spreadsheetml/2006/main" count="31" uniqueCount="31">
  <si>
    <t>Região Nordeste</t>
  </si>
  <si>
    <t>Paraíba</t>
  </si>
  <si>
    <t>Pernambuco</t>
  </si>
  <si>
    <t>Alagoas</t>
  </si>
  <si>
    <t>Região Sudeste</t>
  </si>
  <si>
    <t>Espírito Santo</t>
  </si>
  <si>
    <t>Minas Gerais</t>
  </si>
  <si>
    <t>Região Sul</t>
  </si>
  <si>
    <t>Santa Catarina</t>
  </si>
  <si>
    <t>Região Centro-Oeste</t>
  </si>
  <si>
    <t>Região Norte</t>
  </si>
  <si>
    <t>Amazonas</t>
  </si>
  <si>
    <t>Brasil</t>
  </si>
  <si>
    <t>Maranhão</t>
  </si>
  <si>
    <r>
      <t>Rio de Janeiro</t>
    </r>
    <r>
      <rPr>
        <vertAlign val="superscript"/>
        <sz val="7"/>
        <rFont val="Helvetica Neue"/>
        <family val="0"/>
      </rPr>
      <t>1</t>
    </r>
  </si>
  <si>
    <r>
      <t>São Paulo</t>
    </r>
    <r>
      <rPr>
        <vertAlign val="superscript"/>
        <sz val="7"/>
        <rFont val="Helvetica Neue"/>
        <family val="0"/>
      </rPr>
      <t>1</t>
    </r>
  </si>
  <si>
    <r>
      <t>Paraná</t>
    </r>
    <r>
      <rPr>
        <vertAlign val="superscript"/>
        <sz val="7"/>
        <rFont val="Helvetica Neue"/>
        <family val="0"/>
      </rPr>
      <t>1</t>
    </r>
  </si>
  <si>
    <r>
      <t>Rio Grande do Sul</t>
    </r>
    <r>
      <rPr>
        <vertAlign val="superscript"/>
        <sz val="7"/>
        <rFont val="Helvetica Neue"/>
        <family val="0"/>
      </rPr>
      <t>1</t>
    </r>
  </si>
  <si>
    <r>
      <t>Mato Grosso do Sul</t>
    </r>
    <r>
      <rPr>
        <vertAlign val="superscript"/>
        <sz val="7"/>
        <rFont val="Helvetica Neue"/>
        <family val="0"/>
      </rPr>
      <t>1</t>
    </r>
  </si>
  <si>
    <r>
      <t>Mato Grosso</t>
    </r>
    <r>
      <rPr>
        <vertAlign val="superscript"/>
        <sz val="7"/>
        <rFont val="Helvetica Neue"/>
        <family val="0"/>
      </rPr>
      <t>1</t>
    </r>
  </si>
  <si>
    <r>
      <t>Ceará</t>
    </r>
    <r>
      <rPr>
        <vertAlign val="superscript"/>
        <sz val="7"/>
        <rFont val="Helvetica Neue"/>
        <family val="0"/>
      </rPr>
      <t>1</t>
    </r>
  </si>
  <si>
    <r>
      <t>Rio Grande do Norte</t>
    </r>
    <r>
      <rPr>
        <vertAlign val="superscript"/>
        <sz val="7"/>
        <rFont val="Helvetica Neue"/>
        <family val="0"/>
      </rPr>
      <t>1</t>
    </r>
  </si>
  <si>
    <r>
      <t>Bahia</t>
    </r>
    <r>
      <rPr>
        <vertAlign val="superscript"/>
        <sz val="7"/>
        <rFont val="Helvetica Neue"/>
        <family val="2"/>
      </rPr>
      <t>1, 2</t>
    </r>
  </si>
  <si>
    <t>Grandes Regiões e Unidades da Federação</t>
  </si>
  <si>
    <t>Fontes: Petrobras e ANP</t>
  </si>
  <si>
    <r>
      <t>Nota: Estão relacionadas apenas as Grandes Regiões e as Unidades da Federação onde houve vendas de gás natural no período especificado.</t>
    </r>
    <r>
      <rPr>
        <vertAlign val="superscript"/>
        <sz val="7"/>
        <rFont val="Helvetica Neue"/>
        <family val="0"/>
      </rPr>
      <t xml:space="preserve"> </t>
    </r>
  </si>
  <si>
    <r>
      <t>Vendas de gás natural pelos produtores (milhões de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</si>
  <si>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Tabela 3.30 – Vendas de gás natural, pelos produtores, segundo Grandes Regiões e Unidades da Federação – 2011-2020</t>
  </si>
  <si>
    <t>20/19
%</t>
  </si>
  <si>
    <t>Sergipe</t>
  </si>
  <si>
    <r>
      <rPr>
        <sz val="7"/>
        <rFont val="Helvetica Neue"/>
        <family val="0"/>
      </rPr>
      <t xml:space="preserve"> </t>
    </r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 xml:space="preserve">Inclui as vendas para geração térmica.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Inclui as vendas para a Fábrica de Fertilizantes Nitrogenados (Fafen) pertencentes à Petrobras.</t>
    </r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</si>
</sst>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#,##0.000"/>
    <numFmt numFmtId="188" formatCode="0.0"/>
    <numFmt numFmtId="189" formatCode="0.0000"/>
    <numFmt numFmtId="190" formatCode="_(* #,##0.000_);_(* \(#,##0.000\);_(* &quot;-&quot;??_);_(@_)"/>
    <numFmt numFmtId="191" formatCode="_(* #,##0.000_);_(* \(#,##0.000\);_(* &quot;-&quot;???_);_(@_)"/>
    <numFmt numFmtId="192" formatCode="0.0%"/>
    <numFmt numFmtId="193" formatCode="_-* #,##0.000_-;\-* #,##0.000_-;_-* &quot;-&quot;???_-;_-@_-"/>
  </numFmts>
  <fonts count="4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1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4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85" fontId="7" fillId="0" borderId="0" xfId="61" applyNumberFormat="1" applyFont="1" applyFill="1" applyBorder="1" applyAlignment="1" applyProtection="1">
      <alignment horizontal="right" vertical="center" wrapText="1"/>
      <protection/>
    </xf>
    <xf numFmtId="4" fontId="7" fillId="0" borderId="0" xfId="61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>
      <alignment horizontal="left" vertical="center"/>
    </xf>
    <xf numFmtId="185" fontId="6" fillId="0" borderId="0" xfId="61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185" fontId="6" fillId="0" borderId="0" xfId="61" applyNumberFormat="1" applyFont="1" applyFill="1" applyBorder="1" applyAlignment="1">
      <alignment vertical="center"/>
    </xf>
    <xf numFmtId="4" fontId="6" fillId="0" borderId="0" xfId="61" applyNumberFormat="1" applyFont="1" applyFill="1" applyBorder="1" applyAlignment="1" applyProtection="1">
      <alignment horizontal="right" vertical="center" wrapText="1"/>
      <protection/>
    </xf>
    <xf numFmtId="185" fontId="6" fillId="0" borderId="0" xfId="61" applyNumberFormat="1" applyFont="1" applyFill="1" applyBorder="1" applyAlignment="1" applyProtection="1">
      <alignment horizontal="right" vertical="center" wrapText="1"/>
      <protection/>
    </xf>
    <xf numFmtId="4" fontId="6" fillId="0" borderId="0" xfId="0" applyNumberFormat="1" applyFont="1" applyFill="1" applyBorder="1" applyAlignment="1" applyProtection="1">
      <alignment horizontal="right" vertical="center" wrapText="1"/>
      <protection/>
    </xf>
    <xf numFmtId="185" fontId="6" fillId="0" borderId="0" xfId="61" applyNumberFormat="1" applyFont="1" applyFill="1" applyBorder="1" applyAlignment="1">
      <alignment horizontal="right" vertical="center"/>
    </xf>
    <xf numFmtId="185" fontId="7" fillId="0" borderId="0" xfId="61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/>
    </xf>
    <xf numFmtId="37" fontId="6" fillId="0" borderId="11" xfId="0" applyNumberFormat="1" applyFont="1" applyFill="1" applyBorder="1" applyAlignment="1" applyProtection="1">
      <alignment horizontal="center" vertical="center"/>
      <protection/>
    </xf>
    <xf numFmtId="37" fontId="6" fillId="0" borderId="11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horizontal="left" vertical="center"/>
    </xf>
    <xf numFmtId="37" fontId="6" fillId="0" borderId="0" xfId="0" applyNumberFormat="1" applyFont="1" applyFill="1" applyBorder="1" applyAlignment="1">
      <alignment vertical="center"/>
    </xf>
    <xf numFmtId="37" fontId="6" fillId="0" borderId="0" xfId="0" applyNumberFormat="1" applyFont="1" applyFill="1" applyBorder="1" applyAlignment="1" applyProtection="1">
      <alignment horizontal="left" vertical="center"/>
      <protection/>
    </xf>
    <xf numFmtId="0" fontId="6" fillId="35" borderId="0" xfId="0" applyFont="1" applyFill="1" applyAlignment="1">
      <alignment vertical="center"/>
    </xf>
    <xf numFmtId="0" fontId="6" fillId="35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fill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37" fontId="6" fillId="0" borderId="0" xfId="0" applyNumberFormat="1" applyFont="1" applyAlignment="1" applyProtection="1">
      <alignment vertical="center"/>
      <protection locked="0"/>
    </xf>
    <xf numFmtId="37" fontId="6" fillId="0" borderId="0" xfId="0" applyNumberFormat="1" applyFont="1" applyAlignment="1" applyProtection="1">
      <alignment horizontal="center" vertical="center"/>
      <protection locked="0"/>
    </xf>
    <xf numFmtId="37" fontId="6" fillId="0" borderId="0" xfId="0" applyNumberFormat="1" applyFont="1" applyAlignment="1" applyProtection="1">
      <alignment vertical="center"/>
      <protection/>
    </xf>
    <xf numFmtId="37" fontId="6" fillId="0" borderId="0" xfId="0" applyNumberFormat="1" applyFont="1" applyAlignment="1" applyProtection="1">
      <alignment horizontal="fill" vertical="center"/>
      <protection/>
    </xf>
    <xf numFmtId="37" fontId="6" fillId="0" borderId="0" xfId="0" applyNumberFormat="1" applyFont="1" applyAlignment="1" applyProtection="1">
      <alignment horizontal="fill" vertical="center"/>
      <protection locked="0"/>
    </xf>
    <xf numFmtId="0" fontId="10" fillId="0" borderId="0" xfId="0" applyFont="1" applyFill="1" applyBorder="1" applyAlignment="1">
      <alignment vertical="center"/>
    </xf>
    <xf numFmtId="37" fontId="10" fillId="0" borderId="0" xfId="0" applyNumberFormat="1" applyFont="1" applyFill="1" applyBorder="1" applyAlignment="1" applyProtection="1">
      <alignment horizontal="center"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>
      <alignment vertical="center"/>
    </xf>
    <xf numFmtId="185" fontId="6" fillId="0" borderId="0" xfId="6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85" fontId="6" fillId="0" borderId="0" xfId="0" applyNumberFormat="1" applyFont="1" applyFill="1" applyBorder="1" applyAlignment="1">
      <alignment vertical="center"/>
    </xf>
    <xf numFmtId="189" fontId="6" fillId="0" borderId="0" xfId="0" applyNumberFormat="1" applyFont="1" applyAlignment="1">
      <alignment vertical="center"/>
    </xf>
    <xf numFmtId="189" fontId="6" fillId="33" borderId="0" xfId="0" applyNumberFormat="1" applyFont="1" applyFill="1" applyAlignment="1">
      <alignment vertical="center"/>
    </xf>
    <xf numFmtId="189" fontId="6" fillId="0" borderId="0" xfId="0" applyNumberFormat="1" applyFont="1" applyFill="1" applyBorder="1" applyAlignment="1">
      <alignment vertical="center"/>
    </xf>
    <xf numFmtId="189" fontId="6" fillId="0" borderId="0" xfId="0" applyNumberFormat="1" applyFont="1" applyAlignment="1">
      <alignment horizontal="center" vertical="center"/>
    </xf>
    <xf numFmtId="4" fontId="6" fillId="0" borderId="0" xfId="61" applyNumberFormat="1" applyFont="1" applyFill="1" applyBorder="1" applyAlignment="1" applyProtection="1">
      <alignment horizontal="right" vertical="center" wrapText="1"/>
      <protection/>
    </xf>
    <xf numFmtId="190" fontId="6" fillId="0" borderId="0" xfId="61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190" fontId="6" fillId="0" borderId="0" xfId="61" applyNumberFormat="1" applyFont="1" applyFill="1" applyBorder="1" applyAlignment="1" applyProtection="1">
      <alignment horizontal="right" vertical="center" wrapText="1"/>
      <protection/>
    </xf>
    <xf numFmtId="186" fontId="6" fillId="0" borderId="0" xfId="61" applyNumberFormat="1" applyFont="1" applyFill="1" applyBorder="1" applyAlignment="1" applyProtection="1">
      <alignment horizontal="right" vertical="center" wrapText="1"/>
      <protection/>
    </xf>
    <xf numFmtId="190" fontId="6" fillId="0" borderId="0" xfId="61" applyNumberFormat="1" applyFont="1" applyFill="1" applyBorder="1" applyAlignment="1">
      <alignment vertical="center"/>
    </xf>
    <xf numFmtId="4" fontId="7" fillId="0" borderId="0" xfId="61" applyNumberFormat="1" applyFont="1" applyFill="1" applyBorder="1" applyAlignment="1" applyProtection="1">
      <alignment horizontal="right" vertical="center" wrapText="1"/>
      <protection/>
    </xf>
    <xf numFmtId="185" fontId="6" fillId="0" borderId="0" xfId="61" applyNumberFormat="1" applyFont="1" applyFill="1" applyBorder="1" applyAlignment="1" applyProtection="1">
      <alignment horizontal="right" vertical="center" wrapText="1"/>
      <protection/>
    </xf>
    <xf numFmtId="184" fontId="6" fillId="0" borderId="0" xfId="0" applyNumberFormat="1" applyFont="1" applyFill="1" applyBorder="1" applyAlignment="1">
      <alignment vertical="center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Currency" xfId="45"/>
    <cellStyle name="Currency [0]" xfId="46"/>
    <cellStyle name="Neutro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Q118"/>
  <sheetViews>
    <sheetView showGridLines="0" tabSelected="1" zoomScalePageLayoutView="0" workbookViewId="0" topLeftCell="A1">
      <selection activeCell="A2" sqref="A2"/>
    </sheetView>
  </sheetViews>
  <sheetFormatPr defaultColWidth="10.6640625" defaultRowHeight="15"/>
  <cols>
    <col min="1" max="1" width="15.4453125" style="29" customWidth="1"/>
    <col min="2" max="7" width="5.3359375" style="1" customWidth="1"/>
    <col min="8" max="11" width="5.3359375" style="28" customWidth="1"/>
    <col min="12" max="12" width="5.3359375" style="1" customWidth="1"/>
    <col min="13" max="13" width="1.88671875" style="46" customWidth="1"/>
    <col min="14" max="16384" width="10.6640625" style="1" customWidth="1"/>
  </cols>
  <sheetData>
    <row r="1" spans="1:12" ht="12.75" customHeight="1">
      <c r="A1" s="53" t="s">
        <v>27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s="4" customFormat="1" ht="9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7"/>
    </row>
    <row r="3" spans="1:13" s="4" customFormat="1" ht="10.5" customHeight="1">
      <c r="A3" s="60" t="s">
        <v>23</v>
      </c>
      <c r="B3" s="64" t="s">
        <v>26</v>
      </c>
      <c r="C3" s="65"/>
      <c r="D3" s="65"/>
      <c r="E3" s="65"/>
      <c r="F3" s="65"/>
      <c r="G3" s="65"/>
      <c r="H3" s="65"/>
      <c r="I3" s="65"/>
      <c r="J3" s="65"/>
      <c r="K3" s="66"/>
      <c r="L3" s="62" t="s">
        <v>28</v>
      </c>
      <c r="M3" s="47"/>
    </row>
    <row r="4" spans="1:13" s="4" customFormat="1" ht="10.5" customHeight="1">
      <c r="A4" s="61"/>
      <c r="B4" s="5">
        <v>2011</v>
      </c>
      <c r="C4" s="5">
        <v>2012</v>
      </c>
      <c r="D4" s="5">
        <v>2013</v>
      </c>
      <c r="E4" s="5">
        <v>2014</v>
      </c>
      <c r="F4" s="5">
        <v>2015</v>
      </c>
      <c r="G4" s="5">
        <v>2016</v>
      </c>
      <c r="H4" s="5">
        <v>2017</v>
      </c>
      <c r="I4" s="5">
        <v>2018</v>
      </c>
      <c r="J4" s="5">
        <v>2019</v>
      </c>
      <c r="K4" s="5">
        <v>2020</v>
      </c>
      <c r="L4" s="63"/>
      <c r="M4" s="47"/>
    </row>
    <row r="5" spans="1:13" s="7" customFormat="1" ht="9">
      <c r="A5" s="6"/>
      <c r="M5" s="48"/>
    </row>
    <row r="6" spans="1:14" s="7" customFormat="1" ht="9">
      <c r="A6" s="6" t="s">
        <v>12</v>
      </c>
      <c r="B6" s="8">
        <f aca="true" t="shared" si="0" ref="B6:I6">B8+B11+B21+B27+B32</f>
        <v>19307.265263999998</v>
      </c>
      <c r="C6" s="8">
        <f t="shared" si="0"/>
        <v>23284.159076000004</v>
      </c>
      <c r="D6" s="8">
        <f t="shared" si="0"/>
        <v>28783.642604999997</v>
      </c>
      <c r="E6" s="8">
        <f t="shared" si="0"/>
        <v>31765.321408</v>
      </c>
      <c r="F6" s="8">
        <f t="shared" si="0"/>
        <v>31502.467701999998</v>
      </c>
      <c r="G6" s="8">
        <f t="shared" si="0"/>
        <v>27224.483515</v>
      </c>
      <c r="H6" s="8">
        <f t="shared" si="0"/>
        <v>27490.860364</v>
      </c>
      <c r="I6" s="8">
        <f t="shared" si="0"/>
        <v>26050.725306967048</v>
      </c>
      <c r="J6" s="8">
        <f>J8+J11+J21+J27+J32</f>
        <v>25854.502469918938</v>
      </c>
      <c r="K6" s="8">
        <f>K8+K11+K21+K27+K32</f>
        <v>21765.466898000002</v>
      </c>
      <c r="L6" s="9">
        <f>100*(K6-J6)/J6</f>
        <v>-15.81556472291983</v>
      </c>
      <c r="M6" s="48"/>
      <c r="N6" s="13"/>
    </row>
    <row r="7" spans="1:14" s="7" customFormat="1" ht="9">
      <c r="A7" s="10"/>
      <c r="B7" s="51"/>
      <c r="C7" s="51"/>
      <c r="D7" s="51"/>
      <c r="E7" s="51"/>
      <c r="F7" s="51"/>
      <c r="G7" s="51"/>
      <c r="H7" s="51"/>
      <c r="I7" s="51"/>
      <c r="J7" s="51"/>
      <c r="K7" s="51"/>
      <c r="L7" s="12"/>
      <c r="M7" s="48"/>
      <c r="N7" s="13"/>
    </row>
    <row r="8" spans="1:15" s="7" customFormat="1" ht="9">
      <c r="A8" s="6" t="s">
        <v>10</v>
      </c>
      <c r="B8" s="8">
        <f aca="true" t="shared" si="1" ref="B8:K8">SUM(B9)</f>
        <v>646.935941</v>
      </c>
      <c r="C8" s="8">
        <f t="shared" si="1"/>
        <v>897.157084</v>
      </c>
      <c r="D8" s="8">
        <f t="shared" si="1"/>
        <v>1120.3605</v>
      </c>
      <c r="E8" s="8">
        <f t="shared" si="1"/>
        <v>1252.730313</v>
      </c>
      <c r="F8" s="8">
        <f t="shared" si="1"/>
        <v>1363.227368</v>
      </c>
      <c r="G8" s="8">
        <f t="shared" si="1"/>
        <v>1735.9474019999998</v>
      </c>
      <c r="H8" s="8">
        <f t="shared" si="1"/>
        <v>1765.019133</v>
      </c>
      <c r="I8" s="8">
        <f t="shared" si="1"/>
        <v>1827.134947</v>
      </c>
      <c r="J8" s="8">
        <f t="shared" si="1"/>
        <v>2338.899889705437</v>
      </c>
      <c r="K8" s="8">
        <f t="shared" si="1"/>
        <v>1746.993074</v>
      </c>
      <c r="L8" s="57">
        <f>100*(K8-J8)/J8</f>
        <v>-25.307060738712607</v>
      </c>
      <c r="M8" s="48"/>
      <c r="N8" s="13"/>
      <c r="O8" s="59"/>
    </row>
    <row r="9" spans="1:14" s="7" customFormat="1" ht="9">
      <c r="A9" s="10" t="s">
        <v>11</v>
      </c>
      <c r="B9" s="11">
        <v>646.935941</v>
      </c>
      <c r="C9" s="11">
        <v>897.157084</v>
      </c>
      <c r="D9" s="11">
        <v>1120.3605</v>
      </c>
      <c r="E9" s="11">
        <v>1252.730313</v>
      </c>
      <c r="F9" s="11">
        <v>1363.227368</v>
      </c>
      <c r="G9" s="11">
        <f>1075.001061+660.946341</f>
        <v>1735.9474019999998</v>
      </c>
      <c r="H9" s="11">
        <f>1101.503133+147.582+515.934</f>
        <v>1765.019133</v>
      </c>
      <c r="I9" s="11">
        <f>1420.885341+406.249606</f>
        <v>1827.134947</v>
      </c>
      <c r="J9" s="11">
        <f>1655.394421+683.505468705437</f>
        <v>2338.899889705437</v>
      </c>
      <c r="K9" s="11">
        <f>1468.35092+278.642154</f>
        <v>1746.993074</v>
      </c>
      <c r="L9" s="50">
        <f>100*(K9-J9)/J9</f>
        <v>-25.307060738712607</v>
      </c>
      <c r="M9" s="48"/>
      <c r="N9" s="13"/>
    </row>
    <row r="10" spans="1:14" s="7" customFormat="1" ht="9">
      <c r="A10" s="10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12"/>
      <c r="M10" s="48"/>
      <c r="N10" s="13"/>
    </row>
    <row r="11" spans="1:14" s="7" customFormat="1" ht="9">
      <c r="A11" s="6" t="s">
        <v>0</v>
      </c>
      <c r="B11" s="8">
        <f aca="true" t="shared" si="2" ref="B11:I11">SUM(B12:B19)</f>
        <v>4731.230054</v>
      </c>
      <c r="C11" s="8">
        <f t="shared" si="2"/>
        <v>5128.783187999999</v>
      </c>
      <c r="D11" s="8">
        <f t="shared" si="2"/>
        <v>7417.427097999999</v>
      </c>
      <c r="E11" s="8">
        <f t="shared" si="2"/>
        <v>7293.889854</v>
      </c>
      <c r="F11" s="8">
        <f t="shared" si="2"/>
        <v>7044.071037</v>
      </c>
      <c r="G11" s="8">
        <f t="shared" si="2"/>
        <v>7360.242022</v>
      </c>
      <c r="H11" s="8">
        <f t="shared" si="2"/>
        <v>7276.647136</v>
      </c>
      <c r="I11" s="8">
        <f t="shared" si="2"/>
        <v>6626.34345853</v>
      </c>
      <c r="J11" s="8">
        <f>SUM(J12:J19)</f>
        <v>5804.058102</v>
      </c>
      <c r="K11" s="8">
        <f>SUM(K12:K19)</f>
        <v>4953.062369</v>
      </c>
      <c r="L11" s="9">
        <f>100*(K11-J11)/J11</f>
        <v>-14.662081565082165</v>
      </c>
      <c r="M11" s="48"/>
      <c r="N11" s="13"/>
    </row>
    <row r="12" spans="1:14" s="7" customFormat="1" ht="9">
      <c r="A12" s="43" t="s">
        <v>13</v>
      </c>
      <c r="B12" s="58">
        <v>0</v>
      </c>
      <c r="C12" s="58">
        <v>0</v>
      </c>
      <c r="D12" s="13">
        <v>1403.155</v>
      </c>
      <c r="E12" s="13">
        <v>1604.649</v>
      </c>
      <c r="F12" s="13">
        <v>1554.036225</v>
      </c>
      <c r="G12" s="13">
        <v>1714.678714</v>
      </c>
      <c r="H12" s="13">
        <v>1607.08</v>
      </c>
      <c r="I12" s="13">
        <v>1402.32442853</v>
      </c>
      <c r="J12" s="13">
        <v>1380.514541</v>
      </c>
      <c r="K12" s="13">
        <v>1342.263624</v>
      </c>
      <c r="L12" s="50">
        <f>100*(K12-J12)/J12</f>
        <v>-2.7707724811281125</v>
      </c>
      <c r="M12" s="48"/>
      <c r="N12" s="13"/>
    </row>
    <row r="13" spans="1:15" s="7" customFormat="1" ht="10.5">
      <c r="A13" s="10" t="s">
        <v>20</v>
      </c>
      <c r="B13" s="13">
        <f>397.833942+6.057712</f>
        <v>403.89165399999996</v>
      </c>
      <c r="C13" s="13">
        <f>463.546661+137.197871</f>
        <v>600.7445319999999</v>
      </c>
      <c r="D13" s="13">
        <f>715.860544+341.546413</f>
        <v>1057.406957</v>
      </c>
      <c r="E13" s="13">
        <f>702.925813+529.640737</f>
        <v>1232.56655</v>
      </c>
      <c r="F13" s="13">
        <f>671.808233+496.840287</f>
        <v>1168.64852</v>
      </c>
      <c r="G13" s="13">
        <f>497.925725</f>
        <v>497.925725</v>
      </c>
      <c r="H13" s="13">
        <v>579.90226</v>
      </c>
      <c r="I13" s="13">
        <f>289.044457+56.617181</f>
        <v>345.66163800000004</v>
      </c>
      <c r="J13" s="13">
        <f>414.798186+67.543813</f>
        <v>482.341999</v>
      </c>
      <c r="K13" s="13">
        <f>168.177235+12.057254</f>
        <v>180.234489</v>
      </c>
      <c r="L13" s="50">
        <f>100*(K13-J13)/J13</f>
        <v>-62.633465596264614</v>
      </c>
      <c r="M13" s="48"/>
      <c r="N13" s="13"/>
      <c r="O13" s="45"/>
    </row>
    <row r="14" spans="1:15" s="7" customFormat="1" ht="10.5">
      <c r="A14" s="10" t="s">
        <v>21</v>
      </c>
      <c r="B14" s="13">
        <f>139.45961+324.049379</f>
        <v>463.508989</v>
      </c>
      <c r="C14" s="13">
        <f>126.236209+463.195609</f>
        <v>589.431818</v>
      </c>
      <c r="D14" s="13">
        <f>124.711539+466.10827</f>
        <v>590.819809</v>
      </c>
      <c r="E14" s="13">
        <f>123.253844+22.609781</f>
        <v>145.863625</v>
      </c>
      <c r="F14" s="13">
        <f>104.497378+13.782045</f>
        <v>118.279423</v>
      </c>
      <c r="G14" s="13">
        <f>99.450017+58.880121+564.831342</f>
        <v>723.16148</v>
      </c>
      <c r="H14" s="13">
        <f>111.335345+540.413</f>
        <v>651.748345</v>
      </c>
      <c r="I14" s="13">
        <f>114.409751+429.014182</f>
        <v>543.423933</v>
      </c>
      <c r="J14" s="13">
        <f>104.402257+398.113073</f>
        <v>502.51533</v>
      </c>
      <c r="K14" s="13">
        <f>73.40089+343.768329</f>
        <v>417.169219</v>
      </c>
      <c r="L14" s="50">
        <f aca="true" t="shared" si="3" ref="L14:L19">100*(K14-J14)/J14</f>
        <v>-16.983782564404553</v>
      </c>
      <c r="M14" s="48"/>
      <c r="N14" s="13"/>
      <c r="O14" s="45"/>
    </row>
    <row r="15" spans="1:14" s="7" customFormat="1" ht="9">
      <c r="A15" s="10" t="s">
        <v>1</v>
      </c>
      <c r="B15" s="13">
        <v>125.74916</v>
      </c>
      <c r="C15" s="13">
        <v>130.414318</v>
      </c>
      <c r="D15" s="13">
        <v>125.545373</v>
      </c>
      <c r="E15" s="13">
        <v>121.955752</v>
      </c>
      <c r="F15" s="13">
        <v>110.186075</v>
      </c>
      <c r="G15" s="13">
        <v>98.428296</v>
      </c>
      <c r="H15" s="13">
        <v>95.248825</v>
      </c>
      <c r="I15" s="13">
        <v>94.723658</v>
      </c>
      <c r="J15" s="13">
        <v>85.253859</v>
      </c>
      <c r="K15" s="13">
        <v>65.872452</v>
      </c>
      <c r="L15" s="50">
        <f t="shared" si="3"/>
        <v>-22.73375918385115</v>
      </c>
      <c r="M15" s="48"/>
      <c r="N15" s="13"/>
    </row>
    <row r="16" spans="1:14" s="7" customFormat="1" ht="9">
      <c r="A16" s="10" t="s">
        <v>2</v>
      </c>
      <c r="B16" s="42">
        <v>864.462778</v>
      </c>
      <c r="C16" s="42">
        <v>885.200345</v>
      </c>
      <c r="D16" s="42">
        <v>1066.332708</v>
      </c>
      <c r="E16" s="42">
        <v>1167.609911</v>
      </c>
      <c r="F16" s="42">
        <v>1044.264078</v>
      </c>
      <c r="G16" s="42">
        <f>1191.1445</f>
        <v>1191.1445</v>
      </c>
      <c r="H16" s="42">
        <v>1197.118421</v>
      </c>
      <c r="I16" s="42">
        <v>1157.67922</v>
      </c>
      <c r="J16" s="42">
        <v>1165.944312</v>
      </c>
      <c r="K16" s="42">
        <v>970.008033</v>
      </c>
      <c r="L16" s="50">
        <f t="shared" si="3"/>
        <v>-16.804943167817445</v>
      </c>
      <c r="M16" s="48"/>
      <c r="N16" s="13"/>
    </row>
    <row r="17" spans="1:14" s="7" customFormat="1" ht="9">
      <c r="A17" s="10" t="s">
        <v>3</v>
      </c>
      <c r="B17" s="13">
        <v>161.952258</v>
      </c>
      <c r="C17" s="13">
        <v>197.071049</v>
      </c>
      <c r="D17" s="13">
        <v>213.765864</v>
      </c>
      <c r="E17" s="13">
        <v>222.428667</v>
      </c>
      <c r="F17" s="13">
        <v>221.527296</v>
      </c>
      <c r="G17" s="13">
        <f>227.068867</f>
        <v>227.068867</v>
      </c>
      <c r="H17" s="13">
        <v>227.221148</v>
      </c>
      <c r="I17" s="13">
        <v>226.507862</v>
      </c>
      <c r="J17" s="13">
        <v>198.3604</v>
      </c>
      <c r="K17" s="13">
        <v>169.694128</v>
      </c>
      <c r="L17" s="50">
        <f t="shared" si="3"/>
        <v>-14.451610301249639</v>
      </c>
      <c r="M17" s="48"/>
      <c r="N17" s="13"/>
    </row>
    <row r="18" spans="1:15" s="7" customFormat="1" ht="9">
      <c r="A18" s="10" t="s">
        <v>29</v>
      </c>
      <c r="B18" s="13">
        <f>94.486398+471.232275</f>
        <v>565.718673</v>
      </c>
      <c r="C18" s="13">
        <v>526.202507</v>
      </c>
      <c r="D18" s="13">
        <f>99.483425+465.977</f>
        <v>565.460425</v>
      </c>
      <c r="E18" s="13">
        <f>103.02498+405.051</f>
        <v>508.07597999999996</v>
      </c>
      <c r="F18" s="13">
        <f>100.341966+456.61</f>
        <v>556.951966</v>
      </c>
      <c r="G18" s="13">
        <f>100.372699+470.737342</f>
        <v>571.110041</v>
      </c>
      <c r="H18" s="13">
        <f>91.729319+470.737</f>
        <v>562.466319</v>
      </c>
      <c r="I18" s="13">
        <v>488.810782</v>
      </c>
      <c r="J18" s="13">
        <f>122.723308+33.890618</f>
        <v>156.613926</v>
      </c>
      <c r="K18" s="13">
        <f>84.032817+210</f>
        <v>294.032817</v>
      </c>
      <c r="L18" s="50">
        <f t="shared" si="3"/>
        <v>87.74372401596014</v>
      </c>
      <c r="M18" s="48"/>
      <c r="N18" s="13"/>
      <c r="O18" s="45"/>
    </row>
    <row r="19" spans="1:15" s="7" customFormat="1" ht="10.5">
      <c r="A19" s="10" t="s">
        <v>22</v>
      </c>
      <c r="B19" s="13">
        <f>1471.850386+471.414596+202.68156</f>
        <v>2145.946542</v>
      </c>
      <c r="C19" s="13">
        <f>1892.000985+307.717634</f>
        <v>2199.7186189999998</v>
      </c>
      <c r="D19" s="13">
        <f>1553.983247+449.888+391.069715</f>
        <v>2394.9409619999997</v>
      </c>
      <c r="E19" s="13">
        <f>1420.367821+472.778+397.594548</f>
        <v>2290.740369</v>
      </c>
      <c r="F19" s="13">
        <f>1405.781909+429.277+435.118545</f>
        <v>2270.177454</v>
      </c>
      <c r="G19" s="13">
        <f>1229.029236+509.150787+598.544376</f>
        <v>2336.724399</v>
      </c>
      <c r="H19" s="13">
        <f>1303.893818+453.424+402.559+195.985</f>
        <v>2355.8618180000003</v>
      </c>
      <c r="I19" s="13">
        <f>1374.943099+426.019232+566.249606</f>
        <v>2367.211937</v>
      </c>
      <c r="J19" s="13">
        <f>1329.737841+75.969379+426.806515</f>
        <v>1832.5137349999998</v>
      </c>
      <c r="K19" s="13">
        <f>1168.085638+344.483652+1.218317</f>
        <v>1513.787607</v>
      </c>
      <c r="L19" s="50">
        <f t="shared" si="3"/>
        <v>-17.392837058326325</v>
      </c>
      <c r="M19" s="48"/>
      <c r="N19" s="13"/>
      <c r="O19" s="45"/>
    </row>
    <row r="20" spans="1:14" s="7" customFormat="1" ht="9">
      <c r="A20" s="10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16"/>
      <c r="M20" s="48"/>
      <c r="N20" s="13"/>
    </row>
    <row r="21" spans="1:14" s="7" customFormat="1" ht="9">
      <c r="A21" s="6" t="s">
        <v>4</v>
      </c>
      <c r="B21" s="8">
        <f aca="true" t="shared" si="4" ref="B21:H21">SUM(B22:B25)</f>
        <v>12137.845795</v>
      </c>
      <c r="C21" s="8">
        <f t="shared" si="4"/>
        <v>14699.508388</v>
      </c>
      <c r="D21" s="8">
        <f t="shared" si="4"/>
        <v>17084.957057</v>
      </c>
      <c r="E21" s="8">
        <f t="shared" si="4"/>
        <v>19208.648982</v>
      </c>
      <c r="F21" s="8">
        <f t="shared" si="4"/>
        <v>18136.729403999998</v>
      </c>
      <c r="G21" s="8">
        <f t="shared" si="4"/>
        <v>16085.558117999999</v>
      </c>
      <c r="H21" s="8">
        <f t="shared" si="4"/>
        <v>16222.576385999999</v>
      </c>
      <c r="I21" s="8">
        <f>SUM(I22:I25)</f>
        <v>15389.340598999548</v>
      </c>
      <c r="J21" s="8">
        <f>SUM(J22:J25)</f>
        <v>15285.208749452398</v>
      </c>
      <c r="K21" s="8">
        <f>SUM(K22:K25)</f>
        <v>12772.314983</v>
      </c>
      <c r="L21" s="9">
        <f>100*(K21-J21)/J21</f>
        <v>-16.440035642577822</v>
      </c>
      <c r="M21" s="48"/>
      <c r="N21" s="56"/>
    </row>
    <row r="22" spans="1:14" s="7" customFormat="1" ht="9">
      <c r="A22" s="10" t="s">
        <v>6</v>
      </c>
      <c r="B22" s="13">
        <v>1045.484702</v>
      </c>
      <c r="C22" s="13">
        <v>1317.65993</v>
      </c>
      <c r="D22" s="13">
        <v>1480.471376</v>
      </c>
      <c r="E22" s="13">
        <v>1527.794254</v>
      </c>
      <c r="F22" s="13">
        <v>1401.825317</v>
      </c>
      <c r="G22" s="13">
        <f>1079.030202+226.254711</f>
        <v>1305.284913</v>
      </c>
      <c r="H22" s="13">
        <f>1272.94499</f>
        <v>1272.94499</v>
      </c>
      <c r="I22" s="13">
        <f>1093.655707</f>
        <v>1093.655707</v>
      </c>
      <c r="J22" s="13">
        <v>1127.336953</v>
      </c>
      <c r="K22" s="13">
        <f>935.825408+140.467121</f>
        <v>1076.292529</v>
      </c>
      <c r="L22" s="55">
        <f>100*(K22-J22)/J22</f>
        <v>-4.5278764138941465</v>
      </c>
      <c r="M22" s="48"/>
      <c r="N22" s="13"/>
    </row>
    <row r="23" spans="1:14" s="7" customFormat="1" ht="9">
      <c r="A23" s="10" t="s">
        <v>5</v>
      </c>
      <c r="B23" s="13">
        <v>1047.298318</v>
      </c>
      <c r="C23" s="13">
        <v>1100.623382</v>
      </c>
      <c r="D23" s="13">
        <v>1107.054295</v>
      </c>
      <c r="E23" s="13">
        <v>1294.513364</v>
      </c>
      <c r="F23" s="13">
        <v>1207.170013</v>
      </c>
      <c r="G23" s="13">
        <f>959.815983</f>
        <v>959.815983</v>
      </c>
      <c r="H23" s="13">
        <v>990.892499</v>
      </c>
      <c r="I23" s="13">
        <v>996.963344</v>
      </c>
      <c r="J23" s="13">
        <v>911.372772</v>
      </c>
      <c r="K23" s="13">
        <v>843.522055</v>
      </c>
      <c r="L23" s="55">
        <f>100*(K23-J23)/J23</f>
        <v>-7.444891825229998</v>
      </c>
      <c r="M23" s="48"/>
      <c r="N23" s="13"/>
    </row>
    <row r="24" spans="1:15" s="7" customFormat="1" ht="10.5">
      <c r="A24" s="10" t="s">
        <v>14</v>
      </c>
      <c r="B24" s="13">
        <v>4015.198167</v>
      </c>
      <c r="C24" s="13">
        <v>5749.666403</v>
      </c>
      <c r="D24" s="13">
        <v>7657.321778</v>
      </c>
      <c r="E24" s="13">
        <f>8630.375862+I23</f>
        <v>9627.339206</v>
      </c>
      <c r="F24" s="13">
        <f>8379.295667+687.716746</f>
        <v>9067.012413</v>
      </c>
      <c r="G24" s="13">
        <f>5865.81697+2219.154912</f>
        <v>8084.971882</v>
      </c>
      <c r="H24" s="13">
        <f>7051.529968+1279.155</f>
        <v>8330.684968</v>
      </c>
      <c r="I24" s="13">
        <f>5895.557862+2122.16259224955</f>
        <v>8017.720454249549</v>
      </c>
      <c r="J24" s="13">
        <f>5792.967114+1837.9071174524</f>
        <v>7630.8742314524</v>
      </c>
      <c r="K24" s="13">
        <f>3571.927622+1892.520343</f>
        <v>5464.447965</v>
      </c>
      <c r="L24" s="50">
        <f>100*(K24-J24)/J24</f>
        <v>-28.39027614323633</v>
      </c>
      <c r="M24" s="48"/>
      <c r="N24" s="13"/>
      <c r="O24" s="45"/>
    </row>
    <row r="25" spans="1:15" s="7" customFormat="1" ht="10.5">
      <c r="A25" s="10" t="s">
        <v>15</v>
      </c>
      <c r="B25" s="42">
        <f>5721.15595+308.708658</f>
        <v>6029.864608</v>
      </c>
      <c r="C25" s="42">
        <f>6134.845775+396.712898</f>
        <v>6531.5586729999995</v>
      </c>
      <c r="D25" s="42">
        <f>6346.547892+493.561716</f>
        <v>6840.109608</v>
      </c>
      <c r="E25" s="42">
        <f>6308.438806+450.563352</f>
        <v>6759.002158</v>
      </c>
      <c r="F25" s="42">
        <f>5992.934122+467.787539</f>
        <v>6460.721661</v>
      </c>
      <c r="G25" s="42">
        <f>5081.624819+653.860521</f>
        <v>5735.485339999999</v>
      </c>
      <c r="H25" s="42">
        <f>4974.192929+202.152+451.709</f>
        <v>5628.053929</v>
      </c>
      <c r="I25" s="42">
        <f>5281.00109375</f>
        <v>5281.00109375</v>
      </c>
      <c r="J25" s="42">
        <v>5615.624793</v>
      </c>
      <c r="K25" s="42">
        <f>4763.864886+624.187548</f>
        <v>5388.052434</v>
      </c>
      <c r="L25" s="50">
        <f>100*(K25-J25)/J25</f>
        <v>-4.052485117660884</v>
      </c>
      <c r="M25" s="48"/>
      <c r="N25" s="13"/>
      <c r="O25" s="45"/>
    </row>
    <row r="26" spans="1:14" s="7" customFormat="1" ht="9">
      <c r="A26" s="10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4"/>
      <c r="M26" s="48"/>
      <c r="N26" s="13"/>
    </row>
    <row r="27" spans="1:14" s="7" customFormat="1" ht="9">
      <c r="A27" s="6" t="s">
        <v>7</v>
      </c>
      <c r="B27" s="8">
        <f aca="true" t="shared" si="5" ref="B27:G27">SUM(B28:B30)</f>
        <v>1701.211345</v>
      </c>
      <c r="C27" s="8">
        <f t="shared" si="5"/>
        <v>2195.327878</v>
      </c>
      <c r="D27" s="8">
        <f t="shared" si="5"/>
        <v>2197.089363</v>
      </c>
      <c r="E27" s="8">
        <f t="shared" si="5"/>
        <v>2663.760699</v>
      </c>
      <c r="F27" s="8">
        <f t="shared" si="5"/>
        <v>2488.092906</v>
      </c>
      <c r="G27" s="8">
        <f t="shared" si="5"/>
        <v>1612.330771</v>
      </c>
      <c r="H27" s="8">
        <f>SUM(H28:H30)</f>
        <v>1640.068415</v>
      </c>
      <c r="I27" s="8">
        <f>SUM(I28:I30)</f>
        <v>1766.581358</v>
      </c>
      <c r="J27" s="8">
        <f>SUM(J28:J30)</f>
        <v>1894.1891930000002</v>
      </c>
      <c r="K27" s="8">
        <f>SUM(K28:K30)</f>
        <v>1829.113513</v>
      </c>
      <c r="L27" s="9">
        <f>100*(K27-J27)/J27</f>
        <v>-3.4355427768508098</v>
      </c>
      <c r="M27" s="48"/>
      <c r="N27" s="13"/>
    </row>
    <row r="28" spans="1:15" s="7" customFormat="1" ht="9" customHeight="1">
      <c r="A28" s="10" t="s">
        <v>16</v>
      </c>
      <c r="B28" s="15">
        <f>369.367269+0.4704</f>
        <v>369.837669</v>
      </c>
      <c r="C28" s="15">
        <f>375.246947+433.2856</f>
        <v>808.532547</v>
      </c>
      <c r="D28" s="15">
        <f>381.240626+430.553</f>
        <v>811.793626</v>
      </c>
      <c r="E28" s="15">
        <f>1016.488753+211.6156</f>
        <v>1228.104353</v>
      </c>
      <c r="F28" s="15">
        <f>990.402903+72.585626</f>
        <v>1062.988529</v>
      </c>
      <c r="G28" s="15">
        <f>468.824718</f>
        <v>468.824718</v>
      </c>
      <c r="H28" s="15">
        <v>449.720239</v>
      </c>
      <c r="I28" s="15">
        <v>426.750608</v>
      </c>
      <c r="J28" s="15">
        <v>519.675821</v>
      </c>
      <c r="K28" s="15">
        <v>569.382321</v>
      </c>
      <c r="L28" s="50">
        <f>100*(K28-J28)/J28</f>
        <v>9.564905271973391</v>
      </c>
      <c r="M28" s="48"/>
      <c r="N28" s="13"/>
      <c r="O28" s="45"/>
    </row>
    <row r="29" spans="1:14" s="7" customFormat="1" ht="9">
      <c r="A29" s="10" t="s">
        <v>8</v>
      </c>
      <c r="B29" s="15">
        <v>675.178991</v>
      </c>
      <c r="C29" s="15">
        <v>678.53358</v>
      </c>
      <c r="D29" s="15">
        <v>679.027319</v>
      </c>
      <c r="E29" s="15">
        <f>666.625692+52.3399</f>
        <v>718.965592</v>
      </c>
      <c r="F29" s="15">
        <v>635.666625</v>
      </c>
      <c r="G29" s="15">
        <v>619.868752</v>
      </c>
      <c r="H29" s="15">
        <v>659.039487</v>
      </c>
      <c r="I29" s="15">
        <v>711.467351</v>
      </c>
      <c r="J29" s="15">
        <v>725.482682</v>
      </c>
      <c r="K29" s="15">
        <v>681.703988</v>
      </c>
      <c r="L29" s="50">
        <f>100*(K29-J29)/J29</f>
        <v>-6.034423024311417</v>
      </c>
      <c r="M29" s="48"/>
      <c r="N29" s="13"/>
    </row>
    <row r="30" spans="1:15" s="7" customFormat="1" ht="9" customHeight="1">
      <c r="A30" s="10" t="s">
        <v>17</v>
      </c>
      <c r="B30" s="15">
        <f>655.918385+0.2763</f>
        <v>656.1946849999999</v>
      </c>
      <c r="C30" s="15">
        <f>657.781251+50.4805</f>
        <v>708.261751</v>
      </c>
      <c r="D30" s="15">
        <f>705.960218+0.3082</f>
        <v>706.2684180000001</v>
      </c>
      <c r="E30" s="15">
        <f>649.456586+67.234168</f>
        <v>716.690754</v>
      </c>
      <c r="F30" s="15">
        <f>707.438585+81.999167</f>
        <v>789.437752</v>
      </c>
      <c r="G30" s="15">
        <f>522.180081+1.45722</f>
        <v>523.637301</v>
      </c>
      <c r="H30" s="15">
        <v>531.308689</v>
      </c>
      <c r="I30" s="15">
        <f>627.69373+0.669669</f>
        <v>628.363399</v>
      </c>
      <c r="J30" s="15">
        <f>648.929641+0.101049</f>
        <v>649.0306899999999</v>
      </c>
      <c r="K30" s="15">
        <f>552.136276+25.890928</f>
        <v>578.027204</v>
      </c>
      <c r="L30" s="50">
        <f>100*(K30-J30)/J30</f>
        <v>-10.939927355361265</v>
      </c>
      <c r="M30" s="48"/>
      <c r="N30" s="13"/>
      <c r="O30" s="45"/>
    </row>
    <row r="31" spans="1:14" s="7" customFormat="1" ht="9">
      <c r="A31" s="10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4"/>
      <c r="M31" s="48"/>
      <c r="N31" s="13"/>
    </row>
    <row r="32" spans="1:14" s="7" customFormat="1" ht="9">
      <c r="A32" s="6" t="s">
        <v>9</v>
      </c>
      <c r="B32" s="18">
        <f aca="true" t="shared" si="6" ref="B32:H32">B33+B34</f>
        <v>90.042129</v>
      </c>
      <c r="C32" s="18">
        <f t="shared" si="6"/>
        <v>363.382538</v>
      </c>
      <c r="D32" s="18">
        <f t="shared" si="6"/>
        <v>963.808587</v>
      </c>
      <c r="E32" s="18">
        <f t="shared" si="6"/>
        <v>1346.2915600000001</v>
      </c>
      <c r="F32" s="18">
        <f t="shared" si="6"/>
        <v>2470.346987</v>
      </c>
      <c r="G32" s="18">
        <f t="shared" si="6"/>
        <v>430.40520200000003</v>
      </c>
      <c r="H32" s="18">
        <f t="shared" si="6"/>
        <v>586.5492939999999</v>
      </c>
      <c r="I32" s="18">
        <f>I33+I34</f>
        <v>441.32494443750005</v>
      </c>
      <c r="J32" s="18">
        <f>J33+J34</f>
        <v>532.1465357611</v>
      </c>
      <c r="K32" s="18">
        <f>K33+K34</f>
        <v>463.98295899999994</v>
      </c>
      <c r="L32" s="9">
        <f>100*(K32-J32)/J32</f>
        <v>-12.809174199285065</v>
      </c>
      <c r="M32" s="48"/>
      <c r="N32" s="13"/>
    </row>
    <row r="33" spans="1:15" s="7" customFormat="1" ht="10.5">
      <c r="A33" s="10" t="s">
        <v>18</v>
      </c>
      <c r="B33" s="17">
        <v>72.511138</v>
      </c>
      <c r="C33" s="17">
        <v>93.173115</v>
      </c>
      <c r="D33" s="17">
        <f>183.170618+473.658341</f>
        <v>656.8289589999999</v>
      </c>
      <c r="E33" s="17">
        <f>505.702202+263.219711</f>
        <v>768.921913</v>
      </c>
      <c r="F33" s="17">
        <f>457.502649+554.848147+660.480657</f>
        <v>1672.831453</v>
      </c>
      <c r="G33" s="17">
        <f>156.527005+245.649233</f>
        <v>402.176238</v>
      </c>
      <c r="H33" s="17">
        <f>171.088926+354.593</f>
        <v>525.681926</v>
      </c>
      <c r="I33" s="17">
        <f>211.453727+222.4811644375</f>
        <v>433.9348914375</v>
      </c>
      <c r="J33" s="17">
        <f>211.727442+309.6288217611</f>
        <v>521.3562637611001</v>
      </c>
      <c r="K33" s="17">
        <f>201.282907+211.527852</f>
        <v>412.81075899999996</v>
      </c>
      <c r="L33" s="50">
        <f>100*(K33-J33)/J33</f>
        <v>-20.819833251459446</v>
      </c>
      <c r="M33" s="48"/>
      <c r="N33" s="13"/>
      <c r="O33" s="45"/>
    </row>
    <row r="34" spans="1:15" s="7" customFormat="1" ht="10.5">
      <c r="A34" s="10" t="s">
        <v>19</v>
      </c>
      <c r="B34" s="17">
        <f>2.511387+15.019604</f>
        <v>17.530991</v>
      </c>
      <c r="C34" s="17">
        <f>3.975992+266.233431</f>
        <v>270.209423</v>
      </c>
      <c r="D34" s="17">
        <f>4.869243+302.110385</f>
        <v>306.979628</v>
      </c>
      <c r="E34" s="17">
        <f>2.916781+574.452866</f>
        <v>577.369647</v>
      </c>
      <c r="F34" s="17">
        <f>135.514877+1.52+660.480657</f>
        <v>797.515534</v>
      </c>
      <c r="G34" s="17">
        <f>27.221432+1.007532</f>
        <v>28.228964</v>
      </c>
      <c r="H34" s="17">
        <v>60.867368</v>
      </c>
      <c r="I34" s="17">
        <v>7.390053</v>
      </c>
      <c r="J34" s="17">
        <v>10.790272</v>
      </c>
      <c r="K34" s="17">
        <v>51.1722</v>
      </c>
      <c r="L34" s="50">
        <f>100*(K34-J34)/J34</f>
        <v>374.2438374120689</v>
      </c>
      <c r="M34" s="48"/>
      <c r="O34" s="45"/>
    </row>
    <row r="35" spans="1:14" s="7" customFormat="1" ht="9">
      <c r="A35" s="19"/>
      <c r="B35" s="20"/>
      <c r="C35" s="20"/>
      <c r="D35" s="21"/>
      <c r="E35" s="21"/>
      <c r="F35" s="21"/>
      <c r="G35" s="21"/>
      <c r="H35" s="21"/>
      <c r="I35" s="21"/>
      <c r="J35" s="21"/>
      <c r="K35" s="21"/>
      <c r="L35" s="21"/>
      <c r="M35" s="48"/>
      <c r="N35" s="13"/>
    </row>
    <row r="36" spans="1:13" s="7" customFormat="1" ht="10.5" customHeight="1">
      <c r="A36" s="52" t="s">
        <v>24</v>
      </c>
      <c r="B36" s="39"/>
      <c r="C36" s="39"/>
      <c r="D36" s="40"/>
      <c r="E36" s="40"/>
      <c r="F36" s="40"/>
      <c r="G36" s="40"/>
      <c r="H36" s="40"/>
      <c r="I36" s="22"/>
      <c r="J36" s="22"/>
      <c r="K36" s="22"/>
      <c r="L36" s="22"/>
      <c r="M36" s="48"/>
    </row>
    <row r="37" spans="1:13" s="7" customFormat="1" ht="10.5" customHeight="1">
      <c r="A37" s="43" t="s">
        <v>25</v>
      </c>
      <c r="B37" s="39"/>
      <c r="C37" s="39"/>
      <c r="D37" s="40"/>
      <c r="E37" s="40"/>
      <c r="F37" s="40"/>
      <c r="G37" s="40"/>
      <c r="H37" s="40"/>
      <c r="I37" s="22"/>
      <c r="J37" s="22"/>
      <c r="K37" s="22"/>
      <c r="L37" s="22"/>
      <c r="M37" s="48"/>
    </row>
    <row r="38" spans="1:13" s="7" customFormat="1" ht="10.5" customHeight="1">
      <c r="A38" s="44" t="s">
        <v>30</v>
      </c>
      <c r="B38" s="41"/>
      <c r="C38" s="38"/>
      <c r="D38" s="38"/>
      <c r="E38" s="38"/>
      <c r="F38" s="38"/>
      <c r="G38" s="38"/>
      <c r="H38" s="38"/>
      <c r="K38" s="56"/>
      <c r="M38" s="48"/>
    </row>
    <row r="39" spans="1:13" s="7" customFormat="1" ht="10.5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M39" s="48"/>
    </row>
    <row r="40" spans="1:13" s="7" customFormat="1" ht="9">
      <c r="A40" s="10"/>
      <c r="B40" s="24"/>
      <c r="C40" s="24"/>
      <c r="D40" s="24"/>
      <c r="E40" s="24"/>
      <c r="F40" s="24"/>
      <c r="G40" s="24"/>
      <c r="H40" s="24"/>
      <c r="I40" s="24"/>
      <c r="J40" s="24"/>
      <c r="K40" s="13"/>
      <c r="M40" s="48"/>
    </row>
    <row r="41" spans="1:13" s="7" customFormat="1" ht="9">
      <c r="A41" s="25"/>
      <c r="B41" s="24"/>
      <c r="C41" s="24"/>
      <c r="D41" s="24"/>
      <c r="E41" s="24"/>
      <c r="F41" s="24"/>
      <c r="G41" s="24"/>
      <c r="H41" s="24"/>
      <c r="I41" s="24"/>
      <c r="J41" s="24"/>
      <c r="K41" s="24"/>
      <c r="M41" s="48"/>
    </row>
    <row r="42" spans="1:13" s="7" customFormat="1" ht="9">
      <c r="A42" s="10"/>
      <c r="B42" s="24"/>
      <c r="C42" s="24"/>
      <c r="D42" s="24"/>
      <c r="E42" s="24"/>
      <c r="F42" s="24"/>
      <c r="G42" s="24"/>
      <c r="H42" s="24"/>
      <c r="I42" s="24"/>
      <c r="J42" s="24"/>
      <c r="K42" s="24"/>
      <c r="M42" s="48"/>
    </row>
    <row r="43" spans="1:13" s="7" customFormat="1" ht="9">
      <c r="A43" s="10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13"/>
      <c r="M43" s="48"/>
    </row>
    <row r="44" spans="1:13" s="7" customFormat="1" ht="9">
      <c r="A44" s="10"/>
      <c r="B44" s="24"/>
      <c r="C44" s="24"/>
      <c r="D44" s="24"/>
      <c r="E44" s="24"/>
      <c r="F44" s="24"/>
      <c r="G44" s="24"/>
      <c r="H44" s="24"/>
      <c r="I44" s="24"/>
      <c r="J44" s="24"/>
      <c r="K44" s="24"/>
      <c r="M44" s="48"/>
    </row>
    <row r="45" spans="1:13" s="7" customFormat="1" ht="9">
      <c r="A45" s="10"/>
      <c r="K45" s="45"/>
      <c r="M45" s="48"/>
    </row>
    <row r="46" spans="1:11" ht="9">
      <c r="A46" s="10"/>
      <c r="B46" s="26"/>
      <c r="C46" s="26"/>
      <c r="D46" s="26"/>
      <c r="E46" s="26"/>
      <c r="F46" s="26"/>
      <c r="G46" s="26"/>
      <c r="H46" s="26"/>
      <c r="I46" s="26"/>
      <c r="J46" s="26"/>
      <c r="K46" s="26"/>
    </row>
    <row r="47" spans="1:11" ht="9">
      <c r="A47" s="6"/>
      <c r="B47" s="26"/>
      <c r="C47" s="26"/>
      <c r="D47" s="26"/>
      <c r="E47" s="26"/>
      <c r="F47" s="26"/>
      <c r="G47" s="26"/>
      <c r="H47" s="26"/>
      <c r="I47" s="26"/>
      <c r="J47" s="26"/>
      <c r="K47" s="26"/>
    </row>
    <row r="48" spans="1:11" ht="9">
      <c r="A48" s="10"/>
      <c r="B48" s="26"/>
      <c r="C48" s="26"/>
      <c r="D48" s="26"/>
      <c r="E48" s="26"/>
      <c r="F48" s="26"/>
      <c r="G48" s="26"/>
      <c r="H48" s="26"/>
      <c r="I48" s="26"/>
      <c r="J48" s="26"/>
      <c r="K48" s="26"/>
    </row>
    <row r="49" spans="1:11" ht="9">
      <c r="A49" s="27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 ht="9">
      <c r="A50" s="27"/>
      <c r="B50" s="26"/>
      <c r="C50" s="26"/>
      <c r="D50" s="26"/>
      <c r="E50" s="26"/>
      <c r="F50" s="26"/>
      <c r="G50" s="26"/>
      <c r="H50" s="26"/>
      <c r="I50" s="26"/>
      <c r="J50" s="26"/>
      <c r="K50" s="26"/>
    </row>
    <row r="51" spans="1:11" ht="9">
      <c r="A51" s="27"/>
      <c r="B51" s="26"/>
      <c r="C51" s="26"/>
      <c r="D51" s="26"/>
      <c r="E51" s="26"/>
      <c r="F51" s="26"/>
      <c r="G51" s="26"/>
      <c r="H51" s="26"/>
      <c r="I51" s="26"/>
      <c r="J51" s="26"/>
      <c r="K51" s="26"/>
    </row>
    <row r="52" spans="1:11" ht="9">
      <c r="A52" s="27"/>
      <c r="B52" s="26"/>
      <c r="C52" s="26"/>
      <c r="D52" s="26"/>
      <c r="E52" s="26"/>
      <c r="F52" s="26"/>
      <c r="G52" s="26"/>
      <c r="H52" s="26"/>
      <c r="I52" s="26"/>
      <c r="J52" s="26"/>
      <c r="K52" s="26"/>
    </row>
    <row r="53" spans="1:11" ht="9">
      <c r="A53" s="27"/>
      <c r="B53" s="26"/>
      <c r="C53" s="26"/>
      <c r="D53" s="26"/>
      <c r="E53" s="26"/>
      <c r="F53" s="26"/>
      <c r="G53" s="26"/>
      <c r="H53" s="26"/>
      <c r="I53" s="26"/>
      <c r="J53" s="26"/>
      <c r="K53" s="26"/>
    </row>
    <row r="54" ht="9">
      <c r="A54" s="27"/>
    </row>
    <row r="55" ht="9">
      <c r="A55" s="27"/>
    </row>
    <row r="56" ht="9">
      <c r="A56" s="27"/>
    </row>
    <row r="62" ht="9">
      <c r="L62" s="29"/>
    </row>
    <row r="63" ht="9">
      <c r="L63" s="29"/>
    </row>
    <row r="64" ht="9">
      <c r="Q64" s="29"/>
    </row>
    <row r="66" ht="9">
      <c r="R66" s="29"/>
    </row>
    <row r="68" ht="9">
      <c r="R68" s="29"/>
    </row>
    <row r="70" spans="12:27" ht="9">
      <c r="L70" s="30"/>
      <c r="M70" s="49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</row>
    <row r="71" spans="12:27" ht="9">
      <c r="L71" s="29"/>
      <c r="M71" s="49"/>
      <c r="R71" s="29"/>
      <c r="AA71" s="32"/>
    </row>
    <row r="72" spans="12:43" ht="9">
      <c r="L72" s="29"/>
      <c r="M72" s="49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D72" s="30"/>
      <c r="AE72" s="30"/>
      <c r="AF72" s="30"/>
      <c r="AG72" s="30"/>
      <c r="AI72" s="30"/>
      <c r="AJ72" s="30"/>
      <c r="AK72" s="30"/>
      <c r="AL72" s="30"/>
      <c r="AN72" s="30"/>
      <c r="AO72" s="30"/>
      <c r="AP72" s="30"/>
      <c r="AQ72" s="30"/>
    </row>
    <row r="73" spans="12:43" ht="9">
      <c r="L73" s="29"/>
      <c r="M73" s="49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D73" s="29"/>
      <c r="AE73" s="29"/>
      <c r="AF73" s="29"/>
      <c r="AG73" s="29"/>
      <c r="AI73" s="29"/>
      <c r="AJ73" s="29"/>
      <c r="AK73" s="29"/>
      <c r="AL73" s="29"/>
      <c r="AN73" s="29"/>
      <c r="AO73" s="29"/>
      <c r="AP73" s="29"/>
      <c r="AQ73" s="29"/>
    </row>
    <row r="74" spans="12:27" ht="9">
      <c r="L74" s="30"/>
      <c r="M74" s="49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</row>
    <row r="75" spans="12:37" ht="9">
      <c r="L75" s="29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4"/>
      <c r="AD75" s="33"/>
      <c r="AE75" s="33"/>
      <c r="AF75" s="33"/>
      <c r="AI75" s="33"/>
      <c r="AJ75" s="33"/>
      <c r="AK75" s="33"/>
    </row>
    <row r="76" spans="12:37" ht="9">
      <c r="L76" s="29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4"/>
      <c r="AD76" s="33"/>
      <c r="AE76" s="33"/>
      <c r="AF76" s="33"/>
      <c r="AI76" s="33"/>
      <c r="AJ76" s="33"/>
      <c r="AK76" s="33"/>
    </row>
    <row r="77" spans="12:37" ht="9">
      <c r="L77" s="29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4"/>
      <c r="AD77" s="33"/>
      <c r="AE77" s="33"/>
      <c r="AF77" s="33"/>
      <c r="AI77" s="33"/>
      <c r="AJ77" s="33"/>
      <c r="AK77" s="33"/>
    </row>
    <row r="78" spans="12:37" ht="9">
      <c r="L78" s="29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4"/>
      <c r="AD78" s="33"/>
      <c r="AE78" s="33"/>
      <c r="AF78" s="33"/>
      <c r="AI78" s="33"/>
      <c r="AJ78" s="33"/>
      <c r="AK78" s="33"/>
    </row>
    <row r="79" spans="12:37" ht="9">
      <c r="L79" s="29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4"/>
      <c r="AD79" s="33"/>
      <c r="AE79" s="33"/>
      <c r="AF79" s="33"/>
      <c r="AI79" s="33"/>
      <c r="AJ79" s="33"/>
      <c r="AK79" s="33"/>
    </row>
    <row r="80" spans="12:37" ht="9">
      <c r="L80" s="29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4"/>
      <c r="AD80" s="33"/>
      <c r="AE80" s="33"/>
      <c r="AF80" s="33"/>
      <c r="AI80" s="33"/>
      <c r="AJ80" s="33"/>
      <c r="AK80" s="33"/>
    </row>
    <row r="81" spans="12:37" ht="9">
      <c r="L81" s="29"/>
      <c r="Y81" s="33"/>
      <c r="Z81" s="33"/>
      <c r="AA81" s="34"/>
      <c r="AD81" s="33"/>
      <c r="AE81" s="33"/>
      <c r="AF81" s="33"/>
      <c r="AI81" s="33"/>
      <c r="AJ81" s="33"/>
      <c r="AK81" s="33"/>
    </row>
    <row r="82" spans="12:38" ht="9">
      <c r="L82" s="31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4"/>
      <c r="AD82" s="33"/>
      <c r="AE82" s="33"/>
      <c r="AF82" s="33"/>
      <c r="AG82" s="33"/>
      <c r="AI82" s="33"/>
      <c r="AJ82" s="33"/>
      <c r="AK82" s="33"/>
      <c r="AL82" s="33"/>
    </row>
    <row r="84" spans="12:37" ht="9">
      <c r="L84" s="29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4"/>
      <c r="AD84" s="33"/>
      <c r="AE84" s="33"/>
      <c r="AF84" s="33"/>
      <c r="AI84" s="33"/>
      <c r="AJ84" s="33"/>
      <c r="AK84" s="33"/>
    </row>
    <row r="85" spans="12:37" ht="9">
      <c r="L85" s="29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4"/>
      <c r="AD85" s="33"/>
      <c r="AE85" s="33"/>
      <c r="AF85" s="33"/>
      <c r="AI85" s="33"/>
      <c r="AJ85" s="33"/>
      <c r="AK85" s="33"/>
    </row>
    <row r="86" spans="12:37" ht="9">
      <c r="L86" s="29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4"/>
      <c r="AD86" s="33"/>
      <c r="AE86" s="33"/>
      <c r="AF86" s="33"/>
      <c r="AI86" s="33"/>
      <c r="AJ86" s="33"/>
      <c r="AK86" s="33"/>
    </row>
    <row r="87" spans="12:37" ht="9">
      <c r="L87" s="29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4"/>
      <c r="AD87" s="33"/>
      <c r="AE87" s="33"/>
      <c r="AF87" s="33"/>
      <c r="AI87" s="33"/>
      <c r="AJ87" s="33"/>
      <c r="AK87" s="33"/>
    </row>
    <row r="88" spans="12:37" ht="9">
      <c r="L88" s="29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4"/>
      <c r="AD88" s="33"/>
      <c r="AE88" s="33"/>
      <c r="AF88" s="33"/>
      <c r="AI88" s="33"/>
      <c r="AJ88" s="33"/>
      <c r="AK88" s="33"/>
    </row>
    <row r="89" spans="12:37" ht="9">
      <c r="L89" s="29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4"/>
      <c r="AD89" s="33"/>
      <c r="AE89" s="33"/>
      <c r="AF89" s="33"/>
      <c r="AI89" s="33"/>
      <c r="AJ89" s="33"/>
      <c r="AK89" s="33"/>
    </row>
    <row r="90" spans="12:37" ht="9">
      <c r="L90" s="29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4"/>
      <c r="AD90" s="33"/>
      <c r="AE90" s="33"/>
      <c r="AF90" s="33"/>
      <c r="AI90" s="33"/>
      <c r="AJ90" s="33"/>
      <c r="AK90" s="33"/>
    </row>
    <row r="91" spans="12:37" ht="9">
      <c r="L91" s="29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4"/>
      <c r="AD91" s="33"/>
      <c r="AE91" s="33"/>
      <c r="AF91" s="33"/>
      <c r="AI91" s="33"/>
      <c r="AJ91" s="33"/>
      <c r="AK91" s="33"/>
    </row>
    <row r="92" spans="12:37" ht="9">
      <c r="L92" s="29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4"/>
      <c r="AD92" s="33"/>
      <c r="AE92" s="33"/>
      <c r="AF92" s="33"/>
      <c r="AI92" s="33"/>
      <c r="AJ92" s="33"/>
      <c r="AK92" s="33"/>
    </row>
    <row r="93" spans="12:38" ht="9">
      <c r="L93" s="31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4"/>
      <c r="AD93" s="33"/>
      <c r="AE93" s="33"/>
      <c r="AF93" s="33"/>
      <c r="AG93" s="33"/>
      <c r="AI93" s="33"/>
      <c r="AJ93" s="33"/>
      <c r="AK93" s="33"/>
      <c r="AL93" s="33"/>
    </row>
    <row r="95" spans="12:37" ht="9">
      <c r="L95" s="29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4"/>
      <c r="AD95" s="33"/>
      <c r="AE95" s="33"/>
      <c r="AF95" s="33"/>
      <c r="AI95" s="33"/>
      <c r="AJ95" s="33"/>
      <c r="AK95" s="33"/>
    </row>
    <row r="96" spans="12:37" ht="9">
      <c r="L96" s="29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4"/>
      <c r="AD96" s="33"/>
      <c r="AE96" s="33"/>
      <c r="AF96" s="33"/>
      <c r="AI96" s="33"/>
      <c r="AJ96" s="33"/>
      <c r="AK96" s="33"/>
    </row>
    <row r="97" spans="12:37" ht="9">
      <c r="L97" s="29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4"/>
      <c r="AD97" s="33"/>
      <c r="AE97" s="33"/>
      <c r="AF97" s="33"/>
      <c r="AI97" s="33"/>
      <c r="AJ97" s="33"/>
      <c r="AK97" s="33"/>
    </row>
    <row r="98" spans="12:37" ht="9">
      <c r="L98" s="29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4"/>
      <c r="AD98" s="33"/>
      <c r="AE98" s="33"/>
      <c r="AF98" s="33"/>
      <c r="AI98" s="33"/>
      <c r="AJ98" s="33"/>
      <c r="AK98" s="33"/>
    </row>
    <row r="99" spans="12:38" ht="9">
      <c r="L99" s="31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4"/>
      <c r="AD99" s="33"/>
      <c r="AE99" s="33"/>
      <c r="AF99" s="33"/>
      <c r="AG99" s="33"/>
      <c r="AI99" s="33"/>
      <c r="AJ99" s="33"/>
      <c r="AK99" s="33"/>
      <c r="AL99" s="33"/>
    </row>
    <row r="101" spans="12:37" ht="9">
      <c r="L101" s="29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4"/>
      <c r="AD101" s="33"/>
      <c r="AE101" s="33"/>
      <c r="AF101" s="33"/>
      <c r="AI101" s="33"/>
      <c r="AJ101" s="33"/>
      <c r="AK101" s="33"/>
    </row>
    <row r="102" spans="12:37" ht="9">
      <c r="L102" s="29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4"/>
      <c r="AD102" s="33"/>
      <c r="AE102" s="33"/>
      <c r="AF102" s="33"/>
      <c r="AI102" s="33"/>
      <c r="AJ102" s="33"/>
      <c r="AK102" s="33"/>
    </row>
    <row r="103" spans="12:37" ht="9">
      <c r="L103" s="29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4"/>
      <c r="AD103" s="33"/>
      <c r="AE103" s="33"/>
      <c r="AF103" s="33"/>
      <c r="AI103" s="33"/>
      <c r="AJ103" s="33"/>
      <c r="AK103" s="33"/>
    </row>
    <row r="104" spans="12:38" ht="9">
      <c r="L104" s="31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4"/>
      <c r="AD104" s="33"/>
      <c r="AE104" s="33"/>
      <c r="AF104" s="33"/>
      <c r="AG104" s="33"/>
      <c r="AI104" s="33"/>
      <c r="AJ104" s="33"/>
      <c r="AK104" s="33"/>
      <c r="AL104" s="33"/>
    </row>
    <row r="106" spans="12:37" ht="9">
      <c r="L106" s="29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4"/>
      <c r="AD106" s="33"/>
      <c r="AE106" s="33"/>
      <c r="AF106" s="33"/>
      <c r="AI106" s="33"/>
      <c r="AJ106" s="33"/>
      <c r="AK106" s="33"/>
    </row>
    <row r="107" spans="12:37" ht="9">
      <c r="L107" s="29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4"/>
      <c r="AD107" s="33"/>
      <c r="AE107" s="33"/>
      <c r="AF107" s="33"/>
      <c r="AI107" s="33"/>
      <c r="AJ107" s="33"/>
      <c r="AK107" s="33"/>
    </row>
    <row r="108" spans="12:37" ht="9">
      <c r="L108" s="29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4"/>
      <c r="AD108" s="33"/>
      <c r="AE108" s="33"/>
      <c r="AF108" s="33"/>
      <c r="AI108" s="33"/>
      <c r="AJ108" s="33"/>
      <c r="AK108" s="33"/>
    </row>
    <row r="109" spans="12:37" ht="9">
      <c r="L109" s="29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4"/>
      <c r="AD109" s="33"/>
      <c r="AE109" s="33"/>
      <c r="AF109" s="33"/>
      <c r="AI109" s="33"/>
      <c r="AJ109" s="33"/>
      <c r="AK109" s="33"/>
    </row>
    <row r="110" spans="12:38" ht="9">
      <c r="L110" s="31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4"/>
      <c r="AD110" s="33"/>
      <c r="AE110" s="33"/>
      <c r="AF110" s="33"/>
      <c r="AG110" s="33"/>
      <c r="AI110" s="33"/>
      <c r="AJ110" s="33"/>
      <c r="AK110" s="33"/>
      <c r="AL110" s="33"/>
    </row>
    <row r="111" spans="12:27" ht="9">
      <c r="L111" s="30"/>
      <c r="M111" s="49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7"/>
    </row>
    <row r="112" spans="12:38" ht="9">
      <c r="L112" s="29"/>
      <c r="M112" s="49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4"/>
      <c r="AD112" s="35"/>
      <c r="AE112" s="35"/>
      <c r="AF112" s="35"/>
      <c r="AG112" s="35"/>
      <c r="AI112" s="35"/>
      <c r="AJ112" s="35"/>
      <c r="AK112" s="35"/>
      <c r="AL112" s="35"/>
    </row>
    <row r="113" spans="12:27" ht="9">
      <c r="L113" s="30"/>
      <c r="M113" s="49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</row>
    <row r="114" ht="9">
      <c r="L114" s="29"/>
    </row>
    <row r="115" ht="9">
      <c r="L115" s="29"/>
    </row>
    <row r="116" ht="9">
      <c r="L116" s="29"/>
    </row>
    <row r="117" ht="9">
      <c r="L117" s="29"/>
    </row>
    <row r="118" ht="9">
      <c r="L118" s="29"/>
    </row>
  </sheetData>
  <sheetProtection/>
  <mergeCells count="3">
    <mergeCell ref="A3:A4"/>
    <mergeCell ref="L3:L4"/>
    <mergeCell ref="B3:K3"/>
  </mergeCells>
  <printOptions horizontalCentered="1"/>
  <pageMargins left="0.5905511811023623" right="0.7874015748031497" top="0.7874015748031497" bottom="0.7874015748031497" header="0" footer="0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Jose Lopes de Souza</cp:lastModifiedBy>
  <cp:lastPrinted>2009-07-06T13:30:09Z</cp:lastPrinted>
  <dcterms:created xsi:type="dcterms:W3CDTF">1998-04-06T18:41:05Z</dcterms:created>
  <dcterms:modified xsi:type="dcterms:W3CDTF">2021-03-12T21:56:53Z</dcterms:modified>
  <cp:category/>
  <cp:version/>
  <cp:contentType/>
  <cp:contentStatus/>
</cp:coreProperties>
</file>