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2" windowWidth="11820" windowHeight="9576" tabRatio="601" activeTab="0"/>
  </bookViews>
  <sheets>
    <sheet name="T2.47" sheetId="1" r:id="rId1"/>
    <sheet name="Gráfico 31 e 32" sheetId="2" state="hidden" r:id="rId2"/>
    <sheet name="Figura 08" sheetId="3" state="hidden" r:id="rId3"/>
  </sheets>
  <definedNames>
    <definedName name="_Fill" hidden="1">'T2.47'!#REF!</definedName>
    <definedName name="_xlnm.Print_Area" localSheetId="0">'T2.47'!$A$1:$I$56</definedName>
  </definedNames>
  <calcPr fullCalcOnLoad="1"/>
</workbook>
</file>

<file path=xl/sharedStrings.xml><?xml version="1.0" encoding="utf-8"?>
<sst xmlns="http://schemas.openxmlformats.org/spreadsheetml/2006/main" count="117" uniqueCount="76">
  <si>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</si>
  <si>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</si>
  <si>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</si>
  <si>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</si>
  <si>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</si>
  <si>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</si>
  <si>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</si>
  <si>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</si>
  <si>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</si>
  <si>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</si>
  <si>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</si>
  <si>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</si>
  <si>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</si>
  <si>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</si>
  <si>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</si>
  <si>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</si>
  <si>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</si>
  <si>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</si>
  <si>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</si>
  <si>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</si>
  <si>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</si>
  <si>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</si>
  <si>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</si>
  <si>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</si>
  <si>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</si>
  <si>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</si>
  <si>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</si>
  <si>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</si>
  <si>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</si>
  <si>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</si>
  <si>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</si>
  <si>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</si>
  <si>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diesel</t>
  </si>
  <si>
    <t xml:space="preserve">Óleo </t>
  </si>
  <si>
    <t>Argentina</t>
  </si>
  <si>
    <t>Aruba</t>
  </si>
  <si>
    <t>Venezuela</t>
  </si>
  <si>
    <t>Argélia</t>
  </si>
  <si>
    <t>Índia</t>
  </si>
  <si>
    <t>Itália</t>
  </si>
  <si>
    <t>Nigéria</t>
  </si>
  <si>
    <t>Estados Unidos</t>
  </si>
  <si>
    <t>Arábia Saudita</t>
  </si>
  <si>
    <t>Coque</t>
  </si>
  <si>
    <t>América do Norte</t>
  </si>
  <si>
    <t>Oriente Médio</t>
  </si>
  <si>
    <t>África</t>
  </si>
  <si>
    <t>Suíça</t>
  </si>
  <si>
    <t>Américas Central e do Sul</t>
  </si>
  <si>
    <t>Ásia-Pacífico</t>
  </si>
  <si>
    <t>Regiões geográficas, países e blocos econômicos</t>
  </si>
  <si>
    <t>Emirados Árabes Unidos</t>
  </si>
  <si>
    <t>Holanda</t>
  </si>
  <si>
    <t>Espanha</t>
  </si>
  <si>
    <r>
      <t>Outros</t>
    </r>
    <r>
      <rPr>
        <vertAlign val="superscript"/>
        <sz val="7"/>
        <rFont val="Helvetica Neue"/>
        <family val="2"/>
      </rPr>
      <t>4</t>
    </r>
  </si>
  <si>
    <t>Uruguai</t>
  </si>
  <si>
    <r>
      <t>GLP</t>
    </r>
    <r>
      <rPr>
        <b/>
        <vertAlign val="superscript"/>
        <sz val="7"/>
        <rFont val="Helvetica Neue"/>
        <family val="0"/>
      </rPr>
      <t>1</t>
    </r>
  </si>
  <si>
    <t>Europa e ex-União Soviética</t>
  </si>
  <si>
    <t>Rússia</t>
  </si>
  <si>
    <t>Líbia</t>
  </si>
  <si>
    <t>Lubrificante</t>
  </si>
  <si>
    <t>Israel</t>
  </si>
  <si>
    <r>
      <t>Outros</t>
    </r>
    <r>
      <rPr>
        <vertAlign val="superscript"/>
        <sz val="7"/>
        <rFont val="Helvetica Neue"/>
        <family val="0"/>
      </rPr>
      <t>5</t>
    </r>
  </si>
  <si>
    <r>
      <t>Outros</t>
    </r>
    <r>
      <rPr>
        <b/>
        <vertAlign val="superscript"/>
        <sz val="7"/>
        <rFont val="Helvetica Neue"/>
        <family val="0"/>
      </rPr>
      <t>2</t>
    </r>
  </si>
  <si>
    <r>
      <t>Importação de derivados de petróleo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</si>
  <si>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Outros</t>
    </r>
    <r>
      <rPr>
        <vertAlign val="superscript"/>
        <sz val="7"/>
        <rFont val="Helvetica Neue"/>
        <family val="0"/>
      </rPr>
      <t>3</t>
    </r>
  </si>
  <si>
    <r>
      <t>Outros</t>
    </r>
    <r>
      <rPr>
        <vertAlign val="superscript"/>
        <sz val="7"/>
        <rFont val="Helvetica Neue"/>
        <family val="0"/>
      </rPr>
      <t>6</t>
    </r>
  </si>
  <si>
    <r>
      <t>Outros</t>
    </r>
    <r>
      <rPr>
        <vertAlign val="superscript"/>
        <sz val="7"/>
        <rFont val="Helvetica Neue"/>
        <family val="0"/>
      </rPr>
      <t>7</t>
    </r>
  </si>
  <si>
    <r>
      <t>1</t>
    </r>
    <r>
      <rPr>
        <sz val="7"/>
        <rFont val="Helvetica Neue"/>
        <family val="0"/>
      </rPr>
      <t xml:space="preserve">Inclui propano e butano.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asfalto, gasolina A, gasolina de aviação, óleo combustível, parafina, QAV e outros não-energéticos.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Canadá e México.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</t>
    </r>
  </si>
  <si>
    <t>Fonte: MDIC/Secex.</t>
  </si>
  <si>
    <r>
      <t>Outros</t>
    </r>
    <r>
      <rPr>
        <vertAlign val="superscript"/>
        <sz val="7"/>
        <rFont val="Helvetica Neue"/>
        <family val="0"/>
      </rPr>
      <t>8</t>
    </r>
  </si>
  <si>
    <r>
      <t xml:space="preserve">Antilhas Holandesas, Barbados, Bolívia, Chile, Colômbia e Panamá.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2"/>
      </rPr>
      <t xml:space="preserve">Inclui Alemanha, Aústria, Belarus, Bélgica, Dinamarca, Espanha, Finlândia, França, Grécia, Itália, Irlanda, </t>
    </r>
  </si>
  <si>
    <t>Tabela 2.47 - Importação de derivados de petróleo, segundo regiões geográficas, países e blocos econômicos de procedência - 2008</t>
  </si>
  <si>
    <r>
      <t xml:space="preserve">Liechtenstein, Noruega, Polônia, Portugal, República Tcheca, Reino Unido, Suécia e Turquia.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Bahrein, Iraque, Catar e Síria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África do Sul, Angola, Guiné Equatorial, </t>
    </r>
  </si>
  <si>
    <t>e Taiwan.</t>
  </si>
  <si>
    <r>
      <rPr>
        <sz val="7"/>
        <rFont val="Helvetica Neue"/>
        <family val="0"/>
      </rPr>
      <t xml:space="preserve">Egito, Marrocos e Zâmbia. </t>
    </r>
    <r>
      <rPr>
        <vertAlign val="superscript"/>
        <sz val="7"/>
        <rFont val="Helvetica Neue"/>
        <family val="0"/>
      </rPr>
      <t>8</t>
    </r>
    <r>
      <rPr>
        <sz val="7"/>
        <rFont val="Helvetica Neue"/>
        <family val="0"/>
      </rPr>
      <t xml:space="preserve">Inclui Austrália, China, Cingapura,  Hong Kong, Indonésia, Japão, Malásia, República da Coréia, República Popular Democrática da Coréia, Tailândia </t>
    </r>
  </si>
</sst>
</file>

<file path=xl/styles.xml><?xml version="1.0" encoding="utf-8"?>
<styleSheet xmlns="http://schemas.openxmlformats.org/spreadsheetml/2006/main">
  <numFmts count="6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#,##0.0"/>
    <numFmt numFmtId="208" formatCode="#,##0.000"/>
    <numFmt numFmtId="209" formatCode="0.00000000"/>
    <numFmt numFmtId="210" formatCode="0.000000000"/>
    <numFmt numFmtId="211" formatCode="_(* #,##0.000_);_(* \(#,##0.00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_(* #,##0.0000000_);_(* \(#,##0.0000000\);_(* &quot;-&quot;??_);_(@_)"/>
    <numFmt numFmtId="216" formatCode="_(* #,##0.00000000_);_(* \(#,##0.00000000\);_(* &quot;-&quot;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_(* #,##0.00000000000_);_(* \(#,##0.00000000000\);_(* &quot;-&quot;??_);_(@_)"/>
    <numFmt numFmtId="220" formatCode="_(* #,##0.000000000000_);_(* \(#,##0.000000000000\);_(* &quot;-&quot;??_);_(@_)"/>
    <numFmt numFmtId="221" formatCode="#,##0.0000"/>
    <numFmt numFmtId="222" formatCode="#,##0.00000"/>
    <numFmt numFmtId="223" formatCode="_(* #,##0.0_);_(* \(#,##0.0\);_(* &quot;-&quot;?_);_(@_)"/>
    <numFmt numFmtId="224" formatCode="#,##0_);\(#,##0\)"/>
  </numFmts>
  <fonts count="7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0"/>
    </font>
    <font>
      <sz val="7"/>
      <color indexed="12"/>
      <name val="Helvetica Neue"/>
      <family val="0"/>
    </font>
    <font>
      <b/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6.9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8" fillId="21" borderId="5" applyNumberFormat="0" applyAlignment="0" applyProtection="0"/>
    <xf numFmtId="16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0" applyNumberFormat="1" applyFont="1" applyAlignment="1">
      <alignment/>
    </xf>
    <xf numFmtId="197" fontId="17" fillId="0" borderId="0" xfId="60" applyNumberFormat="1" applyFont="1" applyAlignment="1">
      <alignment/>
    </xf>
    <xf numFmtId="197" fontId="18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0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4" fontId="21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center"/>
    </xf>
    <xf numFmtId="4" fontId="20" fillId="33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197" fontId="23" fillId="33" borderId="0" xfId="60" applyNumberFormat="1" applyFont="1" applyFill="1" applyBorder="1" applyAlignment="1">
      <alignment vertical="center" wrapText="1"/>
    </xf>
    <xf numFmtId="0" fontId="23" fillId="33" borderId="0" xfId="0" applyFont="1" applyFill="1" applyBorder="1" applyAlignment="1">
      <alignment/>
    </xf>
    <xf numFmtId="4" fontId="25" fillId="33" borderId="0" xfId="0" applyNumberFormat="1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197" fontId="20" fillId="33" borderId="0" xfId="0" applyNumberFormat="1" applyFont="1" applyFill="1" applyBorder="1" applyAlignment="1">
      <alignment/>
    </xf>
    <xf numFmtId="211" fontId="20" fillId="33" borderId="0" xfId="0" applyNumberFormat="1" applyFont="1" applyFill="1" applyBorder="1" applyAlignment="1">
      <alignment/>
    </xf>
    <xf numFmtId="197" fontId="20" fillId="33" borderId="0" xfId="6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197" fontId="26" fillId="33" borderId="0" xfId="0" applyNumberFormat="1" applyFont="1" applyFill="1" applyBorder="1" applyAlignment="1">
      <alignment/>
    </xf>
    <xf numFmtId="211" fontId="20" fillId="33" borderId="0" xfId="60" applyNumberFormat="1" applyFont="1" applyFill="1" applyBorder="1" applyAlignment="1">
      <alignment/>
    </xf>
    <xf numFmtId="211" fontId="23" fillId="33" borderId="0" xfId="60" applyNumberFormat="1" applyFont="1" applyFill="1" applyBorder="1" applyAlignment="1">
      <alignment vertical="center" wrapText="1"/>
    </xf>
    <xf numFmtId="211" fontId="20" fillId="33" borderId="10" xfId="60" applyNumberFormat="1" applyFont="1" applyFill="1" applyBorder="1" applyAlignment="1">
      <alignment/>
    </xf>
    <xf numFmtId="211" fontId="23" fillId="33" borderId="0" xfId="60" applyNumberFormat="1" applyFont="1" applyFill="1" applyBorder="1" applyAlignment="1">
      <alignment/>
    </xf>
    <xf numFmtId="211" fontId="23" fillId="33" borderId="0" xfId="60" applyNumberFormat="1" applyFont="1" applyFill="1" applyBorder="1" applyAlignment="1">
      <alignment vertical="center"/>
    </xf>
    <xf numFmtId="211" fontId="23" fillId="33" borderId="0" xfId="60" applyNumberFormat="1" applyFont="1" applyFill="1" applyBorder="1" applyAlignment="1">
      <alignment vertical="center"/>
    </xf>
    <xf numFmtId="211" fontId="20" fillId="33" borderId="0" xfId="60" applyNumberFormat="1" applyFont="1" applyFill="1" applyBorder="1" applyAlignment="1">
      <alignment vertical="center"/>
    </xf>
    <xf numFmtId="212" fontId="20" fillId="33" borderId="0" xfId="0" applyNumberFormat="1" applyFont="1" applyFill="1" applyBorder="1" applyAlignment="1">
      <alignment vertical="center"/>
    </xf>
    <xf numFmtId="203" fontId="27" fillId="33" borderId="0" xfId="0" applyNumberFormat="1" applyFont="1" applyFill="1" applyBorder="1" applyAlignment="1">
      <alignment/>
    </xf>
    <xf numFmtId="196" fontId="21" fillId="33" borderId="0" xfId="60" applyNumberFormat="1" applyFont="1" applyFill="1" applyBorder="1" applyAlignment="1">
      <alignment horizontal="center"/>
    </xf>
    <xf numFmtId="196" fontId="21" fillId="33" borderId="0" xfId="60" applyNumberFormat="1" applyFont="1" applyFill="1" applyBorder="1" applyAlignment="1">
      <alignment horizontal="right"/>
    </xf>
    <xf numFmtId="196" fontId="23" fillId="33" borderId="0" xfId="60" applyNumberFormat="1" applyFont="1" applyFill="1" applyBorder="1" applyAlignment="1">
      <alignment horizontal="center"/>
    </xf>
    <xf numFmtId="196" fontId="23" fillId="33" borderId="0" xfId="60" applyNumberFormat="1" applyFont="1" applyFill="1" applyBorder="1" applyAlignment="1">
      <alignment horizontal="right"/>
    </xf>
    <xf numFmtId="196" fontId="20" fillId="33" borderId="0" xfId="60" applyNumberFormat="1" applyFont="1" applyFill="1" applyBorder="1" applyAlignment="1">
      <alignment horizontal="right"/>
    </xf>
    <xf numFmtId="196" fontId="20" fillId="33" borderId="0" xfId="60" applyNumberFormat="1" applyFont="1" applyFill="1" applyBorder="1" applyAlignment="1">
      <alignment horizontal="center"/>
    </xf>
    <xf numFmtId="196" fontId="20" fillId="0" borderId="0" xfId="60" applyNumberFormat="1" applyFont="1" applyFill="1" applyBorder="1" applyAlignment="1">
      <alignment horizontal="right"/>
    </xf>
    <xf numFmtId="196" fontId="23" fillId="33" borderId="0" xfId="60" applyNumberFormat="1" applyFont="1" applyFill="1" applyBorder="1" applyAlignment="1">
      <alignment horizontal="right" vertical="center"/>
    </xf>
    <xf numFmtId="196" fontId="21" fillId="33" borderId="0" xfId="60" applyNumberFormat="1" applyFont="1" applyFill="1" applyBorder="1" applyAlignment="1">
      <alignment horizontal="right" vertical="center"/>
    </xf>
    <xf numFmtId="196" fontId="25" fillId="33" borderId="0" xfId="60" applyNumberFormat="1" applyFont="1" applyFill="1" applyBorder="1" applyAlignment="1">
      <alignment horizontal="center"/>
    </xf>
    <xf numFmtId="196" fontId="20" fillId="33" borderId="0" xfId="60" applyNumberFormat="1" applyFont="1" applyFill="1" applyAlignment="1">
      <alignment horizontal="right"/>
    </xf>
    <xf numFmtId="196" fontId="20" fillId="33" borderId="0" xfId="60" applyNumberFormat="1" applyFont="1" applyFill="1" applyBorder="1" applyAlignment="1" applyProtection="1">
      <alignment horizontal="right"/>
      <protection/>
    </xf>
    <xf numFmtId="196" fontId="20" fillId="33" borderId="0" xfId="60" applyNumberFormat="1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 shrinkToFi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0925"/>
          <c:w val="0.682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5469784"/>
        <c:axId val="52357145"/>
      </c:barChart>
      <c:catAx>
        <c:axId val="6546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469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3725"/>
          <c:w val="0.275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925"/>
          <c:w val="0.684"/>
          <c:h val="0.87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1452258"/>
        <c:axId val="13070323"/>
      </c:bar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52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5075"/>
          <c:w val="0.275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575"/>
          <c:y val="0.74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885"/>
          <c:w val="0.569"/>
          <c:h val="0.48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5262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914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714375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81050" y="1457325"/>
        <a:ext cx="5953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03"/>
  <sheetViews>
    <sheetView showGridLines="0" tabSelected="1" zoomScalePageLayoutView="0" workbookViewId="0" topLeftCell="A1">
      <selection activeCell="A3" sqref="A3"/>
    </sheetView>
  </sheetViews>
  <sheetFormatPr defaultColWidth="11.5546875" defaultRowHeight="15"/>
  <cols>
    <col min="1" max="1" width="20.99609375" style="28" customWidth="1"/>
    <col min="2" max="5" width="7.77734375" style="28" customWidth="1"/>
    <col min="6" max="6" width="7.77734375" style="61" customWidth="1"/>
    <col min="7" max="9" width="7.77734375" style="28" customWidth="1"/>
    <col min="10" max="18" width="11.5546875" style="52" customWidth="1"/>
    <col min="19" max="16384" width="11.5546875" style="28" customWidth="1"/>
  </cols>
  <sheetData>
    <row r="1" spans="1:9" ht="12.75" customHeight="1">
      <c r="A1" s="86" t="s">
        <v>72</v>
      </c>
      <c r="B1" s="86"/>
      <c r="C1" s="86"/>
      <c r="D1" s="86"/>
      <c r="E1" s="86"/>
      <c r="F1" s="86"/>
      <c r="G1" s="86"/>
      <c r="H1" s="86"/>
      <c r="I1" s="86"/>
    </row>
    <row r="2" spans="1:9" ht="12.7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9" ht="9.75" customHeight="1">
      <c r="A3" s="29"/>
      <c r="B3" s="51"/>
      <c r="C3" s="49"/>
      <c r="D3" s="50"/>
      <c r="E3" s="49"/>
      <c r="G3" s="49"/>
      <c r="H3" s="49"/>
      <c r="I3" s="49"/>
    </row>
    <row r="4" spans="1:9" ht="10.5" customHeight="1">
      <c r="A4" s="83" t="s">
        <v>50</v>
      </c>
      <c r="B4" s="89" t="s">
        <v>64</v>
      </c>
      <c r="C4" s="90"/>
      <c r="D4" s="90"/>
      <c r="E4" s="90"/>
      <c r="F4" s="90"/>
      <c r="G4" s="90"/>
      <c r="H4" s="90"/>
      <c r="I4" s="90"/>
    </row>
    <row r="5" spans="1:9" ht="8.25">
      <c r="A5" s="84"/>
      <c r="B5" s="87" t="s">
        <v>31</v>
      </c>
      <c r="C5" s="93" t="s">
        <v>6</v>
      </c>
      <c r="D5" s="45" t="s">
        <v>33</v>
      </c>
      <c r="E5" s="91" t="s">
        <v>43</v>
      </c>
      <c r="F5" s="91" t="s">
        <v>56</v>
      </c>
      <c r="G5" s="95" t="s">
        <v>60</v>
      </c>
      <c r="H5" s="91" t="s">
        <v>8</v>
      </c>
      <c r="I5" s="97" t="s">
        <v>63</v>
      </c>
    </row>
    <row r="6" spans="1:9" ht="8.25">
      <c r="A6" s="85"/>
      <c r="B6" s="88"/>
      <c r="C6" s="94"/>
      <c r="D6" s="46" t="s">
        <v>32</v>
      </c>
      <c r="E6" s="92"/>
      <c r="F6" s="92"/>
      <c r="G6" s="96"/>
      <c r="H6" s="92"/>
      <c r="I6" s="98"/>
    </row>
    <row r="7" spans="1:9" ht="13.5" customHeight="1">
      <c r="A7" s="68"/>
      <c r="B7" s="42"/>
      <c r="C7" s="42"/>
      <c r="D7" s="42"/>
      <c r="E7" s="42"/>
      <c r="F7" s="62"/>
      <c r="G7" s="42"/>
      <c r="H7" s="42"/>
      <c r="I7" s="42"/>
    </row>
    <row r="8" spans="1:18" s="32" customFormat="1" ht="8.25">
      <c r="A8" s="31" t="s">
        <v>31</v>
      </c>
      <c r="B8" s="70">
        <f>SUM(C8:I8)</f>
        <v>17875.796568840582</v>
      </c>
      <c r="C8" s="71">
        <f>C10+C15+C23+C32+C39+C46</f>
        <v>3593.7273048433044</v>
      </c>
      <c r="D8" s="71">
        <f aca="true" t="shared" si="0" ref="D8:I8">D10+D15+D23+D32+D39+D46</f>
        <v>5829.3089835680785</v>
      </c>
      <c r="E8" s="71">
        <f t="shared" si="0"/>
        <v>3535.4856615384633</v>
      </c>
      <c r="F8" s="71">
        <f t="shared" si="0"/>
        <v>2150.8808115942015</v>
      </c>
      <c r="G8" s="71">
        <f t="shared" si="0"/>
        <v>565.282</v>
      </c>
      <c r="H8" s="71">
        <f t="shared" si="0"/>
        <v>451.23097123997775</v>
      </c>
      <c r="I8" s="71">
        <f t="shared" si="0"/>
        <v>1749.8808360565565</v>
      </c>
      <c r="J8" s="69"/>
      <c r="K8" s="59"/>
      <c r="L8" s="59"/>
      <c r="M8" s="59"/>
      <c r="N8" s="59"/>
      <c r="O8" s="59"/>
      <c r="P8" s="59"/>
      <c r="Q8" s="59"/>
      <c r="R8" s="59"/>
    </row>
    <row r="9" spans="1:10" ht="8.25">
      <c r="A9" s="30"/>
      <c r="B9" s="72"/>
      <c r="C9" s="73"/>
      <c r="D9" s="74"/>
      <c r="E9" s="74"/>
      <c r="F9" s="74"/>
      <c r="G9" s="74"/>
      <c r="H9" s="73"/>
      <c r="I9" s="73"/>
      <c r="J9" s="69"/>
    </row>
    <row r="10" spans="1:10" ht="8.25">
      <c r="A10" s="33" t="s">
        <v>44</v>
      </c>
      <c r="B10" s="70">
        <f>SUM(C10:I10)</f>
        <v>3585.7085454918524</v>
      </c>
      <c r="C10" s="71">
        <f>SUM(C11:C14)</f>
        <v>0</v>
      </c>
      <c r="D10" s="71">
        <f aca="true" t="shared" si="1" ref="D10:I10">SUM(D11:D14)</f>
        <v>909.766160798122</v>
      </c>
      <c r="E10" s="71">
        <f t="shared" si="1"/>
        <v>2230.211749038463</v>
      </c>
      <c r="F10" s="71">
        <f t="shared" si="1"/>
        <v>40.2608079710145</v>
      </c>
      <c r="G10" s="71">
        <f t="shared" si="1"/>
        <v>198.76236914285687</v>
      </c>
      <c r="H10" s="71">
        <f t="shared" si="1"/>
        <v>44.57340485829962</v>
      </c>
      <c r="I10" s="71">
        <f t="shared" si="1"/>
        <v>162.13405368309614</v>
      </c>
      <c r="J10" s="69"/>
    </row>
    <row r="11" spans="1:10" ht="8.25">
      <c r="A11" s="33"/>
      <c r="B11" s="75"/>
      <c r="C11" s="71"/>
      <c r="D11" s="74"/>
      <c r="E11" s="74"/>
      <c r="F11" s="74"/>
      <c r="G11" s="74"/>
      <c r="H11" s="74"/>
      <c r="I11" s="74"/>
      <c r="J11" s="69"/>
    </row>
    <row r="12" spans="1:16" ht="8.25">
      <c r="A12" s="28" t="s">
        <v>41</v>
      </c>
      <c r="B12" s="70">
        <f>SUM(C12:I12)</f>
        <v>3513.71276482835</v>
      </c>
      <c r="C12" s="71">
        <v>0</v>
      </c>
      <c r="D12" s="76">
        <f>909766.160798122/1000</f>
        <v>909.766160798122</v>
      </c>
      <c r="E12" s="74">
        <f>2161736.47596154/1000</f>
        <v>2161.73647596154</v>
      </c>
      <c r="F12" s="74">
        <f>40260.8079710145/1000</f>
        <v>40.2608079710145</v>
      </c>
      <c r="G12" s="74">
        <f>196731.786285714/1000</f>
        <v>196.731786285714</v>
      </c>
      <c r="H12" s="74">
        <f>43438.1916329285/1000</f>
        <v>43.4381916329285</v>
      </c>
      <c r="I12" s="74">
        <f>3513712.76482835/1000-(SUM(C12:H12))</f>
        <v>161.77934217903112</v>
      </c>
      <c r="J12" s="69"/>
      <c r="K12" s="60"/>
      <c r="L12" s="60"/>
      <c r="M12" s="60"/>
      <c r="N12" s="60"/>
      <c r="O12" s="60"/>
      <c r="P12" s="60"/>
    </row>
    <row r="13" spans="1:18" s="47" customFormat="1" ht="9">
      <c r="A13" s="47" t="s">
        <v>65</v>
      </c>
      <c r="B13" s="70">
        <f>SUM(C13:I13)</f>
        <v>71.9957806635021</v>
      </c>
      <c r="C13" s="71">
        <v>0</v>
      </c>
      <c r="D13" s="71">
        <v>0</v>
      </c>
      <c r="E13" s="74">
        <f>68475.2730769231/1000</f>
        <v>68.4752730769231</v>
      </c>
      <c r="F13" s="71">
        <v>0</v>
      </c>
      <c r="G13" s="74">
        <f>2030.58285714286/1000</f>
        <v>2.0305828571428597</v>
      </c>
      <c r="H13" s="74">
        <f>1135.21322537112/1000</f>
        <v>1.13521322537112</v>
      </c>
      <c r="I13" s="74">
        <f>71995.7806635021/1000-SUM(C13:H13)</f>
        <v>0.3547115040650226</v>
      </c>
      <c r="J13" s="69"/>
      <c r="K13" s="60"/>
      <c r="L13" s="60"/>
      <c r="M13" s="60"/>
      <c r="N13" s="60"/>
      <c r="O13" s="60"/>
      <c r="P13" s="60"/>
      <c r="Q13" s="52"/>
      <c r="R13" s="52"/>
    </row>
    <row r="14" spans="1:10" ht="8.25">
      <c r="A14" s="34"/>
      <c r="B14" s="70"/>
      <c r="C14" s="74"/>
      <c r="D14" s="77"/>
      <c r="E14" s="74"/>
      <c r="F14" s="74"/>
      <c r="G14" s="74"/>
      <c r="H14" s="74"/>
      <c r="I14" s="74"/>
      <c r="J14" s="69"/>
    </row>
    <row r="15" spans="1:10" ht="8.25">
      <c r="A15" s="33" t="s">
        <v>48</v>
      </c>
      <c r="B15" s="70">
        <f>SUM(C15:I15)</f>
        <v>4920.041791671044</v>
      </c>
      <c r="C15" s="71">
        <f>SUM(C17:C21)</f>
        <v>2163.182205128205</v>
      </c>
      <c r="D15" s="78">
        <f aca="true" t="shared" si="2" ref="D15:I15">SUM(D17:D21)</f>
        <v>159.972855633803</v>
      </c>
      <c r="E15" s="71">
        <f t="shared" si="2"/>
        <v>1117.381627884616</v>
      </c>
      <c r="F15" s="71">
        <f t="shared" si="2"/>
        <v>766.7858822463766</v>
      </c>
      <c r="G15" s="71">
        <f t="shared" si="2"/>
        <v>113.61660457142861</v>
      </c>
      <c r="H15" s="71">
        <f t="shared" si="2"/>
        <v>296.46824789314934</v>
      </c>
      <c r="I15" s="71">
        <f t="shared" si="2"/>
        <v>302.6343683134642</v>
      </c>
      <c r="J15" s="69"/>
    </row>
    <row r="16" spans="1:18" s="43" customFormat="1" ht="8.25">
      <c r="A16" s="44"/>
      <c r="B16" s="79"/>
      <c r="C16" s="73"/>
      <c r="D16" s="77"/>
      <c r="E16" s="73"/>
      <c r="F16" s="73"/>
      <c r="G16" s="73"/>
      <c r="H16" s="73"/>
      <c r="I16" s="73"/>
      <c r="J16" s="69"/>
      <c r="K16" s="52"/>
      <c r="L16" s="52"/>
      <c r="M16" s="52"/>
      <c r="N16" s="52"/>
      <c r="O16" s="52"/>
      <c r="P16" s="52"/>
      <c r="Q16" s="52"/>
      <c r="R16" s="52"/>
    </row>
    <row r="17" spans="1:16" ht="8.25">
      <c r="A17" s="34" t="s">
        <v>34</v>
      </c>
      <c r="B17" s="70">
        <f>SUM(C17:I17)</f>
        <v>3163.11688616482</v>
      </c>
      <c r="C17" s="80">
        <f>2072410.51994302/1000</f>
        <v>2072.41051994302</v>
      </c>
      <c r="D17" s="71">
        <v>0</v>
      </c>
      <c r="E17" s="81">
        <f>2359.81153846154/1000</f>
        <v>2.35981153846154</v>
      </c>
      <c r="F17" s="74">
        <f>723108.68115942/1000</f>
        <v>723.10868115942</v>
      </c>
      <c r="G17" s="74">
        <f>34357.6948571429/1000</f>
        <v>34.3576948571429</v>
      </c>
      <c r="H17" s="74">
        <f>266409.454370882/1000</f>
        <v>266.40945437088203</v>
      </c>
      <c r="I17" s="74">
        <f>3163116.88616482/1000-SUM(C17:H17)</f>
        <v>64.47072429589298</v>
      </c>
      <c r="J17" s="69"/>
      <c r="K17" s="60"/>
      <c r="L17" s="60"/>
      <c r="M17" s="60"/>
      <c r="N17" s="60"/>
      <c r="O17" s="60"/>
      <c r="P17" s="60"/>
    </row>
    <row r="18" spans="1:16" ht="8.25">
      <c r="A18" s="34" t="s">
        <v>35</v>
      </c>
      <c r="B18" s="70">
        <f>SUM(C18:I18)</f>
        <v>362.022267452084</v>
      </c>
      <c r="C18" s="80">
        <f>49535.160968661/1000</f>
        <v>49.535160968661</v>
      </c>
      <c r="D18" s="82">
        <f>159972.855633803/1000</f>
        <v>159.972855633803</v>
      </c>
      <c r="E18" s="81">
        <f>25019.4173076923/1000</f>
        <v>25.0194173076923</v>
      </c>
      <c r="F18" s="71">
        <v>0</v>
      </c>
      <c r="G18" s="71">
        <v>0</v>
      </c>
      <c r="H18" s="71">
        <v>0</v>
      </c>
      <c r="I18" s="74">
        <f>362022.267452084/1000-SUM(C18:H18)</f>
        <v>127.4948335419277</v>
      </c>
      <c r="J18" s="69"/>
      <c r="K18" s="60"/>
      <c r="L18" s="60"/>
      <c r="M18" s="60"/>
      <c r="N18" s="60"/>
      <c r="O18" s="60"/>
      <c r="P18" s="60"/>
    </row>
    <row r="19" spans="1:16" ht="8.25">
      <c r="A19" s="30" t="s">
        <v>55</v>
      </c>
      <c r="B19" s="70">
        <f>SUM(C19:I19)</f>
        <v>29.5828711429261</v>
      </c>
      <c r="C19" s="71">
        <v>0</v>
      </c>
      <c r="D19" s="71">
        <v>0</v>
      </c>
      <c r="E19" s="81">
        <v>0</v>
      </c>
      <c r="F19" s="74">
        <f>3641.88949275362/1000</f>
        <v>3.6418894927536196</v>
      </c>
      <c r="G19" s="71">
        <v>0</v>
      </c>
      <c r="H19" s="74">
        <f>25816.375168691/1000</f>
        <v>25.816375168691</v>
      </c>
      <c r="I19" s="74">
        <f>29582.8711429261/1000-SUM(C19:H19)</f>
        <v>0.12460648148147868</v>
      </c>
      <c r="J19" s="69"/>
      <c r="K19" s="60"/>
      <c r="L19" s="60"/>
      <c r="M19" s="60"/>
      <c r="N19" s="60"/>
      <c r="O19" s="60"/>
      <c r="P19" s="60"/>
    </row>
    <row r="20" spans="1:16" ht="8.25">
      <c r="A20" s="28" t="s">
        <v>36</v>
      </c>
      <c r="B20" s="70">
        <f>SUM(C20:I20)</f>
        <v>917.6233153205219</v>
      </c>
      <c r="C20" s="80">
        <f>41236.5242165242/1000</f>
        <v>41.2365242165242</v>
      </c>
      <c r="D20" s="71">
        <v>0</v>
      </c>
      <c r="E20" s="81">
        <f>809977.2875/1000</f>
        <v>809.9772875</v>
      </c>
      <c r="F20" s="74">
        <f>40035.3115942029/1000</f>
        <v>40.0353115942029</v>
      </c>
      <c r="G20" s="74">
        <f>25103.5497142857/1000</f>
        <v>25.1035497142857</v>
      </c>
      <c r="H20" s="74">
        <f>187.113360323887/1000</f>
        <v>0.187113360323887</v>
      </c>
      <c r="I20" s="74">
        <f>917623.315320522/1000-SUM(C20:H20)</f>
        <v>1.0835289351851998</v>
      </c>
      <c r="J20" s="69"/>
      <c r="K20" s="60"/>
      <c r="L20" s="60"/>
      <c r="M20" s="60"/>
      <c r="N20" s="60"/>
      <c r="O20" s="60"/>
      <c r="P20" s="60"/>
    </row>
    <row r="21" spans="1:16" ht="12.75" customHeight="1">
      <c r="A21" s="28" t="s">
        <v>54</v>
      </c>
      <c r="B21" s="70">
        <f>SUM(C21:I21)</f>
        <v>447.69645159069125</v>
      </c>
      <c r="C21" s="71">
        <v>0</v>
      </c>
      <c r="D21" s="71">
        <v>0</v>
      </c>
      <c r="E21" s="81">
        <f>280025.111538462/1000</f>
        <v>280.025111538462</v>
      </c>
      <c r="F21" s="71">
        <v>0</v>
      </c>
      <c r="G21" s="74">
        <f>54155.36/1000</f>
        <v>54.15536</v>
      </c>
      <c r="H21" s="74">
        <f>4055.30499325236/1000</f>
        <v>4.05530499325236</v>
      </c>
      <c r="I21" s="74">
        <v>109.46067505897685</v>
      </c>
      <c r="J21" s="26"/>
      <c r="K21" s="60"/>
      <c r="L21" s="60"/>
      <c r="M21" s="60"/>
      <c r="N21" s="60"/>
      <c r="O21" s="60"/>
      <c r="P21" s="60"/>
    </row>
    <row r="22" spans="2:10" ht="8.25">
      <c r="B22" s="70"/>
      <c r="C22" s="80"/>
      <c r="D22" s="82"/>
      <c r="E22" s="81"/>
      <c r="F22" s="71"/>
      <c r="G22" s="71"/>
      <c r="H22" s="71"/>
      <c r="I22" s="74"/>
      <c r="J22" s="69"/>
    </row>
    <row r="23" spans="1:10" ht="8.25">
      <c r="A23" s="33" t="s">
        <v>57</v>
      </c>
      <c r="B23" s="70">
        <f>SUM(C23:I23)</f>
        <v>2303.5995931287607</v>
      </c>
      <c r="C23" s="71">
        <f>SUM(C25:C30)</f>
        <v>76.30320370370369</v>
      </c>
      <c r="D23" s="71">
        <f aca="true" t="shared" si="3" ref="D23:I23">SUM(D25:D30)</f>
        <v>1134.1574225352113</v>
      </c>
      <c r="E23" s="71">
        <f t="shared" si="3"/>
        <v>187.3365153846154</v>
      </c>
      <c r="F23" s="71">
        <f>SUM(F25:F30)</f>
        <v>226.54213586956496</v>
      </c>
      <c r="G23" s="71">
        <f t="shared" si="3"/>
        <v>219.63697028571445</v>
      </c>
      <c r="H23" s="71">
        <f t="shared" si="3"/>
        <v>110.04305398110637</v>
      </c>
      <c r="I23" s="71">
        <f t="shared" si="3"/>
        <v>349.58029136884466</v>
      </c>
      <c r="J23" s="69"/>
    </row>
    <row r="24" spans="1:10" ht="8.25">
      <c r="A24" s="33"/>
      <c r="B24" s="70"/>
      <c r="C24" s="71"/>
      <c r="D24" s="71"/>
      <c r="E24" s="71"/>
      <c r="F24" s="71"/>
      <c r="G24" s="71"/>
      <c r="H24" s="71"/>
      <c r="I24" s="74"/>
      <c r="J24" s="69"/>
    </row>
    <row r="25" spans="1:16" ht="8.25">
      <c r="A25" s="35" t="s">
        <v>53</v>
      </c>
      <c r="B25" s="70">
        <f aca="true" t="shared" si="4" ref="B25:B30">SUM(C25:I25)</f>
        <v>131.035880375569</v>
      </c>
      <c r="C25" s="71">
        <v>0</v>
      </c>
      <c r="D25" s="74">
        <v>0</v>
      </c>
      <c r="E25" s="74">
        <v>0</v>
      </c>
      <c r="F25" s="74">
        <f>58.768115942029/1000</f>
        <v>0.058768115942029</v>
      </c>
      <c r="G25" s="74">
        <f>23312.4205714286/1000</f>
        <v>23.3124205714286</v>
      </c>
      <c r="H25" s="74">
        <f>107066.753036437/1000</f>
        <v>107.066753036437</v>
      </c>
      <c r="I25" s="74">
        <f>131035.880375569/1000-SUM(C25:H25)</f>
        <v>0.5979386517613818</v>
      </c>
      <c r="J25" s="69"/>
      <c r="K25" s="60"/>
      <c r="L25" s="60"/>
      <c r="M25" s="60"/>
      <c r="N25" s="60"/>
      <c r="O25" s="60"/>
      <c r="P25" s="60"/>
    </row>
    <row r="26" spans="1:16" ht="8.25">
      <c r="A26" s="30" t="s">
        <v>52</v>
      </c>
      <c r="B26" s="70">
        <f t="shared" si="4"/>
        <v>449.14341391971203</v>
      </c>
      <c r="C26" s="74">
        <v>0</v>
      </c>
      <c r="D26" s="74">
        <f>150067.914319249/1000</f>
        <v>150.06791431924898</v>
      </c>
      <c r="E26" s="74">
        <v>0</v>
      </c>
      <c r="F26" s="74">
        <f>0.0289855072463768/1000</f>
        <v>2.89855072463768E-05</v>
      </c>
      <c r="G26" s="74">
        <f>7445.47314285714/1000</f>
        <v>7.44547314285714</v>
      </c>
      <c r="H26" s="74">
        <f>1297.12955465587/1000</f>
        <v>1.2971295546558699</v>
      </c>
      <c r="I26" s="74">
        <f>449143.413919712/1000-SUM(C26:H26)</f>
        <v>290.3328679174428</v>
      </c>
      <c r="J26" s="69"/>
      <c r="K26" s="60"/>
      <c r="L26" s="60"/>
      <c r="M26" s="60"/>
      <c r="N26" s="60"/>
      <c r="O26" s="60"/>
      <c r="P26" s="60"/>
    </row>
    <row r="27" spans="1:16" ht="8.25">
      <c r="A27" s="30" t="s">
        <v>39</v>
      </c>
      <c r="B27" s="70">
        <f t="shared" si="4"/>
        <v>258.913668240029</v>
      </c>
      <c r="C27" s="74">
        <f>76303.2037037037/1000</f>
        <v>76.30320370370369</v>
      </c>
      <c r="D27" s="74">
        <v>0</v>
      </c>
      <c r="E27" s="74">
        <f>79177.5298076923/1000</f>
        <v>79.17752980769231</v>
      </c>
      <c r="F27" s="74">
        <f>8077.3097826087/1000</f>
        <v>8.0773097826087</v>
      </c>
      <c r="G27" s="74">
        <f>94523.3062857143/1000</f>
        <v>94.5233062857143</v>
      </c>
      <c r="H27" s="74">
        <f>67.5006747638326/1000</f>
        <v>0.0675006747638326</v>
      </c>
      <c r="I27" s="74">
        <f>258913.668240029/1000-SUM(C27:H27)</f>
        <v>0.7648179855461308</v>
      </c>
      <c r="J27" s="69"/>
      <c r="K27" s="60"/>
      <c r="L27" s="60"/>
      <c r="M27" s="60"/>
      <c r="N27" s="60"/>
      <c r="O27" s="60"/>
      <c r="P27" s="60"/>
    </row>
    <row r="28" spans="1:16" ht="8.25">
      <c r="A28" s="28" t="s">
        <v>58</v>
      </c>
      <c r="B28" s="70">
        <f t="shared" si="4"/>
        <v>859.7527296579477</v>
      </c>
      <c r="C28" s="74">
        <v>0</v>
      </c>
      <c r="D28" s="74">
        <f>854054.323943662/1000</f>
        <v>854.054323943662</v>
      </c>
      <c r="E28" s="74">
        <v>0</v>
      </c>
      <c r="F28" s="74">
        <v>0</v>
      </c>
      <c r="G28" s="74">
        <f>5698.40571428571/1000</f>
        <v>5.69840571428571</v>
      </c>
      <c r="H28" s="74">
        <v>0</v>
      </c>
      <c r="I28" s="74">
        <v>0</v>
      </c>
      <c r="J28" s="69"/>
      <c r="K28" s="60"/>
      <c r="L28" s="60"/>
      <c r="M28" s="60"/>
      <c r="N28" s="60"/>
      <c r="O28" s="60"/>
      <c r="P28" s="60"/>
    </row>
    <row r="29" spans="1:16" ht="8.25">
      <c r="A29" s="28" t="s">
        <v>47</v>
      </c>
      <c r="B29" s="70">
        <f t="shared" si="4"/>
        <v>83.4849189265571</v>
      </c>
      <c r="C29" s="74">
        <v>0</v>
      </c>
      <c r="D29" s="74">
        <f>45824.1361502347/1000</f>
        <v>45.8241361502347</v>
      </c>
      <c r="E29" s="74">
        <f>29001.4846153846/1000</f>
        <v>29.0014846153846</v>
      </c>
      <c r="F29" s="74">
        <v>0</v>
      </c>
      <c r="G29" s="74">
        <f>78.2537142857143/1000</f>
        <v>0.0782537142857143</v>
      </c>
      <c r="H29" s="74">
        <f>0.134952766531714/1000</f>
        <v>0.000134952766531714</v>
      </c>
      <c r="I29" s="74">
        <f>83484.9189265571/1000-SUM(C29:H29)</f>
        <v>8.580909493885557</v>
      </c>
      <c r="J29" s="69"/>
      <c r="K29" s="60"/>
      <c r="L29" s="60"/>
      <c r="M29" s="60"/>
      <c r="N29" s="60"/>
      <c r="O29" s="60"/>
      <c r="P29" s="60"/>
    </row>
    <row r="30" spans="1:16" ht="10.5" customHeight="1">
      <c r="A30" s="28" t="s">
        <v>62</v>
      </c>
      <c r="B30" s="70">
        <f t="shared" si="4"/>
        <v>521.2689820089461</v>
      </c>
      <c r="C30" s="74">
        <v>0</v>
      </c>
      <c r="D30" s="74">
        <f>84211.0481220657/1000</f>
        <v>84.21104812206569</v>
      </c>
      <c r="E30" s="74">
        <f>79157.5009615385/1000</f>
        <v>79.1575009615385</v>
      </c>
      <c r="F30" s="74">
        <f>218406.028985507/1000</f>
        <v>218.406028985507</v>
      </c>
      <c r="G30" s="74">
        <v>88.57911085714298</v>
      </c>
      <c r="H30" s="74">
        <f>1611.53576248313/1000</f>
        <v>1.61153576248313</v>
      </c>
      <c r="I30" s="74">
        <f>521268.982008946/1000-SUM(C30:H30)</f>
        <v>49.30375732020883</v>
      </c>
      <c r="J30" s="69"/>
      <c r="K30" s="60"/>
      <c r="L30" s="60"/>
      <c r="M30" s="60"/>
      <c r="N30" s="60"/>
      <c r="O30" s="60"/>
      <c r="P30" s="60"/>
    </row>
    <row r="31" spans="2:10" ht="8.25">
      <c r="B31" s="70"/>
      <c r="C31" s="71"/>
      <c r="D31" s="71"/>
      <c r="E31" s="71"/>
      <c r="F31" s="71"/>
      <c r="G31" s="71"/>
      <c r="H31" s="71"/>
      <c r="I31" s="74"/>
      <c r="J31" s="69"/>
    </row>
    <row r="32" spans="1:10" ht="8.25">
      <c r="A32" s="33" t="s">
        <v>45</v>
      </c>
      <c r="B32" s="70">
        <f>SUM(C32:I32)</f>
        <v>1104.45628150243</v>
      </c>
      <c r="C32" s="71">
        <f aca="true" t="shared" si="5" ref="C32:I32">SUM(C34:C37)</f>
        <v>130.7282478632479</v>
      </c>
      <c r="D32" s="71">
        <f t="shared" si="5"/>
        <v>73.6867370892018</v>
      </c>
      <c r="E32" s="71">
        <f t="shared" si="5"/>
        <v>0</v>
      </c>
      <c r="F32" s="71">
        <f t="shared" si="5"/>
        <v>272.55991123188403</v>
      </c>
      <c r="G32" s="71">
        <f t="shared" si="5"/>
        <v>21.5576274285714</v>
      </c>
      <c r="H32" s="71">
        <f t="shared" si="5"/>
        <v>0.13707287449392677</v>
      </c>
      <c r="I32" s="71">
        <f t="shared" si="5"/>
        <v>605.786685015031</v>
      </c>
      <c r="J32" s="69"/>
    </row>
    <row r="33" spans="1:10" ht="8.25">
      <c r="A33" s="33"/>
      <c r="B33" s="70"/>
      <c r="C33" s="71"/>
      <c r="D33" s="71"/>
      <c r="E33" s="71"/>
      <c r="F33" s="71"/>
      <c r="G33" s="71"/>
      <c r="H33" s="71"/>
      <c r="I33" s="74"/>
      <c r="J33" s="69"/>
    </row>
    <row r="34" spans="1:16" ht="8.25">
      <c r="A34" s="28" t="s">
        <v>42</v>
      </c>
      <c r="B34" s="70">
        <f>SUM(C34:I34)</f>
        <v>361.5881377326106</v>
      </c>
      <c r="C34" s="75">
        <f>79874.1025641026/1000</f>
        <v>79.8741025641026</v>
      </c>
      <c r="D34" s="75">
        <v>0</v>
      </c>
      <c r="E34" s="75">
        <v>0</v>
      </c>
      <c r="F34" s="75">
        <f>181651.393115942/1000</f>
        <v>181.651393115942</v>
      </c>
      <c r="G34" s="75">
        <v>0</v>
      </c>
      <c r="H34" s="75">
        <v>0</v>
      </c>
      <c r="I34" s="74">
        <f>100062.642052566/1000</f>
        <v>100.062642052566</v>
      </c>
      <c r="J34" s="69"/>
      <c r="K34" s="60"/>
      <c r="L34" s="60"/>
      <c r="M34" s="60"/>
      <c r="N34" s="60"/>
      <c r="O34" s="60"/>
      <c r="P34" s="60"/>
    </row>
    <row r="35" spans="1:16" ht="8.25">
      <c r="A35" s="30" t="s">
        <v>51</v>
      </c>
      <c r="B35" s="70">
        <f>SUM(C35:I35)</f>
        <v>596.0422191258729</v>
      </c>
      <c r="C35" s="75">
        <v>0</v>
      </c>
      <c r="D35" s="75">
        <f>40483.4096244131/1000</f>
        <v>40.4834096244131</v>
      </c>
      <c r="E35" s="75">
        <v>0</v>
      </c>
      <c r="F35" s="75">
        <f>83214.5416666667/1000</f>
        <v>83.2145416666667</v>
      </c>
      <c r="G35" s="75">
        <v>0</v>
      </c>
      <c r="H35" s="75">
        <v>0</v>
      </c>
      <c r="I35" s="74">
        <f>472344.267834793/1000</f>
        <v>472.344267834793</v>
      </c>
      <c r="J35" s="69"/>
      <c r="K35" s="60"/>
      <c r="L35" s="60"/>
      <c r="M35" s="60"/>
      <c r="N35" s="60"/>
      <c r="O35" s="60"/>
      <c r="P35" s="60"/>
    </row>
    <row r="36" spans="1:18" s="47" customFormat="1" ht="10.5" customHeight="1">
      <c r="A36" s="56" t="s">
        <v>61</v>
      </c>
      <c r="B36" s="70">
        <f>SUM(C36:I36)</f>
        <v>23.652770529705514</v>
      </c>
      <c r="C36" s="75">
        <v>0</v>
      </c>
      <c r="D36" s="75">
        <v>0</v>
      </c>
      <c r="E36" s="75">
        <v>0</v>
      </c>
      <c r="F36" s="75"/>
      <c r="G36" s="75">
        <f>21557.6274285714/1000</f>
        <v>21.5576274285714</v>
      </c>
      <c r="H36" s="75">
        <f>2.24156545209177/1000</f>
        <v>0.00224156545209177</v>
      </c>
      <c r="I36" s="74">
        <f>2092.90153568202/1000</f>
        <v>2.09290153568202</v>
      </c>
      <c r="J36" s="69"/>
      <c r="K36" s="60"/>
      <c r="L36" s="60"/>
      <c r="M36" s="60"/>
      <c r="N36" s="60"/>
      <c r="O36" s="60"/>
      <c r="P36" s="60"/>
      <c r="Q36" s="52"/>
      <c r="R36" s="52"/>
    </row>
    <row r="37" spans="1:18" s="47" customFormat="1" ht="10.5" customHeight="1">
      <c r="A37" s="56" t="s">
        <v>66</v>
      </c>
      <c r="B37" s="70">
        <f>SUM(C37:I37)</f>
        <v>123.17315411424117</v>
      </c>
      <c r="C37" s="75">
        <f>50854.1452991453/1000</f>
        <v>50.854145299145294</v>
      </c>
      <c r="D37" s="75">
        <f>33203.3274647887/1000</f>
        <v>33.2033274647887</v>
      </c>
      <c r="E37" s="75">
        <v>0</v>
      </c>
      <c r="F37" s="75">
        <f>7693.97644927536/1000</f>
        <v>7.69397644927536</v>
      </c>
      <c r="G37" s="75">
        <v>0</v>
      </c>
      <c r="H37" s="75">
        <f>134.831309041835/1000</f>
        <v>0.134831309041835</v>
      </c>
      <c r="I37" s="74">
        <f>31286.87359199/1000</f>
        <v>31.28687359199</v>
      </c>
      <c r="J37" s="69"/>
      <c r="K37" s="60"/>
      <c r="L37" s="60"/>
      <c r="M37" s="60"/>
      <c r="N37" s="60"/>
      <c r="O37" s="60"/>
      <c r="P37" s="60"/>
      <c r="Q37" s="52"/>
      <c r="R37" s="52"/>
    </row>
    <row r="38" spans="1:10" ht="8.25">
      <c r="A38" s="33"/>
      <c r="B38" s="70"/>
      <c r="C38" s="71"/>
      <c r="D38" s="71"/>
      <c r="E38" s="71"/>
      <c r="F38" s="71"/>
      <c r="G38" s="71"/>
      <c r="H38" s="71"/>
      <c r="I38" s="74"/>
      <c r="J38" s="69"/>
    </row>
    <row r="39" spans="1:10" ht="8.25">
      <c r="A39" s="33" t="s">
        <v>46</v>
      </c>
      <c r="B39" s="70">
        <f>SUM(C39:I39)</f>
        <v>2068.015427133654</v>
      </c>
      <c r="C39" s="71">
        <f>SUM(C41:C44)</f>
        <v>1223.513648148148</v>
      </c>
      <c r="D39" s="71">
        <f aca="true" t="shared" si="6" ref="D39:I39">SUM(D41:D44)</f>
        <v>0</v>
      </c>
      <c r="E39" s="71">
        <f t="shared" si="6"/>
        <v>0</v>
      </c>
      <c r="F39" s="71">
        <f t="shared" si="6"/>
        <v>844.5017789855063</v>
      </c>
      <c r="G39" s="71">
        <f t="shared" si="6"/>
        <v>0</v>
      </c>
      <c r="H39" s="71">
        <f t="shared" si="6"/>
        <v>0</v>
      </c>
      <c r="I39" s="71">
        <f t="shared" si="6"/>
        <v>0</v>
      </c>
      <c r="J39" s="69"/>
    </row>
    <row r="40" spans="1:10" ht="8.25">
      <c r="A40" s="33"/>
      <c r="B40" s="70"/>
      <c r="C40" s="71"/>
      <c r="D40" s="71"/>
      <c r="E40" s="71"/>
      <c r="F40" s="71"/>
      <c r="G40" s="71"/>
      <c r="H40" s="71"/>
      <c r="I40" s="74"/>
      <c r="J40" s="69"/>
    </row>
    <row r="41" spans="1:16" ht="8.25">
      <c r="A41" s="34" t="s">
        <v>37</v>
      </c>
      <c r="B41" s="70">
        <f>SUM(C41:I41)</f>
        <v>1573.703332744952</v>
      </c>
      <c r="C41" s="74">
        <f>911936.908831909/1000</f>
        <v>911.9369088319089</v>
      </c>
      <c r="D41" s="75">
        <v>0</v>
      </c>
      <c r="E41" s="75">
        <v>0</v>
      </c>
      <c r="F41" s="74">
        <f>661766.423913043/1000</f>
        <v>661.766423913043</v>
      </c>
      <c r="G41" s="75">
        <v>0</v>
      </c>
      <c r="H41" s="75">
        <v>0</v>
      </c>
      <c r="I41" s="74">
        <v>0</v>
      </c>
      <c r="J41" s="69"/>
      <c r="K41" s="60"/>
      <c r="L41" s="60"/>
      <c r="M41" s="60"/>
      <c r="N41" s="60"/>
      <c r="O41" s="60"/>
      <c r="P41" s="60"/>
    </row>
    <row r="42" spans="1:16" ht="8.25">
      <c r="A42" s="34" t="s">
        <v>59</v>
      </c>
      <c r="B42" s="70">
        <f>SUM(C42:I42)</f>
        <v>39.124158119658105</v>
      </c>
      <c r="C42" s="74">
        <f>39124.1581196581/1000</f>
        <v>39.124158119658105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69"/>
      <c r="K42" s="60"/>
      <c r="L42" s="60"/>
      <c r="M42" s="60"/>
      <c r="N42" s="60"/>
      <c r="O42" s="60"/>
      <c r="P42" s="60"/>
    </row>
    <row r="43" spans="1:16" ht="8.25">
      <c r="A43" s="28" t="s">
        <v>40</v>
      </c>
      <c r="B43" s="70">
        <f>SUM(C43:I43)</f>
        <v>196.90287170196942</v>
      </c>
      <c r="C43" s="74">
        <f>138695.752136752/1000</f>
        <v>138.69575213675202</v>
      </c>
      <c r="D43" s="75">
        <v>0</v>
      </c>
      <c r="E43" s="75">
        <v>0</v>
      </c>
      <c r="F43" s="74">
        <f>58207.1195652174/1000</f>
        <v>58.2071195652174</v>
      </c>
      <c r="G43" s="75">
        <v>0</v>
      </c>
      <c r="H43" s="75">
        <v>0</v>
      </c>
      <c r="I43" s="75">
        <v>0</v>
      </c>
      <c r="J43" s="69"/>
      <c r="K43" s="60"/>
      <c r="L43" s="60"/>
      <c r="M43" s="60"/>
      <c r="N43" s="60"/>
      <c r="O43" s="60"/>
      <c r="P43" s="60"/>
    </row>
    <row r="44" spans="1:16" ht="10.5" customHeight="1">
      <c r="A44" s="28" t="s">
        <v>67</v>
      </c>
      <c r="B44" s="70">
        <f>SUM(C44:I44)</f>
        <v>258.28506456707504</v>
      </c>
      <c r="C44" s="74">
        <f>133756.829059829/1000</f>
        <v>133.75682905982902</v>
      </c>
      <c r="D44" s="75">
        <v>0</v>
      </c>
      <c r="E44" s="75">
        <v>0</v>
      </c>
      <c r="F44" s="74">
        <f>124528.235507246/1000</f>
        <v>124.52823550724601</v>
      </c>
      <c r="G44" s="75">
        <v>0</v>
      </c>
      <c r="H44" s="75">
        <v>0</v>
      </c>
      <c r="I44" s="74">
        <v>0</v>
      </c>
      <c r="J44" s="69"/>
      <c r="K44" s="60"/>
      <c r="L44" s="60"/>
      <c r="M44" s="60"/>
      <c r="N44" s="60"/>
      <c r="O44" s="60"/>
      <c r="P44" s="60"/>
    </row>
    <row r="45" spans="2:10" ht="8.25">
      <c r="B45" s="70"/>
      <c r="C45" s="71"/>
      <c r="D45" s="71"/>
      <c r="E45" s="71"/>
      <c r="F45" s="71"/>
      <c r="G45" s="71"/>
      <c r="H45" s="71"/>
      <c r="I45" s="74"/>
      <c r="J45" s="69"/>
    </row>
    <row r="46" spans="1:10" ht="8.25">
      <c r="A46" s="36" t="s">
        <v>49</v>
      </c>
      <c r="B46" s="70">
        <f>SUM(C46:I46)</f>
        <v>3893.9749299128416</v>
      </c>
      <c r="C46" s="71">
        <f aca="true" t="shared" si="7" ref="C46:I46">SUM(C48:C49)</f>
        <v>0</v>
      </c>
      <c r="D46" s="71">
        <f t="shared" si="7"/>
        <v>3551.72580751174</v>
      </c>
      <c r="E46" s="71">
        <f t="shared" si="7"/>
        <v>0.5557692307692309</v>
      </c>
      <c r="F46" s="71">
        <f t="shared" si="7"/>
        <v>0.23029528985507203</v>
      </c>
      <c r="G46" s="71">
        <f t="shared" si="7"/>
        <v>11.70842857142857</v>
      </c>
      <c r="H46" s="71">
        <f t="shared" si="7"/>
        <v>0.009191632928475031</v>
      </c>
      <c r="I46" s="71">
        <f t="shared" si="7"/>
        <v>329.7454376761204</v>
      </c>
      <c r="J46" s="69"/>
    </row>
    <row r="47" spans="2:10" ht="8.25">
      <c r="B47" s="70"/>
      <c r="C47" s="74"/>
      <c r="D47" s="74"/>
      <c r="E47" s="74"/>
      <c r="F47" s="74"/>
      <c r="G47" s="74"/>
      <c r="H47" s="74"/>
      <c r="I47" s="74"/>
      <c r="J47" s="69"/>
    </row>
    <row r="48" spans="1:16" ht="8.25">
      <c r="A48" s="30" t="s">
        <v>38</v>
      </c>
      <c r="B48" s="70">
        <f>SUM(D48:I48)</f>
        <v>1885.7674200571853</v>
      </c>
      <c r="C48" s="75">
        <v>0</v>
      </c>
      <c r="D48" s="80">
        <f>1800272.42723005/1000</f>
        <v>1800.2724272300502</v>
      </c>
      <c r="E48" s="75">
        <v>0</v>
      </c>
      <c r="F48" s="75">
        <v>0</v>
      </c>
      <c r="G48" s="74">
        <f>6755.58171428571/1000</f>
        <v>6.75558171428571</v>
      </c>
      <c r="H48" s="74">
        <f>SUM(H50:H51)</f>
        <v>0</v>
      </c>
      <c r="I48" s="74">
        <f>78739.4111128494/1000</f>
        <v>78.7394111128494</v>
      </c>
      <c r="J48" s="69"/>
      <c r="K48" s="60"/>
      <c r="L48" s="60"/>
      <c r="M48" s="60"/>
      <c r="N48" s="60"/>
      <c r="O48" s="60"/>
      <c r="P48" s="60"/>
    </row>
    <row r="49" spans="1:16" ht="10.5" customHeight="1">
      <c r="A49" s="47" t="s">
        <v>70</v>
      </c>
      <c r="B49" s="70">
        <f>SUM(C49:I49)</f>
        <v>2008.2075098556568</v>
      </c>
      <c r="C49" s="75">
        <v>0</v>
      </c>
      <c r="D49" s="82">
        <f>1751453.38028169/1000</f>
        <v>1751.45338028169</v>
      </c>
      <c r="E49" s="81">
        <f>555.769230769231/1000</f>
        <v>0.5557692307692309</v>
      </c>
      <c r="F49" s="74">
        <f>230.295289855072/1000</f>
        <v>0.23029528985507203</v>
      </c>
      <c r="G49" s="74">
        <f>4952.84685714286/1000</f>
        <v>4.95284685714286</v>
      </c>
      <c r="H49" s="74">
        <f>9.19163292847503/1000</f>
        <v>0.009191632928475031</v>
      </c>
      <c r="I49" s="74">
        <f>251006.026563271/1000</f>
        <v>251.006026563271</v>
      </c>
      <c r="J49" s="69"/>
      <c r="K49" s="60"/>
      <c r="L49" s="60"/>
      <c r="M49" s="60"/>
      <c r="N49" s="60"/>
      <c r="O49" s="60"/>
      <c r="P49" s="60"/>
    </row>
    <row r="50" spans="1:10" ht="8.25">
      <c r="A50" s="37"/>
      <c r="B50" s="38"/>
      <c r="C50" s="38"/>
      <c r="D50" s="38"/>
      <c r="E50" s="38"/>
      <c r="F50" s="63"/>
      <c r="G50" s="38"/>
      <c r="H50" s="38"/>
      <c r="I50" s="38"/>
      <c r="J50" s="59"/>
    </row>
    <row r="51" spans="1:10" ht="10.5" customHeight="1">
      <c r="A51" s="58" t="s">
        <v>69</v>
      </c>
      <c r="B51" s="43"/>
      <c r="C51" s="43"/>
      <c r="D51" s="43"/>
      <c r="E51" s="43"/>
      <c r="F51" s="64"/>
      <c r="G51" s="43"/>
      <c r="H51" s="43"/>
      <c r="I51" s="43"/>
      <c r="J51" s="59"/>
    </row>
    <row r="52" spans="1:10" ht="10.5" customHeight="1">
      <c r="A52" s="57" t="s">
        <v>68</v>
      </c>
      <c r="B52" s="43"/>
      <c r="C52" s="43"/>
      <c r="D52" s="43"/>
      <c r="E52" s="43"/>
      <c r="F52" s="64"/>
      <c r="G52" s="43"/>
      <c r="H52" s="43"/>
      <c r="I52" s="43"/>
      <c r="J52" s="59"/>
    </row>
    <row r="53" spans="1:10" ht="10.5" customHeight="1">
      <c r="A53" s="28" t="s">
        <v>71</v>
      </c>
      <c r="B53" s="43"/>
      <c r="C53" s="43"/>
      <c r="D53" s="43"/>
      <c r="E53" s="43"/>
      <c r="F53" s="64"/>
      <c r="G53" s="43"/>
      <c r="H53" s="43"/>
      <c r="I53" s="43"/>
      <c r="J53" s="59"/>
    </row>
    <row r="54" spans="1:10" ht="10.5" customHeight="1">
      <c r="A54" s="47" t="s">
        <v>73</v>
      </c>
      <c r="B54" s="43"/>
      <c r="C54" s="43"/>
      <c r="D54" s="43"/>
      <c r="E54" s="43"/>
      <c r="F54" s="64"/>
      <c r="G54" s="43"/>
      <c r="H54" s="43"/>
      <c r="I54" s="43"/>
      <c r="J54" s="59"/>
    </row>
    <row r="55" spans="1:10" ht="10.5" customHeight="1">
      <c r="A55" s="57" t="s">
        <v>75</v>
      </c>
      <c r="B55" s="43"/>
      <c r="C55" s="43"/>
      <c r="D55" s="43"/>
      <c r="E55" s="43"/>
      <c r="F55" s="65"/>
      <c r="G55" s="48"/>
      <c r="H55" s="48"/>
      <c r="I55" s="48"/>
      <c r="J55" s="59"/>
    </row>
    <row r="56" spans="1:10" ht="8.25">
      <c r="A56" s="56" t="s">
        <v>74</v>
      </c>
      <c r="B56" s="39"/>
      <c r="C56" s="39"/>
      <c r="D56" s="40"/>
      <c r="E56" s="40"/>
      <c r="F56" s="66"/>
      <c r="G56" s="41"/>
      <c r="H56" s="41"/>
      <c r="I56" s="41"/>
      <c r="J56" s="59"/>
    </row>
    <row r="57" spans="1:10" ht="8.25">
      <c r="A57" s="53"/>
      <c r="F57" s="67"/>
      <c r="G57" s="30"/>
      <c r="H57" s="30"/>
      <c r="I57" s="30"/>
      <c r="J57" s="59"/>
    </row>
    <row r="58" spans="1:10" ht="8.25">
      <c r="A58" s="53"/>
      <c r="J58" s="59"/>
    </row>
    <row r="59" spans="1:10" ht="8.25">
      <c r="A59" s="53"/>
      <c r="B59" s="30"/>
      <c r="C59" s="30"/>
      <c r="J59" s="59"/>
    </row>
    <row r="60" spans="1:10" ht="8.25">
      <c r="A60" s="54"/>
      <c r="J60" s="59"/>
    </row>
    <row r="61" spans="1:10" ht="8.25">
      <c r="A61" s="54"/>
      <c r="B61" s="30"/>
      <c r="C61" s="30"/>
      <c r="J61" s="59"/>
    </row>
    <row r="62" spans="1:10" ht="8.25">
      <c r="A62" s="55"/>
      <c r="B62" s="30"/>
      <c r="C62" s="30"/>
      <c r="J62" s="59"/>
    </row>
    <row r="63" spans="1:10" ht="8.25">
      <c r="A63" s="55"/>
      <c r="B63" s="30"/>
      <c r="C63" s="30"/>
      <c r="J63" s="59"/>
    </row>
    <row r="64" spans="1:10" ht="8.25">
      <c r="A64" s="52"/>
      <c r="J64" s="59"/>
    </row>
    <row r="65" spans="1:10" ht="8.25">
      <c r="A65" s="55"/>
      <c r="J65" s="59"/>
    </row>
    <row r="66" spans="1:10" ht="8.25">
      <c r="A66" s="52"/>
      <c r="J66" s="59"/>
    </row>
    <row r="67" spans="1:10" ht="8.25">
      <c r="A67" s="52"/>
      <c r="J67" s="59"/>
    </row>
    <row r="68" ht="8.25">
      <c r="J68" s="59"/>
    </row>
    <row r="69" ht="8.25">
      <c r="J69" s="59"/>
    </row>
    <row r="70" ht="8.25">
      <c r="J70" s="59"/>
    </row>
    <row r="71" ht="8.25">
      <c r="J71" s="59"/>
    </row>
    <row r="72" ht="8.25">
      <c r="J72" s="59"/>
    </row>
    <row r="73" ht="8.25">
      <c r="J73" s="59"/>
    </row>
    <row r="74" ht="8.25">
      <c r="J74" s="59"/>
    </row>
    <row r="75" ht="8.25">
      <c r="J75" s="59"/>
    </row>
    <row r="76" ht="8.25">
      <c r="J76" s="59"/>
    </row>
    <row r="77" ht="8.25">
      <c r="J77" s="59"/>
    </row>
    <row r="78" ht="8.25">
      <c r="J78" s="59"/>
    </row>
    <row r="79" ht="8.25">
      <c r="J79" s="59"/>
    </row>
    <row r="80" ht="8.25">
      <c r="J80" s="59"/>
    </row>
    <row r="81" ht="8.25">
      <c r="J81" s="59"/>
    </row>
    <row r="82" ht="8.25">
      <c r="J82" s="59"/>
    </row>
    <row r="83" ht="8.25">
      <c r="J83" s="59"/>
    </row>
    <row r="84" ht="8.25">
      <c r="J84" s="59"/>
    </row>
    <row r="85" ht="8.25">
      <c r="J85" s="59"/>
    </row>
    <row r="86" ht="8.25">
      <c r="J86" s="59"/>
    </row>
    <row r="87" ht="8.25">
      <c r="J87" s="59"/>
    </row>
    <row r="88" ht="8.25">
      <c r="J88" s="59"/>
    </row>
    <row r="89" ht="8.25">
      <c r="J89" s="59"/>
    </row>
    <row r="90" ht="8.25">
      <c r="J90" s="59"/>
    </row>
    <row r="91" ht="8.25">
      <c r="J91" s="59"/>
    </row>
    <row r="92" spans="1:10" ht="8.25">
      <c r="A92" s="32"/>
      <c r="J92" s="59"/>
    </row>
    <row r="93" spans="1:10" ht="8.25">
      <c r="A93" s="32"/>
      <c r="J93" s="59"/>
    </row>
    <row r="94" spans="1:10" ht="8.25">
      <c r="A94" s="32"/>
      <c r="J94" s="59"/>
    </row>
    <row r="95" spans="1:10" ht="8.25">
      <c r="A95" s="32"/>
      <c r="J95" s="59"/>
    </row>
    <row r="96" spans="1:10" ht="8.25">
      <c r="A96" s="32"/>
      <c r="J96" s="59"/>
    </row>
    <row r="97" spans="1:10" ht="8.25">
      <c r="A97" s="32"/>
      <c r="J97" s="59"/>
    </row>
    <row r="98" spans="1:10" ht="8.25">
      <c r="A98" s="32"/>
      <c r="J98" s="59"/>
    </row>
    <row r="99" spans="1:10" ht="8.25">
      <c r="A99" s="32"/>
      <c r="J99" s="59"/>
    </row>
    <row r="100" spans="1:10" ht="8.25">
      <c r="A100" s="32"/>
      <c r="J100" s="59"/>
    </row>
    <row r="101" spans="1:10" ht="8.25">
      <c r="A101" s="32"/>
      <c r="J101" s="59"/>
    </row>
    <row r="102" spans="1:10" ht="8.25">
      <c r="A102" s="32"/>
      <c r="J102" s="59"/>
    </row>
    <row r="103" spans="1:10" ht="8.25">
      <c r="A103" s="32"/>
      <c r="J103" s="59"/>
    </row>
    <row r="104" spans="1:10" ht="8.25">
      <c r="A104" s="32"/>
      <c r="J104" s="59"/>
    </row>
    <row r="105" spans="1:10" ht="8.25">
      <c r="A105" s="32"/>
      <c r="J105" s="59"/>
    </row>
    <row r="106" spans="1:10" ht="8.25">
      <c r="A106" s="32"/>
      <c r="J106" s="59"/>
    </row>
    <row r="107" spans="1:10" ht="8.25">
      <c r="A107" s="32"/>
      <c r="J107" s="59"/>
    </row>
    <row r="108" spans="1:10" ht="8.25">
      <c r="A108" s="32"/>
      <c r="J108" s="59"/>
    </row>
    <row r="109" ht="8.25">
      <c r="J109" s="59"/>
    </row>
    <row r="110" ht="8.25">
      <c r="J110" s="59"/>
    </row>
    <row r="111" ht="8.25">
      <c r="J111" s="59"/>
    </row>
    <row r="112" ht="8.25">
      <c r="J112" s="59"/>
    </row>
    <row r="113" ht="8.25">
      <c r="J113" s="59"/>
    </row>
    <row r="114" ht="8.25">
      <c r="J114" s="59"/>
    </row>
    <row r="115" ht="8.25">
      <c r="J115" s="59"/>
    </row>
    <row r="116" ht="8.25">
      <c r="J116" s="59"/>
    </row>
    <row r="117" ht="8.25">
      <c r="J117" s="59"/>
    </row>
    <row r="118" ht="8.25">
      <c r="J118" s="59"/>
    </row>
    <row r="119" ht="8.25">
      <c r="J119" s="59"/>
    </row>
    <row r="120" ht="8.25">
      <c r="J120" s="59"/>
    </row>
    <row r="121" ht="8.25">
      <c r="J121" s="59"/>
    </row>
    <row r="122" ht="8.25">
      <c r="J122" s="59"/>
    </row>
    <row r="123" ht="8.25">
      <c r="J123" s="59"/>
    </row>
    <row r="124" ht="8.25">
      <c r="J124" s="59"/>
    </row>
    <row r="125" ht="8.25">
      <c r="J125" s="59"/>
    </row>
    <row r="126" ht="8.25">
      <c r="J126" s="59"/>
    </row>
    <row r="127" ht="8.25">
      <c r="J127" s="59"/>
    </row>
    <row r="128" ht="8.25">
      <c r="J128" s="59"/>
    </row>
    <row r="129" ht="8.25">
      <c r="J129" s="59"/>
    </row>
    <row r="130" ht="8.25">
      <c r="J130" s="59"/>
    </row>
    <row r="131" ht="8.25">
      <c r="J131" s="59"/>
    </row>
    <row r="132" ht="8.25">
      <c r="J132" s="59"/>
    </row>
    <row r="133" ht="8.25">
      <c r="J133" s="59"/>
    </row>
    <row r="134" ht="8.25">
      <c r="J134" s="59"/>
    </row>
    <row r="135" ht="8.25">
      <c r="J135" s="59"/>
    </row>
    <row r="136" ht="8.25">
      <c r="J136" s="59"/>
    </row>
    <row r="137" ht="8.25">
      <c r="J137" s="59"/>
    </row>
    <row r="138" ht="8.25">
      <c r="J138" s="59"/>
    </row>
    <row r="139" ht="8.25">
      <c r="J139" s="59"/>
    </row>
    <row r="140" ht="8.25">
      <c r="J140" s="59"/>
    </row>
    <row r="141" ht="8.25">
      <c r="J141" s="59"/>
    </row>
    <row r="142" ht="8.25">
      <c r="J142" s="59"/>
    </row>
    <row r="143" ht="8.25">
      <c r="J143" s="59"/>
    </row>
    <row r="144" ht="8.25">
      <c r="J144" s="59"/>
    </row>
    <row r="145" ht="8.25">
      <c r="J145" s="59"/>
    </row>
    <row r="146" ht="8.25">
      <c r="J146" s="59"/>
    </row>
    <row r="147" ht="8.25">
      <c r="J147" s="59"/>
    </row>
    <row r="148" ht="8.25">
      <c r="J148" s="59"/>
    </row>
    <row r="149" ht="8.25">
      <c r="J149" s="59"/>
    </row>
    <row r="150" ht="8.25">
      <c r="J150" s="59"/>
    </row>
    <row r="151" ht="8.25">
      <c r="J151" s="59"/>
    </row>
    <row r="152" ht="8.25">
      <c r="J152" s="59"/>
    </row>
    <row r="153" ht="8.25">
      <c r="J153" s="59"/>
    </row>
    <row r="154" ht="8.25">
      <c r="J154" s="59"/>
    </row>
    <row r="155" ht="8.25">
      <c r="J155" s="59"/>
    </row>
    <row r="156" ht="8.25">
      <c r="J156" s="59"/>
    </row>
    <row r="157" ht="8.25">
      <c r="J157" s="59"/>
    </row>
    <row r="158" ht="8.25">
      <c r="J158" s="59"/>
    </row>
    <row r="159" ht="8.25">
      <c r="J159" s="59"/>
    </row>
    <row r="160" ht="8.25">
      <c r="J160" s="59"/>
    </row>
    <row r="161" ht="8.25">
      <c r="J161" s="59"/>
    </row>
    <row r="162" ht="8.25">
      <c r="J162" s="59"/>
    </row>
    <row r="163" ht="8.25">
      <c r="J163" s="59"/>
    </row>
    <row r="164" ht="8.25">
      <c r="J164" s="59"/>
    </row>
    <row r="165" ht="8.25">
      <c r="J165" s="59"/>
    </row>
    <row r="166" ht="8.25">
      <c r="J166" s="59"/>
    </row>
    <row r="167" ht="8.25">
      <c r="J167" s="59"/>
    </row>
    <row r="168" ht="8.25">
      <c r="J168" s="59"/>
    </row>
    <row r="169" ht="8.25">
      <c r="J169" s="59"/>
    </row>
    <row r="170" ht="8.25">
      <c r="J170" s="59"/>
    </row>
    <row r="171" ht="8.25">
      <c r="J171" s="59"/>
    </row>
    <row r="172" ht="8.25">
      <c r="J172" s="59"/>
    </row>
    <row r="173" ht="8.25">
      <c r="J173" s="59"/>
    </row>
    <row r="174" ht="8.25">
      <c r="J174" s="59"/>
    </row>
    <row r="175" ht="8.25">
      <c r="J175" s="59"/>
    </row>
    <row r="176" ht="8.25">
      <c r="J176" s="59"/>
    </row>
    <row r="177" ht="8.25">
      <c r="J177" s="59"/>
    </row>
    <row r="178" ht="8.25">
      <c r="J178" s="59"/>
    </row>
    <row r="179" ht="8.25">
      <c r="J179" s="59"/>
    </row>
    <row r="180" ht="8.25">
      <c r="J180" s="59"/>
    </row>
    <row r="181" ht="8.25">
      <c r="J181" s="59"/>
    </row>
    <row r="182" ht="8.25">
      <c r="J182" s="59"/>
    </row>
    <row r="183" ht="8.25">
      <c r="J183" s="59"/>
    </row>
    <row r="184" ht="8.25">
      <c r="J184" s="59"/>
    </row>
    <row r="185" ht="8.25">
      <c r="J185" s="59"/>
    </row>
    <row r="186" ht="8.25">
      <c r="J186" s="59"/>
    </row>
    <row r="187" ht="8.25">
      <c r="J187" s="59"/>
    </row>
    <row r="188" ht="8.25">
      <c r="J188" s="59"/>
    </row>
    <row r="189" ht="8.25">
      <c r="J189" s="59"/>
    </row>
    <row r="190" ht="8.25">
      <c r="J190" s="59"/>
    </row>
    <row r="191" ht="8.25">
      <c r="J191" s="59"/>
    </row>
    <row r="192" ht="8.25">
      <c r="J192" s="59"/>
    </row>
    <row r="193" ht="8.25">
      <c r="J193" s="59"/>
    </row>
    <row r="194" ht="8.25">
      <c r="J194" s="59"/>
    </row>
    <row r="195" ht="8.25">
      <c r="J195" s="59"/>
    </row>
    <row r="196" ht="8.25">
      <c r="J196" s="59"/>
    </row>
    <row r="197" ht="8.25">
      <c r="J197" s="59"/>
    </row>
    <row r="198" ht="8.25">
      <c r="J198" s="59"/>
    </row>
    <row r="199" ht="8.25">
      <c r="J199" s="59"/>
    </row>
    <row r="200" ht="8.25">
      <c r="J200" s="59"/>
    </row>
    <row r="201" ht="8.25">
      <c r="J201" s="59"/>
    </row>
    <row r="202" ht="8.25">
      <c r="J202" s="59"/>
    </row>
    <row r="203" ht="8.25">
      <c r="J203" s="59"/>
    </row>
    <row r="204" ht="8.25">
      <c r="J204" s="59"/>
    </row>
    <row r="205" ht="8.25">
      <c r="J205" s="59"/>
    </row>
    <row r="206" ht="8.25">
      <c r="J206" s="59"/>
    </row>
    <row r="207" ht="8.25">
      <c r="J207" s="59"/>
    </row>
    <row r="208" ht="8.25">
      <c r="J208" s="59"/>
    </row>
    <row r="209" ht="8.25">
      <c r="J209" s="59"/>
    </row>
    <row r="210" ht="8.25">
      <c r="J210" s="59"/>
    </row>
    <row r="211" ht="8.25">
      <c r="J211" s="59"/>
    </row>
    <row r="212" ht="8.25">
      <c r="J212" s="59"/>
    </row>
    <row r="213" ht="8.25">
      <c r="J213" s="59"/>
    </row>
    <row r="214" ht="8.25">
      <c r="J214" s="59"/>
    </row>
    <row r="215" ht="8.25">
      <c r="J215" s="59"/>
    </row>
    <row r="216" ht="8.25">
      <c r="J216" s="59"/>
    </row>
    <row r="217" ht="8.25">
      <c r="J217" s="59"/>
    </row>
    <row r="218" ht="8.25">
      <c r="J218" s="59"/>
    </row>
    <row r="219" ht="8.25">
      <c r="J219" s="59"/>
    </row>
    <row r="220" ht="8.25">
      <c r="J220" s="59"/>
    </row>
    <row r="221" ht="8.25">
      <c r="J221" s="59"/>
    </row>
    <row r="222" ht="8.25">
      <c r="J222" s="59"/>
    </row>
    <row r="223" ht="8.25">
      <c r="J223" s="59"/>
    </row>
    <row r="224" ht="8.25">
      <c r="J224" s="59"/>
    </row>
    <row r="225" ht="8.25">
      <c r="J225" s="59"/>
    </row>
    <row r="226" ht="8.25">
      <c r="J226" s="59"/>
    </row>
    <row r="227" ht="8.25">
      <c r="J227" s="59"/>
    </row>
    <row r="228" ht="8.25">
      <c r="J228" s="59"/>
    </row>
    <row r="229" ht="8.25">
      <c r="J229" s="59"/>
    </row>
    <row r="230" ht="8.25">
      <c r="J230" s="59"/>
    </row>
    <row r="231" ht="8.25">
      <c r="J231" s="59"/>
    </row>
    <row r="232" ht="8.25">
      <c r="J232" s="59"/>
    </row>
    <row r="233" ht="8.25">
      <c r="J233" s="59"/>
    </row>
    <row r="234" ht="8.25">
      <c r="J234" s="59"/>
    </row>
    <row r="235" ht="8.25">
      <c r="J235" s="59"/>
    </row>
    <row r="236" ht="8.25">
      <c r="J236" s="59"/>
    </row>
    <row r="237" ht="8.25">
      <c r="J237" s="59"/>
    </row>
    <row r="238" ht="8.25">
      <c r="J238" s="59"/>
    </row>
    <row r="239" ht="8.25">
      <c r="J239" s="59"/>
    </row>
    <row r="240" ht="8.25">
      <c r="J240" s="59"/>
    </row>
    <row r="241" ht="8.25">
      <c r="J241" s="59"/>
    </row>
    <row r="242" ht="8.25">
      <c r="J242" s="59"/>
    </row>
    <row r="243" ht="8.25">
      <c r="J243" s="59"/>
    </row>
    <row r="244" ht="8.25">
      <c r="J244" s="59"/>
    </row>
    <row r="245" ht="8.25">
      <c r="J245" s="59"/>
    </row>
    <row r="246" ht="8.25">
      <c r="J246" s="59"/>
    </row>
    <row r="247" ht="8.25">
      <c r="J247" s="59"/>
    </row>
    <row r="248" ht="8.25">
      <c r="J248" s="59"/>
    </row>
    <row r="249" ht="8.25">
      <c r="J249" s="59"/>
    </row>
    <row r="250" ht="8.25">
      <c r="J250" s="59"/>
    </row>
    <row r="251" ht="8.25">
      <c r="J251" s="59"/>
    </row>
    <row r="252" ht="8.25">
      <c r="J252" s="59"/>
    </row>
    <row r="253" ht="8.25">
      <c r="J253" s="59"/>
    </row>
    <row r="254" ht="8.25">
      <c r="J254" s="59"/>
    </row>
    <row r="255" ht="8.25">
      <c r="J255" s="59"/>
    </row>
    <row r="256" ht="8.25">
      <c r="J256" s="59"/>
    </row>
    <row r="257" ht="8.25">
      <c r="J257" s="59"/>
    </row>
    <row r="258" ht="8.25">
      <c r="J258" s="59"/>
    </row>
    <row r="259" ht="8.25">
      <c r="J259" s="59"/>
    </row>
    <row r="260" ht="8.25">
      <c r="J260" s="59"/>
    </row>
    <row r="261" ht="8.25">
      <c r="J261" s="59"/>
    </row>
    <row r="262" ht="8.25">
      <c r="J262" s="59"/>
    </row>
    <row r="263" ht="8.25">
      <c r="J263" s="59"/>
    </row>
    <row r="264" ht="8.25">
      <c r="J264" s="59"/>
    </row>
    <row r="265" ht="8.25">
      <c r="J265" s="59"/>
    </row>
    <row r="266" ht="8.25">
      <c r="J266" s="59"/>
    </row>
    <row r="267" ht="8.25">
      <c r="J267" s="59"/>
    </row>
    <row r="268" ht="8.25">
      <c r="J268" s="59"/>
    </row>
    <row r="269" ht="8.25">
      <c r="J269" s="59"/>
    </row>
    <row r="270" ht="8.25">
      <c r="J270" s="59"/>
    </row>
    <row r="271" ht="8.25">
      <c r="J271" s="59"/>
    </row>
    <row r="272" ht="8.25">
      <c r="J272" s="59"/>
    </row>
    <row r="273" ht="8.25">
      <c r="J273" s="59"/>
    </row>
    <row r="274" ht="8.25">
      <c r="J274" s="59"/>
    </row>
    <row r="275" ht="8.25">
      <c r="J275" s="59"/>
    </row>
    <row r="276" ht="8.25">
      <c r="J276" s="59"/>
    </row>
    <row r="277" ht="8.25">
      <c r="J277" s="59"/>
    </row>
    <row r="278" ht="8.25">
      <c r="J278" s="59"/>
    </row>
    <row r="279" ht="8.25">
      <c r="J279" s="59"/>
    </row>
    <row r="280" ht="8.25">
      <c r="J280" s="59"/>
    </row>
    <row r="281" ht="8.25">
      <c r="J281" s="59"/>
    </row>
    <row r="282" ht="8.25">
      <c r="J282" s="59"/>
    </row>
    <row r="283" ht="8.25">
      <c r="J283" s="59"/>
    </row>
    <row r="284" ht="8.25">
      <c r="J284" s="59"/>
    </row>
    <row r="285" ht="8.25">
      <c r="J285" s="59"/>
    </row>
    <row r="286" ht="8.25">
      <c r="J286" s="59"/>
    </row>
    <row r="287" ht="8.25">
      <c r="J287" s="59"/>
    </row>
    <row r="288" ht="8.25">
      <c r="J288" s="59"/>
    </row>
    <row r="289" ht="8.25">
      <c r="J289" s="59"/>
    </row>
    <row r="290" ht="8.25">
      <c r="J290" s="59"/>
    </row>
    <row r="291" ht="8.25">
      <c r="J291" s="59"/>
    </row>
    <row r="292" ht="8.25">
      <c r="J292" s="59"/>
    </row>
    <row r="293" ht="8.25">
      <c r="J293" s="59"/>
    </row>
    <row r="294" ht="8.25">
      <c r="J294" s="59"/>
    </row>
    <row r="295" ht="8.25">
      <c r="J295" s="59"/>
    </row>
    <row r="296" ht="8.25">
      <c r="J296" s="59"/>
    </row>
    <row r="297" ht="8.25">
      <c r="J297" s="59"/>
    </row>
    <row r="298" ht="8.25">
      <c r="J298" s="59"/>
    </row>
    <row r="299" ht="8.25">
      <c r="J299" s="59"/>
    </row>
    <row r="300" ht="8.25">
      <c r="J300" s="59"/>
    </row>
    <row r="301" ht="8.25">
      <c r="J301" s="59"/>
    </row>
    <row r="302" ht="8.25">
      <c r="J302" s="59"/>
    </row>
    <row r="303" ht="8.25">
      <c r="J303" s="59"/>
    </row>
    <row r="304" ht="8.25">
      <c r="J304" s="59"/>
    </row>
    <row r="305" ht="8.25">
      <c r="J305" s="59"/>
    </row>
    <row r="306" ht="8.25">
      <c r="J306" s="59"/>
    </row>
    <row r="307" ht="8.25">
      <c r="J307" s="59"/>
    </row>
    <row r="308" ht="8.25">
      <c r="J308" s="59"/>
    </row>
    <row r="309" ht="8.25">
      <c r="J309" s="59"/>
    </row>
    <row r="310" ht="8.25">
      <c r="J310" s="59"/>
    </row>
    <row r="311" ht="8.25">
      <c r="J311" s="59"/>
    </row>
    <row r="312" ht="8.25">
      <c r="J312" s="59"/>
    </row>
    <row r="313" ht="8.25">
      <c r="J313" s="59"/>
    </row>
    <row r="314" ht="8.25">
      <c r="J314" s="59"/>
    </row>
    <row r="315" ht="8.25">
      <c r="J315" s="59"/>
    </row>
    <row r="316" ht="8.25">
      <c r="J316" s="59"/>
    </row>
    <row r="317" ht="8.25">
      <c r="J317" s="59"/>
    </row>
    <row r="318" ht="8.25">
      <c r="J318" s="59"/>
    </row>
    <row r="319" ht="8.25">
      <c r="J319" s="59"/>
    </row>
    <row r="320" ht="8.25">
      <c r="J320" s="59"/>
    </row>
    <row r="321" ht="8.25">
      <c r="J321" s="59"/>
    </row>
    <row r="322" ht="8.25">
      <c r="J322" s="59"/>
    </row>
    <row r="323" ht="8.25">
      <c r="J323" s="59"/>
    </row>
    <row r="324" ht="8.25">
      <c r="J324" s="59"/>
    </row>
    <row r="325" ht="8.25">
      <c r="J325" s="59"/>
    </row>
    <row r="326" ht="8.25">
      <c r="J326" s="59"/>
    </row>
    <row r="327" ht="8.25">
      <c r="J327" s="59"/>
    </row>
    <row r="328" ht="8.25">
      <c r="J328" s="59"/>
    </row>
    <row r="329" ht="8.25">
      <c r="J329" s="59"/>
    </row>
    <row r="330" ht="8.25">
      <c r="J330" s="59"/>
    </row>
    <row r="331" ht="8.25">
      <c r="J331" s="59"/>
    </row>
    <row r="332" ht="8.25">
      <c r="J332" s="59"/>
    </row>
    <row r="333" ht="8.25">
      <c r="J333" s="59"/>
    </row>
    <row r="334" ht="8.25">
      <c r="J334" s="59"/>
    </row>
    <row r="335" ht="8.25">
      <c r="J335" s="59"/>
    </row>
    <row r="336" ht="8.25">
      <c r="J336" s="59"/>
    </row>
    <row r="337" ht="8.25">
      <c r="J337" s="59"/>
    </row>
    <row r="338" ht="8.25">
      <c r="J338" s="59"/>
    </row>
    <row r="339" ht="8.25">
      <c r="J339" s="59"/>
    </row>
    <row r="340" ht="8.25">
      <c r="J340" s="59"/>
    </row>
    <row r="341" ht="8.25">
      <c r="J341" s="59"/>
    </row>
    <row r="342" ht="8.25">
      <c r="J342" s="59"/>
    </row>
    <row r="343" ht="8.25">
      <c r="J343" s="59"/>
    </row>
    <row r="344" ht="8.25">
      <c r="J344" s="59"/>
    </row>
    <row r="345" ht="8.25">
      <c r="J345" s="59"/>
    </row>
    <row r="346" ht="8.25">
      <c r="J346" s="59"/>
    </row>
    <row r="347" ht="8.25">
      <c r="J347" s="59"/>
    </row>
    <row r="348" ht="8.25">
      <c r="J348" s="59"/>
    </row>
    <row r="349" ht="8.25">
      <c r="J349" s="59"/>
    </row>
    <row r="350" ht="8.25">
      <c r="J350" s="59"/>
    </row>
    <row r="351" ht="8.25">
      <c r="J351" s="59"/>
    </row>
    <row r="352" ht="8.25">
      <c r="J352" s="59"/>
    </row>
    <row r="353" ht="8.25">
      <c r="J353" s="59"/>
    </row>
    <row r="354" ht="8.25">
      <c r="J354" s="59"/>
    </row>
    <row r="355" ht="8.25">
      <c r="J355" s="59"/>
    </row>
    <row r="356" ht="8.25">
      <c r="J356" s="59"/>
    </row>
    <row r="357" ht="8.25">
      <c r="J357" s="59"/>
    </row>
    <row r="358" ht="8.25">
      <c r="J358" s="59"/>
    </row>
    <row r="359" ht="8.25">
      <c r="J359" s="59"/>
    </row>
    <row r="360" ht="8.25">
      <c r="J360" s="59"/>
    </row>
    <row r="361" ht="8.25">
      <c r="J361" s="59"/>
    </row>
    <row r="362" ht="8.25">
      <c r="J362" s="59"/>
    </row>
    <row r="363" ht="8.25">
      <c r="J363" s="59"/>
    </row>
    <row r="364" ht="8.25">
      <c r="J364" s="59"/>
    </row>
    <row r="365" ht="8.25">
      <c r="J365" s="59"/>
    </row>
    <row r="366" ht="8.25">
      <c r="J366" s="59"/>
    </row>
    <row r="367" ht="8.25">
      <c r="J367" s="59"/>
    </row>
    <row r="368" ht="8.25">
      <c r="J368" s="59"/>
    </row>
    <row r="369" ht="8.25">
      <c r="J369" s="59"/>
    </row>
    <row r="370" ht="8.25">
      <c r="J370" s="59"/>
    </row>
    <row r="371" ht="8.25">
      <c r="J371" s="59"/>
    </row>
    <row r="372" ht="8.25">
      <c r="J372" s="59"/>
    </row>
    <row r="373" ht="8.25">
      <c r="J373" s="59"/>
    </row>
    <row r="374" ht="8.25">
      <c r="J374" s="59"/>
    </row>
    <row r="375" ht="8.25">
      <c r="J375" s="59"/>
    </row>
    <row r="376" ht="8.25">
      <c r="J376" s="59"/>
    </row>
    <row r="377" ht="8.25">
      <c r="J377" s="59"/>
    </row>
    <row r="378" ht="8.25">
      <c r="J378" s="59"/>
    </row>
    <row r="379" ht="8.25">
      <c r="J379" s="59"/>
    </row>
    <row r="380" ht="8.25">
      <c r="J380" s="59"/>
    </row>
    <row r="381" ht="8.25">
      <c r="J381" s="59"/>
    </row>
    <row r="382" ht="8.25">
      <c r="J382" s="59"/>
    </row>
    <row r="383" ht="8.25">
      <c r="J383" s="59"/>
    </row>
    <row r="384" ht="8.25">
      <c r="J384" s="59"/>
    </row>
    <row r="385" ht="8.25">
      <c r="J385" s="59"/>
    </row>
    <row r="386" ht="8.25">
      <c r="J386" s="59"/>
    </row>
    <row r="387" ht="8.25">
      <c r="J387" s="59"/>
    </row>
    <row r="388" ht="8.25">
      <c r="J388" s="59"/>
    </row>
    <row r="389" ht="8.25">
      <c r="J389" s="59"/>
    </row>
    <row r="390" ht="8.25">
      <c r="J390" s="59"/>
    </row>
    <row r="391" ht="8.25">
      <c r="J391" s="59"/>
    </row>
    <row r="392" ht="8.25">
      <c r="J392" s="59"/>
    </row>
    <row r="393" ht="8.25">
      <c r="J393" s="59"/>
    </row>
    <row r="394" ht="8.25">
      <c r="J394" s="59"/>
    </row>
    <row r="395" ht="8.25">
      <c r="J395" s="59"/>
    </row>
    <row r="396" ht="8.25">
      <c r="J396" s="59"/>
    </row>
    <row r="397" ht="8.25">
      <c r="J397" s="59"/>
    </row>
    <row r="398" ht="8.25">
      <c r="J398" s="59"/>
    </row>
    <row r="399" ht="8.25">
      <c r="J399" s="59"/>
    </row>
    <row r="400" ht="8.25">
      <c r="J400" s="59"/>
    </row>
    <row r="401" ht="8.25">
      <c r="J401" s="59"/>
    </row>
    <row r="402" ht="8.25">
      <c r="J402" s="59"/>
    </row>
    <row r="403" ht="8.25">
      <c r="J403" s="59"/>
    </row>
  </sheetData>
  <sheetProtection/>
  <mergeCells count="10">
    <mergeCell ref="A4:A6"/>
    <mergeCell ref="A1:I2"/>
    <mergeCell ref="B5:B6"/>
    <mergeCell ref="B4:I4"/>
    <mergeCell ref="E5:E6"/>
    <mergeCell ref="F5:F6"/>
    <mergeCell ref="H5:H6"/>
    <mergeCell ref="C5:C6"/>
    <mergeCell ref="G5:G6"/>
    <mergeCell ref="I5:I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100" t="s">
        <v>13</v>
      </c>
      <c r="C3" s="100"/>
      <c r="D3" s="100"/>
      <c r="E3" s="100"/>
      <c r="F3" s="100"/>
      <c r="G3" s="100"/>
      <c r="H3" s="100"/>
      <c r="I3" s="100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99" t="s">
        <v>11</v>
      </c>
      <c r="C5" s="99"/>
      <c r="D5" s="99"/>
      <c r="E5" s="99"/>
      <c r="F5" s="99"/>
      <c r="G5" s="99"/>
      <c r="H5" s="99"/>
      <c r="I5" s="99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99" t="s">
        <v>15</v>
      </c>
      <c r="C6" s="99"/>
      <c r="D6" s="99"/>
      <c r="E6" s="99"/>
      <c r="F6" s="99"/>
      <c r="G6" s="99"/>
      <c r="H6" s="99"/>
      <c r="I6" s="99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100" t="s">
        <v>29</v>
      </c>
      <c r="C8" s="100"/>
      <c r="D8" s="100"/>
      <c r="E8" s="100"/>
      <c r="F8" s="100"/>
      <c r="G8" s="100"/>
      <c r="H8" s="100"/>
      <c r="I8" s="100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100" t="s">
        <v>14</v>
      </c>
      <c r="C33" s="100"/>
      <c r="D33" s="100"/>
      <c r="E33" s="100"/>
      <c r="F33" s="100"/>
      <c r="G33" s="100"/>
      <c r="H33" s="100"/>
      <c r="I33" s="100"/>
    </row>
    <row r="34" spans="8:9" ht="16.5">
      <c r="H34" s="3"/>
      <c r="I34" s="5"/>
    </row>
    <row r="35" spans="2:9" ht="20.25">
      <c r="B35" s="99" t="s">
        <v>11</v>
      </c>
      <c r="C35" s="99"/>
      <c r="D35" s="99"/>
      <c r="E35" s="99"/>
      <c r="F35" s="99"/>
      <c r="G35" s="99"/>
      <c r="H35" s="99"/>
      <c r="I35" s="99"/>
    </row>
    <row r="36" spans="2:9" ht="20.25">
      <c r="B36" s="99" t="s">
        <v>16</v>
      </c>
      <c r="C36" s="99"/>
      <c r="D36" s="99"/>
      <c r="E36" s="99"/>
      <c r="F36" s="99"/>
      <c r="G36" s="99"/>
      <c r="H36" s="99"/>
      <c r="I36" s="99"/>
    </row>
    <row r="37" spans="5:8" ht="15">
      <c r="E37" s="6"/>
      <c r="H37" s="3"/>
    </row>
    <row r="38" spans="2:9" ht="17.25">
      <c r="B38" s="100" t="s">
        <v>30</v>
      </c>
      <c r="C38" s="100"/>
      <c r="D38" s="100"/>
      <c r="E38" s="100"/>
      <c r="F38" s="100"/>
      <c r="G38" s="100"/>
      <c r="H38" s="100"/>
      <c r="I38" s="100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8.77734375" style="0" customWidth="1"/>
    <col min="10" max="10" width="3.4453125" style="0" customWidth="1"/>
    <col min="11" max="11" width="10.3359375" style="0" bestFit="1" customWidth="1"/>
    <col min="12" max="247" width="8.7773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100" t="s">
        <v>23</v>
      </c>
      <c r="C2" s="100"/>
      <c r="D2" s="100"/>
      <c r="E2" s="100"/>
      <c r="F2" s="100"/>
      <c r="G2" s="100"/>
      <c r="H2" s="100"/>
      <c r="I2" s="100"/>
    </row>
    <row r="4" spans="2:9" ht="20.25">
      <c r="B4" s="99" t="s">
        <v>22</v>
      </c>
      <c r="C4" s="99"/>
      <c r="D4" s="99"/>
      <c r="E4" s="99"/>
      <c r="F4" s="99"/>
      <c r="G4" s="99"/>
      <c r="H4" s="99"/>
      <c r="I4" s="99"/>
    </row>
    <row r="6" spans="2:254" ht="17.25">
      <c r="B6" s="100">
        <v>2000</v>
      </c>
      <c r="C6" s="100"/>
      <c r="D6" s="100"/>
      <c r="E6" s="100"/>
      <c r="F6" s="100"/>
      <c r="G6" s="100"/>
      <c r="H6" s="100"/>
      <c r="I6" s="100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5.7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2009-08-06T14:57:13Z</cp:lastPrinted>
  <dcterms:created xsi:type="dcterms:W3CDTF">1998-02-13T16:54:25Z</dcterms:created>
  <dcterms:modified xsi:type="dcterms:W3CDTF">2021-09-17T17:23:45Z</dcterms:modified>
  <cp:category/>
  <cp:version/>
  <cp:contentType/>
  <cp:contentStatus/>
</cp:coreProperties>
</file>