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lvarella\Desktop\"/>
    </mc:Choice>
  </mc:AlternateContent>
  <xr:revisionPtr revIDLastSave="0" documentId="13_ncr:1_{E0235FDF-D696-431B-8A8E-2BBCA4AF1DE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19" sheetId="8" r:id="rId1"/>
  </sheets>
  <definedNames>
    <definedName name="_xlnm.Print_Area" localSheetId="0">'2019'!$A$1:$O$113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5" i="8" l="1"/>
  <c r="N40" i="8" l="1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49" i="8"/>
  <c r="N46" i="8"/>
  <c r="N44" i="8"/>
  <c r="N43" i="8"/>
  <c r="N18" i="8"/>
  <c r="N105" i="8" l="1"/>
  <c r="M105" i="8" l="1"/>
  <c r="I57" i="8" l="1"/>
  <c r="I22" i="8"/>
  <c r="J57" i="8"/>
  <c r="F57" i="8" l="1"/>
  <c r="G57" i="8"/>
  <c r="H57" i="8"/>
  <c r="K57" i="8"/>
  <c r="L57" i="8"/>
  <c r="E57" i="8"/>
  <c r="D57" i="8" l="1"/>
  <c r="C57" i="8"/>
  <c r="N21" i="8" l="1"/>
  <c r="N20" i="8"/>
  <c r="N19" i="8"/>
  <c r="N17" i="8"/>
  <c r="N16" i="8"/>
  <c r="N15" i="8"/>
  <c r="N14" i="8"/>
  <c r="N13" i="8"/>
  <c r="N12" i="8"/>
  <c r="N11" i="8"/>
  <c r="O50" i="8"/>
  <c r="O48" i="8"/>
  <c r="O47" i="8"/>
  <c r="N58" i="8"/>
  <c r="N56" i="8"/>
  <c r="N55" i="8"/>
  <c r="N54" i="8"/>
  <c r="N53" i="8"/>
  <c r="M58" i="8"/>
  <c r="M56" i="8"/>
  <c r="M55" i="8"/>
  <c r="M54" i="8"/>
  <c r="M53" i="8"/>
  <c r="M46" i="8"/>
  <c r="M49" i="8"/>
  <c r="O49" i="8" s="1"/>
  <c r="M44" i="8"/>
  <c r="M43" i="8"/>
  <c r="M42" i="8"/>
  <c r="M40" i="8"/>
  <c r="O40" i="8" s="1"/>
  <c r="M39" i="8"/>
  <c r="O39" i="8" s="1"/>
  <c r="M38" i="8"/>
  <c r="O38" i="8" s="1"/>
  <c r="M37" i="8"/>
  <c r="M36" i="8"/>
  <c r="O36" i="8" s="1"/>
  <c r="M35" i="8"/>
  <c r="M34" i="8"/>
  <c r="O34" i="8" s="1"/>
  <c r="M33" i="8"/>
  <c r="M32" i="8"/>
  <c r="M31" i="8"/>
  <c r="M30" i="8"/>
  <c r="M29" i="8"/>
  <c r="M28" i="8"/>
  <c r="M27" i="8"/>
  <c r="M26" i="8"/>
  <c r="M25" i="8"/>
  <c r="M24" i="8"/>
  <c r="M23" i="8"/>
  <c r="M15" i="8"/>
  <c r="M21" i="8"/>
  <c r="M20" i="8"/>
  <c r="M19" i="8"/>
  <c r="M18" i="8"/>
  <c r="M17" i="8"/>
  <c r="M16" i="8"/>
  <c r="M14" i="8"/>
  <c r="M13" i="8"/>
  <c r="M12" i="8"/>
  <c r="M11" i="8"/>
  <c r="O37" i="8" l="1"/>
  <c r="O46" i="8"/>
  <c r="M57" i="8"/>
  <c r="O35" i="8"/>
  <c r="N57" i="8"/>
  <c r="M93" i="8"/>
  <c r="J89" i="8" l="1"/>
  <c r="M89" i="8"/>
  <c r="N89" i="8"/>
  <c r="L105" i="8" l="1"/>
  <c r="M71" i="8" l="1"/>
  <c r="C89" i="8" l="1"/>
  <c r="O88" i="8"/>
  <c r="O87" i="8"/>
  <c r="J105" i="8" l="1"/>
  <c r="I105" i="8" l="1"/>
  <c r="L89" i="8" l="1"/>
  <c r="K89" i="8" l="1"/>
  <c r="H89" i="8" l="1"/>
  <c r="E89" i="8"/>
  <c r="F89" i="8"/>
  <c r="G89" i="8"/>
  <c r="I89" i="8"/>
  <c r="D89" i="8"/>
  <c r="H105" i="8" l="1"/>
  <c r="I71" i="8" l="1"/>
  <c r="H71" i="8" l="1"/>
  <c r="G71" i="8"/>
  <c r="F71" i="8"/>
  <c r="E71" i="8"/>
  <c r="D71" i="8"/>
  <c r="O12" i="8" l="1"/>
  <c r="O13" i="8"/>
  <c r="O14" i="8"/>
  <c r="O15" i="8"/>
  <c r="O16" i="8"/>
  <c r="O17" i="8"/>
  <c r="O18" i="8"/>
  <c r="O19" i="8"/>
  <c r="O20" i="8"/>
  <c r="O21" i="8"/>
  <c r="O11" i="8"/>
  <c r="G51" i="8"/>
  <c r="E93" i="8" l="1"/>
  <c r="N22" i="8" l="1"/>
  <c r="N41" i="8"/>
  <c r="N51" i="8"/>
  <c r="N52" i="8" l="1"/>
  <c r="N59" i="8" s="1"/>
  <c r="O98" i="8"/>
  <c r="O99" i="8"/>
  <c r="O100" i="8"/>
  <c r="O101" i="8"/>
  <c r="O102" i="8"/>
  <c r="O103" i="8"/>
  <c r="O104" i="8"/>
  <c r="O97" i="8"/>
  <c r="O93" i="8"/>
  <c r="O92" i="8"/>
  <c r="O56" i="8"/>
  <c r="O58" i="8"/>
  <c r="O54" i="8"/>
  <c r="O55" i="8"/>
  <c r="O53" i="8"/>
  <c r="O63" i="8"/>
  <c r="O64" i="8"/>
  <c r="O65" i="8"/>
  <c r="O66" i="8"/>
  <c r="O67" i="8"/>
  <c r="O68" i="8"/>
  <c r="O69" i="8"/>
  <c r="O70" i="8"/>
  <c r="O62" i="8"/>
  <c r="O72" i="8"/>
  <c r="O86" i="8"/>
  <c r="O85" i="8"/>
  <c r="O84" i="8"/>
  <c r="O82" i="8"/>
  <c r="N71" i="8"/>
  <c r="O45" i="8" l="1"/>
  <c r="O44" i="8"/>
  <c r="O43" i="8"/>
  <c r="O42" i="8"/>
  <c r="L81" i="8" l="1"/>
  <c r="K81" i="8"/>
  <c r="L71" i="8"/>
  <c r="K71" i="8"/>
  <c r="K83" i="8" l="1"/>
  <c r="K90" i="8" s="1"/>
  <c r="L83" i="8"/>
  <c r="L90" i="8" s="1"/>
  <c r="M41" i="8"/>
  <c r="K105" i="8"/>
  <c r="M51" i="8"/>
  <c r="M22" i="8"/>
  <c r="L51" i="8"/>
  <c r="O24" i="8"/>
  <c r="O25" i="8"/>
  <c r="O26" i="8"/>
  <c r="O27" i="8"/>
  <c r="O28" i="8"/>
  <c r="O29" i="8"/>
  <c r="O30" i="8"/>
  <c r="O31" i="8"/>
  <c r="O32" i="8"/>
  <c r="O33" i="8"/>
  <c r="O23" i="8"/>
  <c r="L41" i="8"/>
  <c r="L22" i="8"/>
  <c r="K51" i="8"/>
  <c r="K41" i="8"/>
  <c r="K22" i="8"/>
  <c r="K52" i="8" l="1"/>
  <c r="L52" i="8"/>
  <c r="L59" i="8" s="1"/>
  <c r="M52" i="8"/>
  <c r="M59" i="8" s="1"/>
  <c r="K59" i="8" l="1"/>
  <c r="K94" i="8" s="1"/>
  <c r="L94" i="8"/>
  <c r="G105" i="8" l="1"/>
  <c r="F105" i="8"/>
  <c r="E105" i="8"/>
  <c r="J81" i="8"/>
  <c r="J71" i="8"/>
  <c r="I81" i="8"/>
  <c r="H81" i="8"/>
  <c r="H83" i="8" s="1"/>
  <c r="J51" i="8"/>
  <c r="J41" i="8"/>
  <c r="J22" i="8"/>
  <c r="I51" i="8"/>
  <c r="I41" i="8"/>
  <c r="H51" i="8"/>
  <c r="H41" i="8"/>
  <c r="H22" i="8"/>
  <c r="I52" i="8" l="1"/>
  <c r="I59" i="8" s="1"/>
  <c r="H52" i="8"/>
  <c r="H59" i="8" s="1"/>
  <c r="J83" i="8"/>
  <c r="J90" i="8" s="1"/>
  <c r="H90" i="8"/>
  <c r="J52" i="8"/>
  <c r="J59" i="8" s="1"/>
  <c r="I83" i="8"/>
  <c r="I90" i="8" l="1"/>
  <c r="J94" i="8"/>
  <c r="H94" i="8"/>
  <c r="G81" i="8"/>
  <c r="I94" i="8" l="1"/>
  <c r="D105" i="8"/>
  <c r="F81" i="8" l="1"/>
  <c r="E81" i="8"/>
  <c r="D81" i="8"/>
  <c r="G83" i="8"/>
  <c r="G90" i="8" s="1"/>
  <c r="F83" i="8" l="1"/>
  <c r="F90" i="8" s="1"/>
  <c r="E83" i="8"/>
  <c r="E90" i="8" s="1"/>
  <c r="D83" i="8"/>
  <c r="D90" i="8" l="1"/>
  <c r="G41" i="8"/>
  <c r="G22" i="8"/>
  <c r="G52" i="8" l="1"/>
  <c r="G59" i="8" s="1"/>
  <c r="O112" i="8"/>
  <c r="O108" i="8"/>
  <c r="O109" i="8"/>
  <c r="O110" i="8"/>
  <c r="O111" i="8"/>
  <c r="O113" i="8"/>
  <c r="O107" i="8"/>
  <c r="G94" i="8" l="1"/>
  <c r="D51" i="8"/>
  <c r="E51" i="8"/>
  <c r="C51" i="8"/>
  <c r="D41" i="8"/>
  <c r="E41" i="8"/>
  <c r="F41" i="8"/>
  <c r="C41" i="8"/>
  <c r="D22" i="8"/>
  <c r="E22" i="8"/>
  <c r="F22" i="8"/>
  <c r="E52" i="8" l="1"/>
  <c r="E59" i="8" s="1"/>
  <c r="E94" i="8" s="1"/>
  <c r="O41" i="8"/>
  <c r="D52" i="8"/>
  <c r="F51" i="8"/>
  <c r="F52" i="8" s="1"/>
  <c r="F59" i="8" l="1"/>
  <c r="F94" i="8" s="1"/>
  <c r="O51" i="8"/>
  <c r="D59" i="8"/>
  <c r="D94" i="8" s="1"/>
  <c r="O89" i="8" l="1"/>
  <c r="C81" i="8"/>
  <c r="C71" i="8"/>
  <c r="O71" i="8" s="1"/>
  <c r="O57" i="8"/>
  <c r="C22" i="8"/>
  <c r="O22" i="8" s="1"/>
  <c r="O52" i="8" s="1"/>
  <c r="C52" i="8" l="1"/>
  <c r="C59" i="8" s="1"/>
  <c r="C83" i="8"/>
  <c r="C105" i="8"/>
  <c r="O105" i="8" s="1"/>
  <c r="C90" i="8" l="1"/>
  <c r="O59" i="8" l="1"/>
  <c r="C94" i="8"/>
  <c r="O74" i="8" l="1"/>
  <c r="O75" i="8" l="1"/>
  <c r="O79" i="8"/>
  <c r="O78" i="8"/>
  <c r="O76" i="8"/>
  <c r="O80" i="8" l="1"/>
  <c r="O77" i="8"/>
  <c r="M81" i="8" l="1"/>
  <c r="M83" i="8" s="1"/>
  <c r="M90" i="8" l="1"/>
  <c r="M94" i="8" s="1"/>
  <c r="O73" i="8"/>
  <c r="N81" i="8"/>
  <c r="N83" i="8" s="1"/>
  <c r="N90" i="8" s="1"/>
  <c r="O83" i="8" l="1"/>
  <c r="O90" i="8" s="1"/>
  <c r="O81" i="8"/>
  <c r="N94" i="8" l="1"/>
  <c r="O94" i="8" s="1"/>
</calcChain>
</file>

<file path=xl/sharedStrings.xml><?xml version="1.0" encoding="utf-8"?>
<sst xmlns="http://schemas.openxmlformats.org/spreadsheetml/2006/main" count="122" uniqueCount="67">
  <si>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</si>
  <si>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</si>
  <si>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</si>
  <si>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</si>
  <si>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</si>
  <si>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</si>
  <si>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</si>
  <si>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</si>
  <si>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</si>
  <si>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</si>
  <si>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</si>
  <si>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</si>
  <si>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</si>
  <si>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</si>
  <si>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</si>
  <si>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</si>
  <si>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</si>
  <si>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</si>
  <si>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</si>
  <si>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</si>
  <si>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</si>
  <si>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</si>
  <si>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de Depósitos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</si>
  <si>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</si>
  <si>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</si>
  <si>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</si>
  <si>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</si>
  <si>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</si>
  <si>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Ministério de Minas e Energia</t>
  </si>
  <si>
    <t>Ministério do Meio Ambiente</t>
  </si>
  <si>
    <t>Total do Pagamento aos Proprietários de Terra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</si>
  <si>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</si>
  <si>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</si>
  <si>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</si>
  <si>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</si>
  <si>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</si>
  <si>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</si>
  <si>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</si>
  <si>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</si>
  <si>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</si>
  <si>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</si>
  <si>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</si>
  <si>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</si>
  <si>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Depósitos Judiciais</t>
  </si>
  <si>
    <t>R$/1.000m3</t>
  </si>
  <si>
    <t>Fundo Social</t>
  </si>
  <si>
    <t>MA</t>
  </si>
  <si>
    <t>Educação e Saúde</t>
  </si>
  <si>
    <t>Variáveis Mensais (mês de caixa)</t>
  </si>
  <si>
    <t>SUPERINTENDÊNCIA DE PARTICIPAÇÕES GOVERNAMENTAIS</t>
  </si>
  <si>
    <t>PARTICIPAÇÃO ESPECIAL</t>
  </si>
  <si>
    <t xml:space="preserve">Total União </t>
  </si>
  <si>
    <t>Total Brasil - Participações Especiais</t>
  </si>
  <si>
    <t>Total Estados + Municípios</t>
  </si>
  <si>
    <t>TOTAL DAS PARTICIPAÇÕES GOVERNAMENTAIS</t>
  </si>
  <si>
    <t>TAXA DE OCUPAÇÃO OU RETENÇÃO DE ÁREA</t>
  </si>
  <si>
    <t>PAGAMENTO AOS PROPRIETÁRIOS DE TERRA</t>
  </si>
  <si>
    <t>BÔNUS DE ASSINATURA</t>
  </si>
  <si>
    <t xml:space="preserve">  Mês de Crédito</t>
  </si>
  <si>
    <t>Total - 2019</t>
  </si>
  <si>
    <t>Royalties Total</t>
  </si>
  <si>
    <t>-</t>
  </si>
  <si>
    <t>Educação</t>
  </si>
  <si>
    <t>Saúde</t>
  </si>
  <si>
    <t>Nota: As informações relacionadas ao PAGAMENTO AOS PROPRIETÁRIOS DE TERRA terão defasagem de dois meses nesta Tabela Consolidada</t>
  </si>
  <si>
    <t xml:space="preserve">     (em R$ 1000)</t>
  </si>
  <si>
    <t xml:space="preserve">      Consolidação das Participações Governamentais e de Terceiros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</si>
</sst>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name val="Arial"/>
    </font>
    <font>
      <b/>
      <sz val="11"/>
      <name val="Arial"/>
      <family val="2"/>
    </font>
    <font>
      <b/>
      <sz val="14"/>
      <name val="Calibri"/>
      <family val="2"/>
      <scheme val="minor"/>
    </font>
    <font>
      <b/>
      <i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46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8" fontId="4" fillId="3" borderId="10" xfId="1" applyNumberFormat="1" applyFont="1" applyFill="1" applyBorder="1" applyAlignment="1">
      <alignment horizontal="right" vertical="center"/>
    </xf>
    <xf numFmtId="168" fontId="4" fillId="3" borderId="11" xfId="1" applyNumberFormat="1" applyFont="1" applyFill="1" applyBorder="1" applyAlignment="1">
      <alignment horizontal="right" vertical="center"/>
    </xf>
    <xf numFmtId="164" fontId="4" fillId="3" borderId="11" xfId="1" applyFont="1" applyFill="1" applyBorder="1" applyAlignment="1">
      <alignment horizontal="right" vertical="center"/>
    </xf>
    <xf numFmtId="168" fontId="4" fillId="3" borderId="12" xfId="1" applyNumberFormat="1" applyFont="1" applyFill="1" applyBorder="1" applyAlignment="1">
      <alignment horizontal="right" vertical="center"/>
    </xf>
    <xf numFmtId="164" fontId="4" fillId="3" borderId="0" xfId="0" applyNumberFormat="1" applyFont="1" applyFill="1"/>
    <xf numFmtId="164" fontId="0" fillId="3" borderId="0" xfId="0" applyNumberFormat="1" applyFill="1"/>
    <xf numFmtId="43" fontId="4" fillId="3" borderId="0" xfId="0" applyNumberFormat="1" applyFont="1" applyFill="1"/>
    <xf numFmtId="169" fontId="4" fillId="3" borderId="0" xfId="0" applyNumberFormat="1" applyFont="1" applyFill="1"/>
    <xf numFmtId="165" fontId="5" fillId="2" borderId="1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9" fillId="3" borderId="0" xfId="5" applyFont="1" applyFill="1" applyBorder="1" applyAlignment="1">
      <alignment horizontal="left" indent="1"/>
    </xf>
    <xf numFmtId="4" fontId="3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3" fillId="3" borderId="0" xfId="0" applyFont="1" applyFill="1" applyAlignment="1"/>
    <xf numFmtId="0" fontId="0" fillId="4" borderId="0" xfId="0" applyFill="1"/>
    <xf numFmtId="168" fontId="4" fillId="3" borderId="22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3" fillId="3" borderId="0" xfId="0" applyFont="1" applyFill="1" applyAlignment="1"/>
    <xf numFmtId="164" fontId="4" fillId="0" borderId="0" xfId="0" applyNumberFormat="1" applyFont="1" applyBorder="1"/>
    <xf numFmtId="0" fontId="3" fillId="3" borderId="0" xfId="0" applyFont="1" applyFill="1" applyAlignment="1"/>
    <xf numFmtId="164" fontId="4" fillId="3" borderId="0" xfId="0" applyNumberFormat="1" applyFont="1" applyFill="1" applyBorder="1"/>
    <xf numFmtId="165" fontId="5" fillId="2" borderId="18" xfId="0" applyNumberFormat="1" applyFont="1" applyFill="1" applyBorder="1" applyAlignment="1">
      <alignment horizontal="center" vertical="center"/>
    </xf>
    <xf numFmtId="168" fontId="4" fillId="3" borderId="8" xfId="1" applyNumberFormat="1" applyFont="1" applyFill="1" applyBorder="1" applyAlignment="1">
      <alignment horizontal="right" vertical="center"/>
    </xf>
    <xf numFmtId="164" fontId="4" fillId="3" borderId="8" xfId="1" applyFont="1" applyFill="1" applyBorder="1" applyAlignment="1">
      <alignment horizontal="right" vertical="center"/>
    </xf>
    <xf numFmtId="165" fontId="5" fillId="2" borderId="25" xfId="0" applyNumberFormat="1" applyFont="1" applyFill="1" applyBorder="1" applyAlignment="1">
      <alignment horizontal="center" vertical="center"/>
    </xf>
    <xf numFmtId="164" fontId="4" fillId="4" borderId="11" xfId="1" applyNumberFormat="1" applyFont="1" applyFill="1" applyBorder="1" applyAlignment="1">
      <alignment horizontal="center"/>
    </xf>
    <xf numFmtId="164" fontId="4" fillId="4" borderId="11" xfId="0" applyNumberFormat="1" applyFont="1" applyFill="1" applyBorder="1"/>
    <xf numFmtId="164" fontId="4" fillId="4" borderId="4" xfId="0" applyNumberFormat="1" applyFont="1" applyFill="1" applyBorder="1"/>
    <xf numFmtId="164" fontId="4" fillId="4" borderId="11" xfId="0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/>
    <xf numFmtId="164" fontId="4" fillId="4" borderId="10" xfId="0" applyNumberFormat="1" applyFont="1" applyFill="1" applyBorder="1"/>
    <xf numFmtId="164" fontId="4" fillId="4" borderId="19" xfId="0" applyNumberFormat="1" applyFont="1" applyFill="1" applyBorder="1"/>
    <xf numFmtId="164" fontId="4" fillId="4" borderId="20" xfId="0" applyNumberFormat="1" applyFont="1" applyFill="1" applyBorder="1"/>
    <xf numFmtId="164" fontId="4" fillId="4" borderId="8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8" xfId="1" applyNumberFormat="1" applyFont="1" applyFill="1" applyBorder="1" applyAlignment="1">
      <alignment horizontal="center" vertical="center"/>
    </xf>
    <xf numFmtId="164" fontId="4" fillId="4" borderId="11" xfId="1" applyNumberFormat="1" applyFont="1" applyFill="1" applyBorder="1" applyAlignment="1">
      <alignment horizontal="center" vertical="center"/>
    </xf>
    <xf numFmtId="168" fontId="4" fillId="4" borderId="11" xfId="0" applyNumberFormat="1" applyFont="1" applyFill="1" applyBorder="1" applyAlignment="1">
      <alignment horizontal="center" vertical="center"/>
    </xf>
    <xf numFmtId="168" fontId="4" fillId="4" borderId="4" xfId="1" applyNumberFormat="1" applyFont="1" applyFill="1" applyBorder="1" applyAlignment="1">
      <alignment horizontal="right" vertical="center"/>
    </xf>
    <xf numFmtId="164" fontId="4" fillId="4" borderId="4" xfId="1" applyFont="1" applyFill="1" applyBorder="1" applyAlignment="1">
      <alignment horizontal="right" vertical="center"/>
    </xf>
    <xf numFmtId="168" fontId="4" fillId="4" borderId="9" xfId="1" applyNumberFormat="1" applyFont="1" applyFill="1" applyBorder="1" applyAlignment="1">
      <alignment horizontal="right" vertical="center"/>
    </xf>
    <xf numFmtId="168" fontId="4" fillId="4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/>
    <xf numFmtId="164" fontId="4" fillId="4" borderId="8" xfId="0" applyNumberFormat="1" applyFont="1" applyFill="1" applyBorder="1"/>
    <xf numFmtId="165" fontId="5" fillId="2" borderId="29" xfId="0" applyNumberFormat="1" applyFont="1" applyFill="1" applyBorder="1" applyAlignment="1">
      <alignment horizontal="center" vertical="center"/>
    </xf>
    <xf numFmtId="164" fontId="5" fillId="5" borderId="26" xfId="1" applyNumberFormat="1" applyFont="1" applyFill="1" applyBorder="1" applyAlignment="1">
      <alignment horizontal="center" vertical="center"/>
    </xf>
    <xf numFmtId="164" fontId="5" fillId="5" borderId="27" xfId="0" applyNumberFormat="1" applyFont="1" applyFill="1" applyBorder="1" applyAlignment="1">
      <alignment horizontal="center" vertical="center"/>
    </xf>
    <xf numFmtId="164" fontId="5" fillId="5" borderId="30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4" fillId="5" borderId="30" xfId="1" applyNumberFormat="1" applyFont="1" applyFill="1" applyBorder="1" applyAlignment="1">
      <alignment horizontal="center" vertical="center"/>
    </xf>
    <xf numFmtId="164" fontId="4" fillId="5" borderId="27" xfId="0" applyNumberFormat="1" applyFont="1" applyFill="1" applyBorder="1" applyAlignment="1">
      <alignment horizontal="center" vertical="center"/>
    </xf>
    <xf numFmtId="164" fontId="5" fillId="6" borderId="30" xfId="1" applyNumberFormat="1" applyFont="1" applyFill="1" applyBorder="1" applyAlignment="1">
      <alignment horizontal="center" vertical="center"/>
    </xf>
    <xf numFmtId="164" fontId="5" fillId="6" borderId="27" xfId="0" applyNumberFormat="1" applyFont="1" applyFill="1" applyBorder="1" applyAlignment="1">
      <alignment horizontal="center" vertical="center"/>
    </xf>
    <xf numFmtId="165" fontId="5" fillId="7" borderId="21" xfId="0" applyNumberFormat="1" applyFont="1" applyFill="1" applyBorder="1" applyAlignment="1">
      <alignment horizontal="center" vertical="center"/>
    </xf>
    <xf numFmtId="165" fontId="5" fillId="7" borderId="23" xfId="0" applyNumberFormat="1" applyFont="1" applyFill="1" applyBorder="1" applyAlignment="1">
      <alignment horizontal="center" vertical="center"/>
    </xf>
    <xf numFmtId="164" fontId="5" fillId="6" borderId="27" xfId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168" fontId="5" fillId="6" borderId="26" xfId="0" applyNumberFormat="1" applyFont="1" applyFill="1" applyBorder="1" applyAlignment="1">
      <alignment horizontal="center" vertical="center"/>
    </xf>
    <xf numFmtId="168" fontId="5" fillId="6" borderId="27" xfId="0" applyNumberFormat="1" applyFont="1" applyFill="1" applyBorder="1" applyAlignment="1">
      <alignment horizontal="center" vertical="center"/>
    </xf>
    <xf numFmtId="164" fontId="5" fillId="5" borderId="30" xfId="1" applyFont="1" applyFill="1" applyBorder="1" applyAlignment="1">
      <alignment horizontal="right" vertical="center"/>
    </xf>
    <xf numFmtId="164" fontId="5" fillId="5" borderId="27" xfId="1" applyFont="1" applyFill="1" applyBorder="1" applyAlignment="1">
      <alignment horizontal="right" vertical="center"/>
    </xf>
    <xf numFmtId="164" fontId="5" fillId="6" borderId="30" xfId="1" applyFont="1" applyFill="1" applyBorder="1" applyAlignment="1">
      <alignment horizontal="right" vertical="center"/>
    </xf>
    <xf numFmtId="164" fontId="5" fillId="6" borderId="27" xfId="1" applyFont="1" applyFill="1" applyBorder="1" applyAlignment="1">
      <alignment horizontal="right" vertical="center"/>
    </xf>
    <xf numFmtId="0" fontId="2" fillId="3" borderId="0" xfId="0" applyFont="1" applyFill="1"/>
    <xf numFmtId="0" fontId="5" fillId="4" borderId="13" xfId="0" applyFont="1" applyFill="1" applyBorder="1" applyAlignment="1">
      <alignment horizontal="center" vertical="center"/>
    </xf>
    <xf numFmtId="164" fontId="5" fillId="4" borderId="13" xfId="1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43" fontId="4" fillId="4" borderId="0" xfId="0" applyNumberFormat="1" applyFont="1" applyFill="1" applyBorder="1"/>
    <xf numFmtId="0" fontId="5" fillId="4" borderId="0" xfId="0" applyFont="1" applyFill="1" applyBorder="1" applyAlignment="1">
      <alignment horizontal="center" vertical="center"/>
    </xf>
    <xf numFmtId="167" fontId="5" fillId="4" borderId="0" xfId="1" applyNumberFormat="1" applyFont="1" applyFill="1" applyBorder="1" applyAlignment="1">
      <alignment horizontal="right" vertical="center"/>
    </xf>
    <xf numFmtId="0" fontId="4" fillId="4" borderId="0" xfId="0" applyFont="1" applyFill="1" applyBorder="1"/>
    <xf numFmtId="167" fontId="5" fillId="7" borderId="37" xfId="1" applyNumberFormat="1" applyFont="1" applyFill="1" applyBorder="1" applyAlignment="1">
      <alignment horizontal="right" vertical="center"/>
    </xf>
    <xf numFmtId="167" fontId="5" fillId="7" borderId="38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166" fontId="5" fillId="3" borderId="40" xfId="1" applyNumberFormat="1" applyFont="1" applyFill="1" applyBorder="1" applyAlignment="1">
      <alignment horizontal="center" vertical="center"/>
    </xf>
    <xf numFmtId="166" fontId="5" fillId="0" borderId="39" xfId="1" applyNumberFormat="1" applyFont="1" applyFill="1" applyBorder="1" applyAlignment="1">
      <alignment horizontal="center"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center"/>
    </xf>
    <xf numFmtId="0" fontId="10" fillId="4" borderId="0" xfId="0" applyFont="1" applyFill="1"/>
    <xf numFmtId="164" fontId="5" fillId="8" borderId="26" xfId="1" applyNumberFormat="1" applyFont="1" applyFill="1" applyBorder="1" applyAlignment="1">
      <alignment horizontal="center" vertical="center"/>
    </xf>
    <xf numFmtId="164" fontId="5" fillId="8" borderId="30" xfId="1" applyNumberFormat="1" applyFont="1" applyFill="1" applyBorder="1" applyAlignment="1">
      <alignment horizontal="center" vertical="center"/>
    </xf>
    <xf numFmtId="167" fontId="5" fillId="8" borderId="37" xfId="1" applyNumberFormat="1" applyFont="1" applyFill="1" applyBorder="1" applyAlignment="1">
      <alignment horizontal="right" vertical="center"/>
    </xf>
    <xf numFmtId="168" fontId="5" fillId="8" borderId="26" xfId="0" applyNumberFormat="1" applyFont="1" applyFill="1" applyBorder="1" applyAlignment="1">
      <alignment horizontal="center" vertical="center"/>
    </xf>
    <xf numFmtId="164" fontId="5" fillId="6" borderId="30" xfId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Border="1" applyAlignment="1">
      <alignment horizontal="left" vertical="center"/>
    </xf>
    <xf numFmtId="164" fontId="5" fillId="0" borderId="0" xfId="1" applyFont="1" applyFill="1" applyBorder="1" applyAlignment="1">
      <alignment horizontal="right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43" fontId="5" fillId="3" borderId="0" xfId="0" applyNumberFormat="1" applyFont="1" applyFill="1"/>
    <xf numFmtId="0" fontId="5" fillId="9" borderId="1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/>
    </xf>
    <xf numFmtId="43" fontId="0" fillId="3" borderId="0" xfId="0" applyNumberFormat="1" applyFill="1" applyBorder="1"/>
    <xf numFmtId="168" fontId="4" fillId="4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9" borderId="2" xfId="0" applyFont="1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164" fontId="4" fillId="9" borderId="21" xfId="0" applyNumberFormat="1" applyFont="1" applyFill="1" applyBorder="1" applyAlignment="1">
      <alignment horizontal="right" vertical="center"/>
    </xf>
    <xf numFmtId="164" fontId="4" fillId="9" borderId="23" xfId="0" applyNumberFormat="1" applyFont="1" applyFill="1" applyBorder="1" applyAlignment="1">
      <alignment horizontal="right" vertical="center"/>
    </xf>
    <xf numFmtId="166" fontId="4" fillId="9" borderId="10" xfId="0" applyNumberFormat="1" applyFont="1" applyFill="1" applyBorder="1" applyAlignment="1">
      <alignment horizontal="left" vertical="center"/>
    </xf>
    <xf numFmtId="166" fontId="4" fillId="9" borderId="28" xfId="0" applyNumberFormat="1" applyFont="1" applyFill="1" applyBorder="1" applyAlignment="1">
      <alignment horizontal="left" vertical="center"/>
    </xf>
    <xf numFmtId="166" fontId="4" fillId="9" borderId="24" xfId="0" applyNumberFormat="1" applyFont="1" applyFill="1" applyBorder="1" applyAlignment="1">
      <alignment horizontal="left" vertical="center"/>
    </xf>
    <xf numFmtId="166" fontId="5" fillId="9" borderId="21" xfId="0" applyNumberFormat="1" applyFont="1" applyFill="1" applyBorder="1" applyAlignment="1">
      <alignment horizontal="left" vertical="center"/>
    </xf>
    <xf numFmtId="166" fontId="5" fillId="9" borderId="23" xfId="0" applyNumberFormat="1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5" fillId="6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7" borderId="35" xfId="0" applyFont="1" applyFill="1" applyBorder="1" applyAlignment="1">
      <alignment horizontal="left" vertical="center"/>
    </xf>
    <xf numFmtId="0" fontId="5" fillId="7" borderId="3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3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/>
    </xf>
    <xf numFmtId="0" fontId="5" fillId="9" borderId="3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top"/>
    </xf>
    <xf numFmtId="0" fontId="5" fillId="7" borderId="14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</cellXfs>
  <cellStyles count="11">
    <cellStyle name="Normal" xfId="0" builtinId="0"/>
    <cellStyle name="Normal 2" xfId="3" xr:uid="{00000000-0005-0000-0000-000001000000}"/>
    <cellStyle name="Normal 2 2" xfId="4" xr:uid="{00000000-0005-0000-0000-000002000000}"/>
    <cellStyle name="Normal 3" xfId="6" xr:uid="{00000000-0005-0000-0000-000033000000}"/>
    <cellStyle name="Normal 4" xfId="7" xr:uid="{00000000-0005-0000-0000-000034000000}"/>
    <cellStyle name="Normal_Plan3" xfId="5" xr:uid="{00000000-0005-0000-0000-000003000000}"/>
    <cellStyle name="Separador de milhares 2" xfId="2" xr:uid="{00000000-0005-0000-0000-000004000000}"/>
    <cellStyle name="Separador de milhares 2 2" xfId="8" xr:uid="{00000000-0005-0000-0000-000036000000}"/>
    <cellStyle name="Separador de milhares 3" xfId="9" xr:uid="{00000000-0005-0000-0000-000037000000}"/>
    <cellStyle name="Vírgula" xfId="1" builtinId="3"/>
    <cellStyle name="Vírgula 2" xfId="10" xr:uid="{00000000-0005-0000-0000-00003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0</xdr:rowOff>
    </xdr:from>
    <xdr:to>
      <xdr:col>0</xdr:col>
      <xdr:colOff>1523999</xdr:colOff>
      <xdr:row>3</xdr:row>
      <xdr:rowOff>134216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0"/>
          <a:ext cx="13239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43"/>
  <sheetViews>
    <sheetView tabSelected="1" zoomScale="110" zoomScaleNormal="11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A2" sqref="A2:O2"/>
    </sheetView>
  </sheetViews>
  <sheetFormatPr defaultColWidth="9.140625" defaultRowHeight="12.75" x14ac:dyDescent="0.2"/>
  <cols>
    <col min="1" max="1" width="56.28515625" style="1" customWidth="1"/>
    <col min="2" max="2" width="11.85546875" style="1" bestFit="1" customWidth="1"/>
    <col min="3" max="3" width="13.28515625" style="1" customWidth="1"/>
    <col min="4" max="4" width="14.5703125" style="1" bestFit="1" customWidth="1"/>
    <col min="5" max="5" width="13.28515625" style="1" customWidth="1"/>
    <col min="6" max="6" width="14.5703125" style="1" bestFit="1" customWidth="1"/>
    <col min="7" max="7" width="14.140625" style="1" customWidth="1"/>
    <col min="8" max="9" width="13.28515625" style="1" customWidth="1"/>
    <col min="10" max="10" width="14.5703125" style="1" bestFit="1" customWidth="1"/>
    <col min="11" max="12" width="13.28515625" style="1" customWidth="1"/>
    <col min="13" max="13" width="13.5703125" style="1" customWidth="1"/>
    <col min="14" max="14" width="13.28515625" style="1" customWidth="1"/>
    <col min="15" max="15" width="15.42578125" style="1" bestFit="1" customWidth="1"/>
    <col min="16" max="16" width="11.140625" style="1" bestFit="1" customWidth="1"/>
    <col min="17" max="16384" width="9.140625" style="1"/>
  </cols>
  <sheetData>
    <row r="2" spans="1:16" ht="18.75" x14ac:dyDescent="0.3">
      <c r="A2" s="142" t="s">
        <v>49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6" x14ac:dyDescent="0.2">
      <c r="C3" s="4"/>
      <c r="D3" s="4"/>
      <c r="E3" s="4"/>
      <c r="F3" s="4"/>
      <c r="G3" s="4"/>
      <c r="H3" s="4"/>
      <c r="I3" s="4"/>
      <c r="J3" s="106"/>
      <c r="K3" s="4"/>
      <c r="L3" s="4"/>
      <c r="M3" s="4"/>
      <c r="N3" s="4"/>
    </row>
    <row r="4" spans="1:16" ht="22.5" customHeight="1" x14ac:dyDescent="0.2"/>
    <row r="5" spans="1:16" ht="15" x14ac:dyDescent="0.2">
      <c r="A5" s="143" t="s">
        <v>66</v>
      </c>
      <c r="B5" s="143"/>
      <c r="C5" s="143"/>
      <c r="D5" s="27"/>
      <c r="E5" s="24"/>
      <c r="F5" s="28"/>
      <c r="G5" s="30"/>
      <c r="H5" s="53"/>
      <c r="I5" s="53"/>
      <c r="J5" s="53"/>
      <c r="K5" s="86"/>
      <c r="L5" s="86"/>
      <c r="M5" s="86"/>
      <c r="N5" s="89"/>
    </row>
    <row r="6" spans="1:16" ht="15" x14ac:dyDescent="0.2">
      <c r="A6" s="122" t="s">
        <v>65</v>
      </c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x14ac:dyDescent="0.2">
      <c r="A7" s="109" t="s">
        <v>64</v>
      </c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ht="13.5" thickBot="1" x14ac:dyDescent="0.25">
      <c r="A8" s="90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6" s="3" customFormat="1" ht="11.25" x14ac:dyDescent="0.2">
      <c r="A9" s="144" t="s">
        <v>58</v>
      </c>
      <c r="B9" s="145"/>
      <c r="C9" s="65">
        <v>43466</v>
      </c>
      <c r="D9" s="65">
        <v>43497</v>
      </c>
      <c r="E9" s="65">
        <v>43525</v>
      </c>
      <c r="F9" s="65">
        <v>43556</v>
      </c>
      <c r="G9" s="65">
        <v>43586</v>
      </c>
      <c r="H9" s="65">
        <v>43617</v>
      </c>
      <c r="I9" s="65">
        <v>43647</v>
      </c>
      <c r="J9" s="65">
        <v>43678</v>
      </c>
      <c r="K9" s="65">
        <v>43709</v>
      </c>
      <c r="L9" s="65">
        <v>43739</v>
      </c>
      <c r="M9" s="65">
        <v>43770</v>
      </c>
      <c r="N9" s="65">
        <v>43800</v>
      </c>
      <c r="O9" s="66" t="s">
        <v>59</v>
      </c>
    </row>
    <row r="10" spans="1:16" s="3" customFormat="1" ht="11.25" x14ac:dyDescent="0.2">
      <c r="A10" s="107" t="s">
        <v>0</v>
      </c>
      <c r="B10" s="113"/>
      <c r="C10" s="117"/>
      <c r="D10" s="117"/>
      <c r="E10" s="117"/>
      <c r="F10" s="117"/>
      <c r="G10" s="117"/>
      <c r="H10" s="118"/>
      <c r="I10" s="118"/>
      <c r="J10" s="118"/>
      <c r="K10" s="118"/>
      <c r="L10" s="118"/>
      <c r="M10" s="118"/>
      <c r="N10" s="118"/>
      <c r="O10" s="119"/>
    </row>
    <row r="11" spans="1:16" s="3" customFormat="1" ht="11.25" x14ac:dyDescent="0.2">
      <c r="A11" s="127" t="s">
        <v>1</v>
      </c>
      <c r="B11" s="5" t="s">
        <v>2</v>
      </c>
      <c r="C11" s="36">
        <v>2314.3398299999999</v>
      </c>
      <c r="D11" s="36">
        <v>2257.4079699999998</v>
      </c>
      <c r="E11" s="37">
        <v>2016.9219000000001</v>
      </c>
      <c r="F11" s="37">
        <v>1702.5994699999999</v>
      </c>
      <c r="G11" s="37">
        <v>2014.5164300000001</v>
      </c>
      <c r="H11" s="54">
        <v>1842.0704699999997</v>
      </c>
      <c r="I11" s="54">
        <v>1814.6970799999999</v>
      </c>
      <c r="J11" s="54">
        <v>1517.5792099999999</v>
      </c>
      <c r="K11" s="54">
        <v>1559.7251999999999</v>
      </c>
      <c r="L11" s="54">
        <v>1662.7015899999999</v>
      </c>
      <c r="M11" s="54">
        <f>1880869.28/1000</f>
        <v>1880.8692800000001</v>
      </c>
      <c r="N11" s="54">
        <f>1768862.33/1000</f>
        <v>1768.8623300000002</v>
      </c>
      <c r="O11" s="38">
        <f>SUM(C11:N11)</f>
        <v>22352.290759999996</v>
      </c>
      <c r="P11" s="15"/>
    </row>
    <row r="12" spans="1:16" s="3" customFormat="1" ht="11.25" x14ac:dyDescent="0.2">
      <c r="A12" s="127"/>
      <c r="B12" s="5" t="s">
        <v>3</v>
      </c>
      <c r="C12" s="36">
        <v>18077.26886</v>
      </c>
      <c r="D12" s="36">
        <v>17544.37788</v>
      </c>
      <c r="E12" s="37">
        <v>16224.263279999999</v>
      </c>
      <c r="F12" s="37">
        <v>15279.27396</v>
      </c>
      <c r="G12" s="37">
        <v>18333.214059999998</v>
      </c>
      <c r="H12" s="54">
        <v>17826.593560000001</v>
      </c>
      <c r="I12" s="54">
        <v>18904.927810000001</v>
      </c>
      <c r="J12" s="54">
        <v>14908.72465</v>
      </c>
      <c r="K12" s="54">
        <v>15681.06667</v>
      </c>
      <c r="L12" s="54">
        <v>15229.940570000001</v>
      </c>
      <c r="M12" s="54">
        <f>15689115.5/1000</f>
        <v>15689.1155</v>
      </c>
      <c r="N12" s="54">
        <f>16015036.43/1000</f>
        <v>16015.03643</v>
      </c>
      <c r="O12" s="38">
        <f t="shared" ref="O12:O21" si="0">SUM(C12:N12)</f>
        <v>199713.80322999999</v>
      </c>
      <c r="P12" s="15"/>
    </row>
    <row r="13" spans="1:16" s="3" customFormat="1" ht="11.25" x14ac:dyDescent="0.2">
      <c r="A13" s="127"/>
      <c r="B13" s="5" t="s">
        <v>4</v>
      </c>
      <c r="C13" s="36">
        <v>16175.189890000001</v>
      </c>
      <c r="D13" s="36">
        <v>15123.824070000001</v>
      </c>
      <c r="E13" s="37">
        <v>13690.39572</v>
      </c>
      <c r="F13" s="37">
        <v>13756.267589999999</v>
      </c>
      <c r="G13" s="37">
        <v>15097.85605</v>
      </c>
      <c r="H13" s="54">
        <v>15041.511649999999</v>
      </c>
      <c r="I13" s="54">
        <v>16084.13169</v>
      </c>
      <c r="J13" s="54">
        <v>12736.056780000001</v>
      </c>
      <c r="K13" s="54">
        <v>13417.592290000001</v>
      </c>
      <c r="L13" s="54">
        <v>14281.423140000001</v>
      </c>
      <c r="M13" s="54">
        <f>15773827.01/1000</f>
        <v>15773.827009999999</v>
      </c>
      <c r="N13" s="54">
        <f>14739554.39/1000</f>
        <v>14739.554390000001</v>
      </c>
      <c r="O13" s="38">
        <f t="shared" si="0"/>
        <v>175917.63026999999</v>
      </c>
      <c r="P13" s="15"/>
    </row>
    <row r="14" spans="1:16" s="3" customFormat="1" ht="11.25" x14ac:dyDescent="0.2">
      <c r="A14" s="127"/>
      <c r="B14" s="5" t="s">
        <v>5</v>
      </c>
      <c r="C14" s="36">
        <v>1177.4634599999999</v>
      </c>
      <c r="D14" s="36">
        <v>1068.50766</v>
      </c>
      <c r="E14" s="37">
        <v>987.13823000000002</v>
      </c>
      <c r="F14" s="37">
        <v>915.63630000000001</v>
      </c>
      <c r="G14" s="37">
        <v>1074.63832</v>
      </c>
      <c r="H14" s="54">
        <v>1163.2065400000001</v>
      </c>
      <c r="I14" s="54">
        <v>1220.9743100000001</v>
      </c>
      <c r="J14" s="54">
        <v>1053.1783700000001</v>
      </c>
      <c r="K14" s="54">
        <v>1111.45803</v>
      </c>
      <c r="L14" s="54">
        <v>1033.56665</v>
      </c>
      <c r="M14" s="54">
        <f>1120152.62/1000</f>
        <v>1120.1526200000001</v>
      </c>
      <c r="N14" s="54">
        <f>926722.08/1000</f>
        <v>926.72208000000001</v>
      </c>
      <c r="O14" s="38">
        <f t="shared" si="0"/>
        <v>12852.64257</v>
      </c>
      <c r="P14" s="15"/>
    </row>
    <row r="15" spans="1:16" s="3" customFormat="1" ht="11.25" x14ac:dyDescent="0.2">
      <c r="A15" s="127"/>
      <c r="B15" s="5" t="s">
        <v>6</v>
      </c>
      <c r="C15" s="36">
        <v>65663.30528</v>
      </c>
      <c r="D15" s="36">
        <v>62564.244930000001</v>
      </c>
      <c r="E15" s="37">
        <v>62009.077829999995</v>
      </c>
      <c r="F15" s="37">
        <v>45811.001080000002</v>
      </c>
      <c r="G15" s="37">
        <v>62138.70261</v>
      </c>
      <c r="H15" s="54">
        <v>60633.37197</v>
      </c>
      <c r="I15" s="54">
        <v>62978.916319999997</v>
      </c>
      <c r="J15" s="54">
        <v>55646.411919999999</v>
      </c>
      <c r="K15" s="54">
        <v>50847.062640000004</v>
      </c>
      <c r="L15" s="54">
        <v>52258.152820000003</v>
      </c>
      <c r="M15" s="54">
        <f>59867556.57/1000</f>
        <v>59867.556570000001</v>
      </c>
      <c r="N15" s="54">
        <f>50748427.36/1000</f>
        <v>50748.427360000001</v>
      </c>
      <c r="O15" s="38">
        <f t="shared" si="0"/>
        <v>691166.23132999986</v>
      </c>
      <c r="P15" s="15"/>
    </row>
    <row r="16" spans="1:16" s="3" customFormat="1" ht="11.25" x14ac:dyDescent="0.2">
      <c r="A16" s="127"/>
      <c r="B16" s="5" t="s">
        <v>46</v>
      </c>
      <c r="C16" s="36">
        <v>2813.3264000000004</v>
      </c>
      <c r="D16" s="36">
        <v>58.25864</v>
      </c>
      <c r="E16" s="37">
        <v>1267.4092900000001</v>
      </c>
      <c r="F16" s="37">
        <v>92.715940000000003</v>
      </c>
      <c r="G16" s="37">
        <v>6.78552</v>
      </c>
      <c r="H16" s="54">
        <v>49.49344</v>
      </c>
      <c r="I16" s="54">
        <v>56.063330000000001</v>
      </c>
      <c r="J16" s="54">
        <v>1512.2121999999999</v>
      </c>
      <c r="K16" s="54">
        <v>3668.3996299999999</v>
      </c>
      <c r="L16" s="54">
        <v>4120.89354</v>
      </c>
      <c r="M16" s="54">
        <f>5491768.22/1000</f>
        <v>5491.7682199999999</v>
      </c>
      <c r="N16" s="54">
        <f>5337055.48/1000</f>
        <v>5337.0554800000009</v>
      </c>
      <c r="O16" s="38">
        <f t="shared" si="0"/>
        <v>24474.381630000003</v>
      </c>
      <c r="P16" s="15"/>
    </row>
    <row r="17" spans="1:16" s="3" customFormat="1" ht="11.25" x14ac:dyDescent="0.2">
      <c r="A17" s="127"/>
      <c r="B17" s="5" t="s">
        <v>7</v>
      </c>
      <c r="C17" s="36">
        <v>595.20677000000001</v>
      </c>
      <c r="D17" s="36">
        <v>495.58636999999999</v>
      </c>
      <c r="E17" s="37">
        <v>548.06866000000002</v>
      </c>
      <c r="F17" s="37">
        <v>596.16267000000005</v>
      </c>
      <c r="G17" s="37">
        <v>627.85423000000003</v>
      </c>
      <c r="H17" s="54">
        <v>436.28379999999999</v>
      </c>
      <c r="I17" s="54">
        <v>516.56863999999996</v>
      </c>
      <c r="J17" s="54">
        <v>0</v>
      </c>
      <c r="K17" s="54">
        <v>317.92803000000004</v>
      </c>
      <c r="L17" s="54">
        <v>464.41515999999996</v>
      </c>
      <c r="M17" s="54">
        <f>574224.08/1000</f>
        <v>574.22407999999996</v>
      </c>
      <c r="N17" s="54">
        <f>418383.02/1000</f>
        <v>418.38302000000004</v>
      </c>
      <c r="O17" s="38">
        <f t="shared" si="0"/>
        <v>5590.6814300000005</v>
      </c>
      <c r="P17" s="15"/>
    </row>
    <row r="18" spans="1:16" s="3" customFormat="1" ht="11.25" x14ac:dyDescent="0.2">
      <c r="A18" s="127"/>
      <c r="B18" s="5" t="s">
        <v>8</v>
      </c>
      <c r="C18" s="36">
        <v>343461.21743000002</v>
      </c>
      <c r="D18" s="36">
        <v>339657.71812999999</v>
      </c>
      <c r="E18" s="37">
        <v>339002.91931250005</v>
      </c>
      <c r="F18" s="37">
        <v>304573.37727</v>
      </c>
      <c r="G18" s="37">
        <v>384410.240277</v>
      </c>
      <c r="H18" s="54">
        <v>404394.8767275</v>
      </c>
      <c r="I18" s="54">
        <v>443156.48394000001</v>
      </c>
      <c r="J18" s="54">
        <v>344560.32280000002</v>
      </c>
      <c r="K18" s="54">
        <v>396831.03442999994</v>
      </c>
      <c r="L18" s="54">
        <v>400584.30469249998</v>
      </c>
      <c r="M18" s="54">
        <f>413513693.34/1000</f>
        <v>413513.69334</v>
      </c>
      <c r="N18" s="54">
        <f>394884256.25/1000</f>
        <v>394884.25624999998</v>
      </c>
      <c r="O18" s="38">
        <f t="shared" si="0"/>
        <v>4509030.4445994999</v>
      </c>
      <c r="P18" s="15"/>
    </row>
    <row r="19" spans="1:16" s="3" customFormat="1" ht="11.25" x14ac:dyDescent="0.2">
      <c r="A19" s="127"/>
      <c r="B19" s="5" t="s">
        <v>9</v>
      </c>
      <c r="C19" s="36">
        <v>15002.655719999999</v>
      </c>
      <c r="D19" s="36">
        <v>14100.024669999999</v>
      </c>
      <c r="E19" s="37">
        <v>14542.640170000001</v>
      </c>
      <c r="F19" s="37">
        <v>14261.253439999999</v>
      </c>
      <c r="G19" s="37">
        <v>16074.978040000004</v>
      </c>
      <c r="H19" s="54">
        <v>16230.571749999999</v>
      </c>
      <c r="I19" s="54">
        <v>16738.787049999999</v>
      </c>
      <c r="J19" s="54">
        <v>14280.635440000002</v>
      </c>
      <c r="K19" s="54">
        <v>14250.0322</v>
      </c>
      <c r="L19" s="54">
        <v>13321.829800000001</v>
      </c>
      <c r="M19" s="54">
        <f>12998804.27/1000</f>
        <v>12998.804269999999</v>
      </c>
      <c r="N19" s="54">
        <f>11308665.28/1000</f>
        <v>11308.665279999999</v>
      </c>
      <c r="O19" s="38">
        <f t="shared" si="0"/>
        <v>173110.87782999998</v>
      </c>
      <c r="P19" s="31"/>
    </row>
    <row r="20" spans="1:16" s="3" customFormat="1" ht="11.25" x14ac:dyDescent="0.2">
      <c r="A20" s="127"/>
      <c r="B20" s="5" t="s">
        <v>10</v>
      </c>
      <c r="C20" s="39">
        <v>54240.289819999991</v>
      </c>
      <c r="D20" s="39">
        <v>56273.300619999995</v>
      </c>
      <c r="E20" s="37">
        <v>52272.142140000004</v>
      </c>
      <c r="F20" s="37">
        <v>52826.280060000005</v>
      </c>
      <c r="G20" s="37">
        <v>63146.597729999994</v>
      </c>
      <c r="H20" s="54">
        <v>62204.296920000001</v>
      </c>
      <c r="I20" s="54">
        <v>67439.657990000007</v>
      </c>
      <c r="J20" s="54">
        <v>56111.821859999996</v>
      </c>
      <c r="K20" s="54">
        <v>53587.514310000006</v>
      </c>
      <c r="L20" s="54">
        <v>52729.208690000007</v>
      </c>
      <c r="M20" s="54">
        <f>57264481.68/1000</f>
        <v>57264.481679999997</v>
      </c>
      <c r="N20" s="54">
        <f>52088546.17/1000</f>
        <v>52088.546170000001</v>
      </c>
      <c r="O20" s="38">
        <f t="shared" si="0"/>
        <v>680184.13798999996</v>
      </c>
      <c r="P20" s="15"/>
    </row>
    <row r="21" spans="1:16" s="3" customFormat="1" ht="12" thickBot="1" x14ac:dyDescent="0.25">
      <c r="A21" s="127"/>
      <c r="B21" s="5" t="s">
        <v>11</v>
      </c>
      <c r="C21" s="40">
        <v>5834.5716500000008</v>
      </c>
      <c r="D21" s="40">
        <v>5485.9661299999998</v>
      </c>
      <c r="E21" s="37">
        <v>5490.6018400000003</v>
      </c>
      <c r="F21" s="37">
        <v>5104.4114799999998</v>
      </c>
      <c r="G21" s="37">
        <v>5837.8686799999996</v>
      </c>
      <c r="H21" s="54">
        <v>6116.0614999999998</v>
      </c>
      <c r="I21" s="54">
        <v>5944.4773500000001</v>
      </c>
      <c r="J21" s="54">
        <v>5054.6811299999999</v>
      </c>
      <c r="K21" s="54">
        <v>5112.8591500000002</v>
      </c>
      <c r="L21" s="54">
        <v>4652.5154300000004</v>
      </c>
      <c r="M21" s="54">
        <f>5695760.46/1000</f>
        <v>5695.7604599999995</v>
      </c>
      <c r="N21" s="54">
        <f>4836005.77/1000</f>
        <v>4836.0057699999998</v>
      </c>
      <c r="O21" s="38">
        <f t="shared" si="0"/>
        <v>65165.780569999988</v>
      </c>
      <c r="P21" s="15"/>
    </row>
    <row r="22" spans="1:16" s="3" customFormat="1" ht="13.5" customHeight="1" thickBot="1" x14ac:dyDescent="0.25">
      <c r="A22" s="130" t="s">
        <v>12</v>
      </c>
      <c r="B22" s="141"/>
      <c r="C22" s="72">
        <f t="shared" ref="C22:G22" si="1">SUM(C11:C21)</f>
        <v>525354.8351100001</v>
      </c>
      <c r="D22" s="72">
        <f t="shared" si="1"/>
        <v>514629.21707000001</v>
      </c>
      <c r="E22" s="72">
        <f t="shared" si="1"/>
        <v>508051.57837250008</v>
      </c>
      <c r="F22" s="72">
        <f t="shared" si="1"/>
        <v>454918.97926000005</v>
      </c>
      <c r="G22" s="72">
        <f t="shared" si="1"/>
        <v>568763.25194699992</v>
      </c>
      <c r="H22" s="72">
        <f t="shared" ref="H22:N22" si="2">SUM(H11:H21)</f>
        <v>585938.33832750004</v>
      </c>
      <c r="I22" s="72">
        <f t="shared" si="2"/>
        <v>634855.68550999998</v>
      </c>
      <c r="J22" s="72">
        <f t="shared" si="2"/>
        <v>507381.62435999996</v>
      </c>
      <c r="K22" s="72">
        <f t="shared" si="2"/>
        <v>556384.67258000001</v>
      </c>
      <c r="L22" s="72">
        <f t="shared" si="2"/>
        <v>560338.95208250009</v>
      </c>
      <c r="M22" s="72">
        <f t="shared" si="2"/>
        <v>589870.25303000002</v>
      </c>
      <c r="N22" s="72">
        <f t="shared" si="2"/>
        <v>553071.51456000004</v>
      </c>
      <c r="O22" s="73">
        <f>SUM(C22:N22)</f>
        <v>6559558.9022095008</v>
      </c>
    </row>
    <row r="23" spans="1:16" s="3" customFormat="1" ht="11.25" x14ac:dyDescent="0.2">
      <c r="A23" s="127" t="s">
        <v>13</v>
      </c>
      <c r="B23" s="5" t="s">
        <v>2</v>
      </c>
      <c r="C23" s="41">
        <v>9256.3132799999967</v>
      </c>
      <c r="D23" s="41">
        <v>8759.1377400000001</v>
      </c>
      <c r="E23" s="41">
        <v>8146.9156199999998</v>
      </c>
      <c r="F23" s="37">
        <v>7154.1467599999996</v>
      </c>
      <c r="G23" s="37">
        <v>9868.8674199999987</v>
      </c>
      <c r="H23" s="54">
        <v>9437.2102500000019</v>
      </c>
      <c r="I23" s="54">
        <v>10304.151180000001</v>
      </c>
      <c r="J23" s="54">
        <v>7826.7351900000012</v>
      </c>
      <c r="K23" s="54">
        <v>7892.9977299999982</v>
      </c>
      <c r="L23" s="54">
        <v>8121.4992700000003</v>
      </c>
      <c r="M23" s="54">
        <f>9024135.45/1000</f>
        <v>9024.1354499999998</v>
      </c>
      <c r="N23" s="54">
        <f>8358546.64/1000</f>
        <v>8358.5466400000005</v>
      </c>
      <c r="O23" s="38">
        <f>SUM(C23:M23)</f>
        <v>95792.109890000007</v>
      </c>
    </row>
    <row r="24" spans="1:16" s="3" customFormat="1" ht="11.25" x14ac:dyDescent="0.2">
      <c r="A24" s="127"/>
      <c r="B24" s="5" t="s">
        <v>3</v>
      </c>
      <c r="C24" s="37">
        <v>9356.7704400000002</v>
      </c>
      <c r="D24" s="37">
        <v>8979.0489699999998</v>
      </c>
      <c r="E24" s="37">
        <v>8285.7017700000015</v>
      </c>
      <c r="F24" s="37">
        <v>7753.6468700000014</v>
      </c>
      <c r="G24" s="37">
        <v>9259.4871500000008</v>
      </c>
      <c r="H24" s="54">
        <v>9173.6300399999964</v>
      </c>
      <c r="I24" s="54">
        <v>9724.1131999999998</v>
      </c>
      <c r="J24" s="54">
        <v>7592.8656100000017</v>
      </c>
      <c r="K24" s="54">
        <v>8107.1059400000004</v>
      </c>
      <c r="L24" s="54">
        <v>7956.0592300000008</v>
      </c>
      <c r="M24" s="54">
        <f>8340897.92/1000</f>
        <v>8340.8979199999994</v>
      </c>
      <c r="N24" s="54">
        <f>9396932.79/1000</f>
        <v>9396.9327899999989</v>
      </c>
      <c r="O24" s="38">
        <f t="shared" ref="O24:O33" si="3">SUM(C24:M24)</f>
        <v>94529.327140000009</v>
      </c>
    </row>
    <row r="25" spans="1:16" s="3" customFormat="1" ht="11.25" x14ac:dyDescent="0.2">
      <c r="A25" s="127"/>
      <c r="B25" s="5" t="s">
        <v>14</v>
      </c>
      <c r="C25" s="37">
        <v>15.94425</v>
      </c>
      <c r="D25" s="37">
        <v>13.643790000000001</v>
      </c>
      <c r="E25" s="37">
        <v>12.734309999999999</v>
      </c>
      <c r="F25" s="37">
        <v>11.58342</v>
      </c>
      <c r="G25" s="37">
        <v>12.7896</v>
      </c>
      <c r="H25" s="54">
        <v>18.637619999999998</v>
      </c>
      <c r="I25" s="54">
        <v>11.324490000000001</v>
      </c>
      <c r="J25" s="54">
        <v>13.5489</v>
      </c>
      <c r="K25" s="54">
        <v>10.298639999999999</v>
      </c>
      <c r="L25" s="54">
        <v>10.266540000000001</v>
      </c>
      <c r="M25" s="54">
        <f>13034.7/1000</f>
        <v>13.034700000000001</v>
      </c>
      <c r="N25" s="54">
        <f>10397.37/1000</f>
        <v>10.39737</v>
      </c>
      <c r="O25" s="38">
        <f t="shared" si="3"/>
        <v>143.80626000000001</v>
      </c>
    </row>
    <row r="26" spans="1:16" s="3" customFormat="1" ht="11.25" x14ac:dyDescent="0.2">
      <c r="A26" s="127"/>
      <c r="B26" s="5" t="s">
        <v>4</v>
      </c>
      <c r="C26" s="37">
        <v>29356.890720000018</v>
      </c>
      <c r="D26" s="37">
        <v>27597.032259999989</v>
      </c>
      <c r="E26" s="37">
        <v>26807.462930000005</v>
      </c>
      <c r="F26" s="37">
        <v>25685.316149999991</v>
      </c>
      <c r="G26" s="37">
        <v>31676.546179999979</v>
      </c>
      <c r="H26" s="54">
        <v>38580.923609999991</v>
      </c>
      <c r="I26" s="54">
        <v>41334.85684</v>
      </c>
      <c r="J26" s="54">
        <v>31202.393719999971</v>
      </c>
      <c r="K26" s="54">
        <v>38351.067459999969</v>
      </c>
      <c r="L26" s="54">
        <v>33110.257450000034</v>
      </c>
      <c r="M26" s="54">
        <f>36951532.48/1000</f>
        <v>36951.532479999994</v>
      </c>
      <c r="N26" s="54">
        <f>34458820.15/1000</f>
        <v>34458.82015</v>
      </c>
      <c r="O26" s="38">
        <f t="shared" si="3"/>
        <v>360654.27979999996</v>
      </c>
    </row>
    <row r="27" spans="1:16" s="3" customFormat="1" ht="11.25" x14ac:dyDescent="0.2">
      <c r="A27" s="127"/>
      <c r="B27" s="5" t="s">
        <v>5</v>
      </c>
      <c r="C27" s="37">
        <v>8716.0372399999924</v>
      </c>
      <c r="D27" s="37">
        <v>8138.7794299999978</v>
      </c>
      <c r="E27" s="37">
        <v>8164.3494399999981</v>
      </c>
      <c r="F27" s="37">
        <v>7308.6190400000023</v>
      </c>
      <c r="G27" s="37">
        <v>8666.600470000003</v>
      </c>
      <c r="H27" s="54">
        <v>8701.9323799999984</v>
      </c>
      <c r="I27" s="54">
        <v>9579.0001100000009</v>
      </c>
      <c r="J27" s="54">
        <v>7240.864499999996</v>
      </c>
      <c r="K27" s="54">
        <v>7861.850889999997</v>
      </c>
      <c r="L27" s="54">
        <v>7413.9815199999985</v>
      </c>
      <c r="M27" s="54">
        <f>8139228.43/1000</f>
        <v>8139.2284300000001</v>
      </c>
      <c r="N27" s="54">
        <f>7216017.85/1000</f>
        <v>7216.0178499999993</v>
      </c>
      <c r="O27" s="38">
        <f t="shared" si="3"/>
        <v>89931.243449999994</v>
      </c>
    </row>
    <row r="28" spans="1:16" s="3" customFormat="1" ht="11.25" x14ac:dyDescent="0.2">
      <c r="A28" s="127"/>
      <c r="B28" s="5" t="s">
        <v>6</v>
      </c>
      <c r="C28" s="37">
        <v>68502.495759999991</v>
      </c>
      <c r="D28" s="37">
        <v>65198.931429999997</v>
      </c>
      <c r="E28" s="37">
        <v>64237.610899999985</v>
      </c>
      <c r="F28" s="37">
        <v>47503.697879999985</v>
      </c>
      <c r="G28" s="37">
        <v>64701.356670000023</v>
      </c>
      <c r="H28" s="54">
        <v>62650.641140000007</v>
      </c>
      <c r="I28" s="54">
        <v>65410.128909999999</v>
      </c>
      <c r="J28" s="54">
        <v>56870.612380000006</v>
      </c>
      <c r="K28" s="54">
        <v>52165.212200000002</v>
      </c>
      <c r="L28" s="54">
        <v>53532.766949999983</v>
      </c>
      <c r="M28" s="54">
        <f>61926806.26/1000</f>
        <v>61926.806259999998</v>
      </c>
      <c r="N28" s="54">
        <f>52827794.78/1000</f>
        <v>52827.794780000004</v>
      </c>
      <c r="O28" s="38">
        <f t="shared" si="3"/>
        <v>662700.26047999994</v>
      </c>
    </row>
    <row r="29" spans="1:16" s="3" customFormat="1" ht="11.25" x14ac:dyDescent="0.2">
      <c r="A29" s="127"/>
      <c r="B29" s="5" t="s">
        <v>46</v>
      </c>
      <c r="C29" s="37">
        <v>3985.7819199999999</v>
      </c>
      <c r="D29" s="37">
        <v>4131.50155</v>
      </c>
      <c r="E29" s="37">
        <v>3704.6305700000003</v>
      </c>
      <c r="F29" s="37">
        <v>2857.4848100000004</v>
      </c>
      <c r="G29" s="37">
        <v>3352.3159599999999</v>
      </c>
      <c r="H29" s="54">
        <v>3419.8837999999996</v>
      </c>
      <c r="I29" s="54">
        <v>3757.68921</v>
      </c>
      <c r="J29" s="54">
        <v>3531.6194599999999</v>
      </c>
      <c r="K29" s="54">
        <v>4659.3213199999991</v>
      </c>
      <c r="L29" s="54">
        <v>4869.2256300000008</v>
      </c>
      <c r="M29" s="54">
        <f>5491856.31/1000</f>
        <v>5491.8563099999992</v>
      </c>
      <c r="N29" s="54">
        <f>5075687.46/1000</f>
        <v>5075.6874600000001</v>
      </c>
      <c r="O29" s="38">
        <f t="shared" si="3"/>
        <v>43761.310540000006</v>
      </c>
    </row>
    <row r="30" spans="1:16" s="3" customFormat="1" ht="11.25" x14ac:dyDescent="0.2">
      <c r="A30" s="127"/>
      <c r="B30" s="5" t="s">
        <v>15</v>
      </c>
      <c r="C30" s="37">
        <v>1328.03703</v>
      </c>
      <c r="D30" s="37">
        <v>1180.1889199999998</v>
      </c>
      <c r="E30" s="37">
        <v>1180.9866999999999</v>
      </c>
      <c r="F30" s="37">
        <v>2054.0720099999999</v>
      </c>
      <c r="G30" s="37">
        <v>2457.5964100000001</v>
      </c>
      <c r="H30" s="54">
        <v>2223.4845200000004</v>
      </c>
      <c r="I30" s="54">
        <v>3108.8737799999999</v>
      </c>
      <c r="J30" s="54">
        <v>2053.5179200000002</v>
      </c>
      <c r="K30" s="54">
        <v>2381.9903199999999</v>
      </c>
      <c r="L30" s="54">
        <v>2476.2638700000002</v>
      </c>
      <c r="M30" s="54">
        <f>2396245.61/1000</f>
        <v>2396.2456099999999</v>
      </c>
      <c r="N30" s="54">
        <f>2231869.3/1000</f>
        <v>2231.8692999999998</v>
      </c>
      <c r="O30" s="38">
        <f t="shared" si="3"/>
        <v>22841.257089999999</v>
      </c>
    </row>
    <row r="31" spans="1:16" s="3" customFormat="1" ht="11.25" x14ac:dyDescent="0.2">
      <c r="A31" s="127"/>
      <c r="B31" s="5" t="s">
        <v>16</v>
      </c>
      <c r="C31" s="37">
        <v>90.350750000000005</v>
      </c>
      <c r="D31" s="37">
        <v>77.314810000000008</v>
      </c>
      <c r="E31" s="37">
        <v>72.161090000000016</v>
      </c>
      <c r="F31" s="37">
        <v>65.639380000000003</v>
      </c>
      <c r="G31" s="37">
        <v>72.474399999999989</v>
      </c>
      <c r="H31" s="54">
        <v>105.61317999999996</v>
      </c>
      <c r="I31" s="54">
        <v>64.172110000000004</v>
      </c>
      <c r="J31" s="54">
        <v>76.777100000000004</v>
      </c>
      <c r="K31" s="54">
        <v>58.358959999999975</v>
      </c>
      <c r="L31" s="54">
        <v>58.177060000000019</v>
      </c>
      <c r="M31" s="54">
        <f>73863.3/1000</f>
        <v>73.86330000000001</v>
      </c>
      <c r="N31" s="54">
        <f>58918.43/1000</f>
        <v>58.918430000000001</v>
      </c>
      <c r="O31" s="38">
        <f t="shared" si="3"/>
        <v>814.90214000000003</v>
      </c>
    </row>
    <row r="32" spans="1:16" s="3" customFormat="1" ht="11.25" x14ac:dyDescent="0.2">
      <c r="A32" s="127"/>
      <c r="B32" s="5" t="s">
        <v>17</v>
      </c>
      <c r="C32" s="37">
        <v>4583.6954899999992</v>
      </c>
      <c r="D32" s="37">
        <v>4969.7543199999991</v>
      </c>
      <c r="E32" s="37">
        <v>7529.4474900000005</v>
      </c>
      <c r="F32" s="37">
        <v>4104.7244500000006</v>
      </c>
      <c r="G32" s="37">
        <v>4873.9588300000005</v>
      </c>
      <c r="H32" s="54">
        <v>4866.1090299999996</v>
      </c>
      <c r="I32" s="54">
        <v>5332.6012300000002</v>
      </c>
      <c r="J32" s="54">
        <v>3932.9856400000008</v>
      </c>
      <c r="K32" s="54">
        <v>4332.9760499999993</v>
      </c>
      <c r="L32" s="54">
        <v>4442.6312800000005</v>
      </c>
      <c r="M32" s="54">
        <f>6190672.71/1000</f>
        <v>6190.6727099999998</v>
      </c>
      <c r="N32" s="54">
        <f>4954151.07/1000</f>
        <v>4954.1510699999999</v>
      </c>
      <c r="O32" s="38">
        <f t="shared" si="3"/>
        <v>55159.556519999998</v>
      </c>
    </row>
    <row r="33" spans="1:16" s="3" customFormat="1" ht="11.25" x14ac:dyDescent="0.2">
      <c r="A33" s="127"/>
      <c r="B33" s="5" t="s">
        <v>18</v>
      </c>
      <c r="C33" s="37">
        <v>3911.7272000000003</v>
      </c>
      <c r="D33" s="37">
        <v>3629.7409200000002</v>
      </c>
      <c r="E33" s="37">
        <v>4388.3580899999997</v>
      </c>
      <c r="F33" s="37">
        <v>2785.8368999999993</v>
      </c>
      <c r="G33" s="37">
        <v>3685.9192199999998</v>
      </c>
      <c r="H33" s="54">
        <v>4576.1490400000002</v>
      </c>
      <c r="I33" s="54">
        <v>4447.7879000000003</v>
      </c>
      <c r="J33" s="54">
        <v>3237.3798999999999</v>
      </c>
      <c r="K33" s="54">
        <v>3705.3857500000004</v>
      </c>
      <c r="L33" s="54">
        <v>3809.3753700000002</v>
      </c>
      <c r="M33" s="54">
        <f>5306680.71/1000</f>
        <v>5306.6807099999996</v>
      </c>
      <c r="N33" s="54">
        <f>4957264.17/1000</f>
        <v>4957.2641700000004</v>
      </c>
      <c r="O33" s="38">
        <f t="shared" si="3"/>
        <v>43484.341</v>
      </c>
    </row>
    <row r="34" spans="1:16" s="3" customFormat="1" ht="11.25" x14ac:dyDescent="0.2">
      <c r="A34" s="127"/>
      <c r="B34" s="5" t="s">
        <v>7</v>
      </c>
      <c r="C34" s="37">
        <v>358.41088000000002</v>
      </c>
      <c r="D34" s="37">
        <v>354.80369999999994</v>
      </c>
      <c r="E34" s="37">
        <v>317.41614000000004</v>
      </c>
      <c r="F34" s="37">
        <v>308.32539999999995</v>
      </c>
      <c r="G34" s="37">
        <v>476.49253000000004</v>
      </c>
      <c r="H34" s="54">
        <v>379.26489999999995</v>
      </c>
      <c r="I34" s="54">
        <v>456.54755</v>
      </c>
      <c r="J34" s="54">
        <v>234.62004000000002</v>
      </c>
      <c r="K34" s="54">
        <v>323.00813999999997</v>
      </c>
      <c r="L34" s="54">
        <v>335.47523000000007</v>
      </c>
      <c r="M34" s="54">
        <f>411617.63/1000</f>
        <v>411.61763000000002</v>
      </c>
      <c r="N34" s="54">
        <f>213264.43/1000</f>
        <v>213.26443</v>
      </c>
      <c r="O34" s="38">
        <f>SUM(C34:N34)</f>
        <v>4169.2465699999993</v>
      </c>
    </row>
    <row r="35" spans="1:16" s="3" customFormat="1" ht="11.25" x14ac:dyDescent="0.2">
      <c r="A35" s="127"/>
      <c r="B35" s="5" t="s">
        <v>8</v>
      </c>
      <c r="C35" s="37">
        <v>363677.75253</v>
      </c>
      <c r="D35" s="37">
        <v>360193.74549000006</v>
      </c>
      <c r="E35" s="37">
        <v>359876.73414999997</v>
      </c>
      <c r="F35" s="37">
        <v>319139.72936</v>
      </c>
      <c r="G35" s="37">
        <v>405078.52298999991</v>
      </c>
      <c r="H35" s="54">
        <v>428688.29749000008</v>
      </c>
      <c r="I35" s="54">
        <v>469176.40010999999</v>
      </c>
      <c r="J35" s="54">
        <v>361900.18955000001</v>
      </c>
      <c r="K35" s="54">
        <v>423546.29365000012</v>
      </c>
      <c r="L35" s="54">
        <v>423564.5686500002</v>
      </c>
      <c r="M35" s="54">
        <f>435402299.89/1000</f>
        <v>435402.29988999997</v>
      </c>
      <c r="N35" s="54">
        <f>418561355.41/1000</f>
        <v>418561.35541000002</v>
      </c>
      <c r="O35" s="38">
        <f t="shared" ref="O35:O40" si="4">SUM(C35:N35)</f>
        <v>4768805.8892700011</v>
      </c>
    </row>
    <row r="36" spans="1:16" s="3" customFormat="1" ht="11.25" x14ac:dyDescent="0.2">
      <c r="A36" s="127"/>
      <c r="B36" s="5" t="s">
        <v>9</v>
      </c>
      <c r="C36" s="37">
        <v>18637.445740000028</v>
      </c>
      <c r="D36" s="37">
        <v>18764.759560000028</v>
      </c>
      <c r="E36" s="37">
        <v>17936.477849999996</v>
      </c>
      <c r="F36" s="37">
        <v>16497.829260000013</v>
      </c>
      <c r="G36" s="37">
        <v>19884.677280000044</v>
      </c>
      <c r="H36" s="54">
        <v>19671.237830000038</v>
      </c>
      <c r="I36" s="54">
        <v>20724.774259999998</v>
      </c>
      <c r="J36" s="54">
        <v>20537.388939999983</v>
      </c>
      <c r="K36" s="54">
        <v>20470.293060000029</v>
      </c>
      <c r="L36" s="54">
        <v>19693.863610000004</v>
      </c>
      <c r="M36" s="54">
        <f>17597913.35/1000</f>
        <v>17597.913350000003</v>
      </c>
      <c r="N36" s="54">
        <f>15942934.1/1000</f>
        <v>15942.9341</v>
      </c>
      <c r="O36" s="38">
        <f t="shared" si="4"/>
        <v>226359.59484000015</v>
      </c>
    </row>
    <row r="37" spans="1:16" s="3" customFormat="1" ht="11.25" x14ac:dyDescent="0.2">
      <c r="A37" s="127"/>
      <c r="B37" s="5" t="s">
        <v>19</v>
      </c>
      <c r="C37" s="37">
        <v>10798.078219999999</v>
      </c>
      <c r="D37" s="37">
        <v>9576.0815500000008</v>
      </c>
      <c r="E37" s="37">
        <v>7946.9674500000019</v>
      </c>
      <c r="F37" s="37">
        <v>8784.6524100000024</v>
      </c>
      <c r="G37" s="37">
        <v>8715.5005299999975</v>
      </c>
      <c r="H37" s="54">
        <v>10419.678240000001</v>
      </c>
      <c r="I37" s="54">
        <v>10210.0785</v>
      </c>
      <c r="J37" s="54">
        <v>9356.266880000001</v>
      </c>
      <c r="K37" s="54">
        <v>9006.7411499999998</v>
      </c>
      <c r="L37" s="54">
        <v>9792.0388299999995</v>
      </c>
      <c r="M37" s="54">
        <f>11081249.73/1000</f>
        <v>11081.24973</v>
      </c>
      <c r="N37" s="54">
        <f>8876870.53/1000</f>
        <v>8876.8705300000001</v>
      </c>
      <c r="O37" s="38">
        <f t="shared" si="4"/>
        <v>114564.20402</v>
      </c>
    </row>
    <row r="38" spans="1:16" s="3" customFormat="1" ht="11.25" x14ac:dyDescent="0.2">
      <c r="A38" s="127"/>
      <c r="B38" s="5" t="s">
        <v>20</v>
      </c>
      <c r="C38" s="37">
        <v>5595.5454600000003</v>
      </c>
      <c r="D38" s="37">
        <v>4888.6193400000011</v>
      </c>
      <c r="E38" s="37">
        <v>5343.90924</v>
      </c>
      <c r="F38" s="37">
        <v>3584.9916499999999</v>
      </c>
      <c r="G38" s="37">
        <v>5738.7421799999993</v>
      </c>
      <c r="H38" s="54">
        <v>5743.4534599999988</v>
      </c>
      <c r="I38" s="54">
        <v>5872.1874399999997</v>
      </c>
      <c r="J38" s="54">
        <v>5591.8557199999987</v>
      </c>
      <c r="K38" s="54">
        <v>4874.2130200000001</v>
      </c>
      <c r="L38" s="54">
        <v>5895.2346799999987</v>
      </c>
      <c r="M38" s="54">
        <f>6506425.48/1000</f>
        <v>6506.4254800000008</v>
      </c>
      <c r="N38" s="54">
        <f>4925403.97/1000</f>
        <v>4925.4039699999994</v>
      </c>
      <c r="O38" s="38">
        <f t="shared" si="4"/>
        <v>64560.581640000004</v>
      </c>
    </row>
    <row r="39" spans="1:16" s="3" customFormat="1" ht="11.25" x14ac:dyDescent="0.2">
      <c r="A39" s="127"/>
      <c r="B39" s="5" t="s">
        <v>11</v>
      </c>
      <c r="C39" s="37">
        <v>16567.617600000005</v>
      </c>
      <c r="D39" s="37">
        <v>16191.690660000007</v>
      </c>
      <c r="E39" s="37">
        <v>15840.72600000001</v>
      </c>
      <c r="F39" s="37">
        <v>14629.123970000013</v>
      </c>
      <c r="G39" s="37">
        <v>17241.478330000013</v>
      </c>
      <c r="H39" s="54">
        <v>16663.011019999991</v>
      </c>
      <c r="I39" s="54">
        <v>17516.158810000001</v>
      </c>
      <c r="J39" s="54">
        <v>13372.98387999998</v>
      </c>
      <c r="K39" s="54">
        <v>14519.884319999988</v>
      </c>
      <c r="L39" s="54">
        <v>15050.50873</v>
      </c>
      <c r="M39" s="54">
        <f>17351485.81/1000</f>
        <v>17351.485809999998</v>
      </c>
      <c r="N39" s="54">
        <f>17192373.47/1000</f>
        <v>17192.373469999999</v>
      </c>
      <c r="O39" s="38">
        <f t="shared" si="4"/>
        <v>192137.04259999999</v>
      </c>
    </row>
    <row r="40" spans="1:16" s="3" customFormat="1" ht="12" thickBot="1" x14ac:dyDescent="0.25">
      <c r="A40" s="127"/>
      <c r="B40" s="5" t="s">
        <v>10</v>
      </c>
      <c r="C40" s="42">
        <v>83132.759770000033</v>
      </c>
      <c r="D40" s="42">
        <v>87413.148650000003</v>
      </c>
      <c r="E40" s="37">
        <v>82564.243900000045</v>
      </c>
      <c r="F40" s="37">
        <v>84969.937180000008</v>
      </c>
      <c r="G40" s="37">
        <v>103198.95089000002</v>
      </c>
      <c r="H40" s="54">
        <v>101493.08100999999</v>
      </c>
      <c r="I40" s="54">
        <v>106823.82316</v>
      </c>
      <c r="J40" s="54">
        <v>89256.56614999997</v>
      </c>
      <c r="K40" s="54">
        <v>87578.494349999979</v>
      </c>
      <c r="L40" s="54">
        <v>85890.355690000026</v>
      </c>
      <c r="M40" s="54">
        <f>94302875.85/1000</f>
        <v>94302.875849999997</v>
      </c>
      <c r="N40" s="54">
        <f>84731519.63/1000</f>
        <v>84731.519629999995</v>
      </c>
      <c r="O40" s="38">
        <f t="shared" si="4"/>
        <v>1091355.7562299999</v>
      </c>
    </row>
    <row r="41" spans="1:16" s="3" customFormat="1" ht="12" thickBot="1" x14ac:dyDescent="0.25">
      <c r="A41" s="130" t="s">
        <v>21</v>
      </c>
      <c r="B41" s="141"/>
      <c r="C41" s="72">
        <f>SUM(C23:C40)</f>
        <v>637871.65428000013</v>
      </c>
      <c r="D41" s="72">
        <f t="shared" ref="D41:G41" si="5">SUM(D23:D40)</f>
        <v>630057.92309000005</v>
      </c>
      <c r="E41" s="72">
        <f t="shared" si="5"/>
        <v>622356.83363999997</v>
      </c>
      <c r="F41" s="72">
        <f t="shared" si="5"/>
        <v>555199.35690000001</v>
      </c>
      <c r="G41" s="72">
        <f t="shared" si="5"/>
        <v>698962.27703999984</v>
      </c>
      <c r="H41" s="72">
        <f t="shared" ref="H41:N41" si="6">SUM(H23:H40)</f>
        <v>726812.23855999997</v>
      </c>
      <c r="I41" s="72">
        <f t="shared" si="6"/>
        <v>783854.66879000003</v>
      </c>
      <c r="J41" s="72">
        <f t="shared" si="6"/>
        <v>623829.1714799999</v>
      </c>
      <c r="K41" s="72">
        <f t="shared" si="6"/>
        <v>689845.4929500001</v>
      </c>
      <c r="L41" s="72">
        <f t="shared" si="6"/>
        <v>686022.54959000018</v>
      </c>
      <c r="M41" s="72">
        <f t="shared" si="6"/>
        <v>726508.82161999994</v>
      </c>
      <c r="N41" s="72">
        <f t="shared" si="6"/>
        <v>679990.12154999992</v>
      </c>
      <c r="O41" s="73">
        <f t="shared" ref="O41:O51" si="7">SUM(C41:N41)</f>
        <v>8061311.1094899997</v>
      </c>
    </row>
    <row r="42" spans="1:16" s="3" customFormat="1" ht="11.25" x14ac:dyDescent="0.2">
      <c r="A42" s="127" t="s">
        <v>43</v>
      </c>
      <c r="B42" s="6" t="s">
        <v>2</v>
      </c>
      <c r="C42" s="43">
        <v>0</v>
      </c>
      <c r="D42" s="43">
        <v>0</v>
      </c>
      <c r="E42" s="43">
        <v>0</v>
      </c>
      <c r="F42" s="43">
        <v>0</v>
      </c>
      <c r="G42" s="37">
        <v>105.98236999999999</v>
      </c>
      <c r="H42" s="54">
        <v>92.358159999999998</v>
      </c>
      <c r="I42" s="54">
        <v>100.36602999999999</v>
      </c>
      <c r="J42" s="54">
        <v>80.42931999999999</v>
      </c>
      <c r="K42" s="54">
        <v>78.482370000000003</v>
      </c>
      <c r="L42" s="54">
        <v>88.145430000000005</v>
      </c>
      <c r="M42" s="54">
        <f>112572.69/1000</f>
        <v>112.57269000000001</v>
      </c>
      <c r="N42" s="54">
        <v>0</v>
      </c>
      <c r="O42" s="38">
        <f t="shared" si="7"/>
        <v>658.33636999999987</v>
      </c>
    </row>
    <row r="43" spans="1:16" s="3" customFormat="1" ht="11.25" x14ac:dyDescent="0.2">
      <c r="A43" s="127"/>
      <c r="B43" s="6" t="s">
        <v>3</v>
      </c>
      <c r="C43" s="37">
        <v>0</v>
      </c>
      <c r="D43" s="37">
        <v>0</v>
      </c>
      <c r="E43" s="37">
        <v>685.42505000000006</v>
      </c>
      <c r="F43" s="37">
        <v>589.55223000000001</v>
      </c>
      <c r="G43" s="37">
        <v>684.03419999999994</v>
      </c>
      <c r="H43" s="54">
        <v>697.31084999999996</v>
      </c>
      <c r="I43" s="54">
        <v>775.77630999999997</v>
      </c>
      <c r="J43" s="54">
        <v>603.5091000000001</v>
      </c>
      <c r="K43" s="54">
        <v>654.55153999999993</v>
      </c>
      <c r="L43" s="54">
        <v>669.42216000000008</v>
      </c>
      <c r="M43" s="54">
        <f>806495.47/1000</f>
        <v>806.49546999999995</v>
      </c>
      <c r="N43" s="54">
        <f>117922.11/1000</f>
        <v>117.92211</v>
      </c>
      <c r="O43" s="38">
        <f t="shared" si="7"/>
        <v>6283.9990200000002</v>
      </c>
    </row>
    <row r="44" spans="1:16" s="3" customFormat="1" ht="11.25" x14ac:dyDescent="0.2">
      <c r="A44" s="127"/>
      <c r="B44" s="6" t="s">
        <v>4</v>
      </c>
      <c r="C44" s="37">
        <v>0</v>
      </c>
      <c r="D44" s="37">
        <v>0</v>
      </c>
      <c r="E44" s="37">
        <v>0</v>
      </c>
      <c r="F44" s="37">
        <v>146.16031000000001</v>
      </c>
      <c r="G44" s="37">
        <v>189.94284999999999</v>
      </c>
      <c r="H44" s="54">
        <v>760.36847999999998</v>
      </c>
      <c r="I44" s="54">
        <v>856.81841999999995</v>
      </c>
      <c r="J44" s="54">
        <v>668.52872000000013</v>
      </c>
      <c r="K44" s="54">
        <v>715.16647</v>
      </c>
      <c r="L44" s="54">
        <v>63.981119999999997</v>
      </c>
      <c r="M44" s="54">
        <f>85364.12/1000</f>
        <v>85.36412</v>
      </c>
      <c r="N44" s="54">
        <f>93960.85/1000</f>
        <v>93.960850000000008</v>
      </c>
      <c r="O44" s="38">
        <f t="shared" si="7"/>
        <v>3580.2913400000002</v>
      </c>
    </row>
    <row r="45" spans="1:16" s="3" customFormat="1" ht="11.25" x14ac:dyDescent="0.2">
      <c r="A45" s="127"/>
      <c r="B45" s="6" t="s">
        <v>5</v>
      </c>
      <c r="C45" s="37">
        <v>755.42394999999999</v>
      </c>
      <c r="D45" s="37">
        <v>664.61335999999994</v>
      </c>
      <c r="E45" s="37">
        <v>0</v>
      </c>
      <c r="F45" s="37">
        <v>0</v>
      </c>
      <c r="G45" s="37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38">
        <f t="shared" si="7"/>
        <v>1420.0373099999999</v>
      </c>
      <c r="P45" s="29"/>
    </row>
    <row r="46" spans="1:16" s="3" customFormat="1" ht="11.25" x14ac:dyDescent="0.2">
      <c r="A46" s="127"/>
      <c r="B46" s="6" t="s">
        <v>15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f>565912.71/1000</f>
        <v>565.91270999999995</v>
      </c>
      <c r="N46" s="54">
        <f>505234.52/1000</f>
        <v>505.23452000000003</v>
      </c>
      <c r="O46" s="38">
        <f t="shared" si="7"/>
        <v>1071.14723</v>
      </c>
      <c r="P46" s="29"/>
    </row>
    <row r="47" spans="1:16" s="3" customFormat="1" ht="11.25" x14ac:dyDescent="0.2">
      <c r="A47" s="127"/>
      <c r="B47" s="6" t="s">
        <v>17</v>
      </c>
      <c r="C47" s="37">
        <v>755.42394000000002</v>
      </c>
      <c r="D47" s="37">
        <v>710.31802000000005</v>
      </c>
      <c r="E47" s="37">
        <v>660.15463999999997</v>
      </c>
      <c r="F47" s="37">
        <v>589.55223000000001</v>
      </c>
      <c r="G47" s="37">
        <v>678.55444</v>
      </c>
      <c r="H47" s="54">
        <v>696.75536999999997</v>
      </c>
      <c r="I47" s="54">
        <v>775.77390000000003</v>
      </c>
      <c r="J47" s="54">
        <v>604.61692000000005</v>
      </c>
      <c r="K47" s="54">
        <v>654.55153999999993</v>
      </c>
      <c r="L47" s="54">
        <v>0</v>
      </c>
      <c r="M47" s="54">
        <v>0</v>
      </c>
      <c r="N47" s="54">
        <v>0</v>
      </c>
      <c r="O47" s="38">
        <f t="shared" si="7"/>
        <v>6125.7010000000009</v>
      </c>
    </row>
    <row r="48" spans="1:16" s="3" customFormat="1" ht="11.25" x14ac:dyDescent="0.2">
      <c r="A48" s="127"/>
      <c r="B48" s="6" t="s">
        <v>8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38">
        <f t="shared" si="7"/>
        <v>0</v>
      </c>
    </row>
    <row r="49" spans="1:16" s="3" customFormat="1" ht="11.25" x14ac:dyDescent="0.2">
      <c r="A49" s="127"/>
      <c r="B49" s="6" t="s">
        <v>9</v>
      </c>
      <c r="C49" s="37">
        <v>727.64558999999997</v>
      </c>
      <c r="D49" s="37">
        <v>20.494730000000001</v>
      </c>
      <c r="E49" s="37">
        <v>18.980820000000001</v>
      </c>
      <c r="F49" s="37">
        <v>18.99691</v>
      </c>
      <c r="G49" s="37">
        <v>20.855409999999999</v>
      </c>
      <c r="H49" s="54">
        <v>19.374950000000002</v>
      </c>
      <c r="I49" s="54">
        <v>19.321259999999999</v>
      </c>
      <c r="J49" s="54">
        <v>581.48572999999999</v>
      </c>
      <c r="K49" s="54">
        <v>638.82349999999997</v>
      </c>
      <c r="L49" s="54">
        <v>653.31210999999996</v>
      </c>
      <c r="M49" s="54">
        <f>1329011.56/1000</f>
        <v>1329.0115600000001</v>
      </c>
      <c r="N49" s="54">
        <f>1204100.6/1000</f>
        <v>1204.1006</v>
      </c>
      <c r="O49" s="38">
        <f t="shared" si="7"/>
        <v>5252.4031699999996</v>
      </c>
    </row>
    <row r="50" spans="1:16" s="3" customFormat="1" ht="12" thickBot="1" x14ac:dyDescent="0.25">
      <c r="A50" s="127"/>
      <c r="B50" s="6" t="s">
        <v>11</v>
      </c>
      <c r="C50" s="37">
        <v>701.41049999999996</v>
      </c>
      <c r="D50" s="37">
        <v>664.61335999999994</v>
      </c>
      <c r="E50" s="37">
        <v>0</v>
      </c>
      <c r="F50" s="37">
        <v>0</v>
      </c>
      <c r="G50" s="37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38">
        <f t="shared" si="7"/>
        <v>1366.0238599999998</v>
      </c>
    </row>
    <row r="51" spans="1:16" s="3" customFormat="1" ht="12" thickBot="1" x14ac:dyDescent="0.25">
      <c r="A51" s="130" t="s">
        <v>22</v>
      </c>
      <c r="B51" s="141"/>
      <c r="C51" s="72">
        <f>SUM(C42:C50)</f>
        <v>2939.90398</v>
      </c>
      <c r="D51" s="72">
        <f t="shared" ref="D51:F51" si="8">SUM(D42:D50)</f>
        <v>2060.0394699999997</v>
      </c>
      <c r="E51" s="72">
        <f t="shared" si="8"/>
        <v>1364.56051</v>
      </c>
      <c r="F51" s="72">
        <f t="shared" si="8"/>
        <v>1344.2616800000001</v>
      </c>
      <c r="G51" s="72">
        <f t="shared" ref="G51" si="9">SUM(G42:G50)</f>
        <v>1679.3692699999999</v>
      </c>
      <c r="H51" s="72">
        <f t="shared" ref="H51:N51" si="10">SUM(H42:H50)</f>
        <v>2266.1678099999999</v>
      </c>
      <c r="I51" s="72">
        <f t="shared" si="10"/>
        <v>2528.0559200000002</v>
      </c>
      <c r="J51" s="72">
        <f t="shared" si="10"/>
        <v>2538.56979</v>
      </c>
      <c r="K51" s="72">
        <f t="shared" si="10"/>
        <v>2741.5754199999997</v>
      </c>
      <c r="L51" s="72">
        <f t="shared" si="10"/>
        <v>1474.8608200000001</v>
      </c>
      <c r="M51" s="72">
        <f t="shared" si="10"/>
        <v>2899.35655</v>
      </c>
      <c r="N51" s="72">
        <f t="shared" si="10"/>
        <v>1921.2180800000001</v>
      </c>
      <c r="O51" s="73">
        <f t="shared" si="7"/>
        <v>25757.939300000002</v>
      </c>
      <c r="P51" s="15"/>
    </row>
    <row r="52" spans="1:16" s="3" customFormat="1" ht="12" thickBot="1" x14ac:dyDescent="0.25">
      <c r="A52" s="130" t="s">
        <v>23</v>
      </c>
      <c r="B52" s="141"/>
      <c r="C52" s="72">
        <f>SUM(C22+C41+C51)</f>
        <v>1166166.3933700002</v>
      </c>
      <c r="D52" s="72">
        <f>SUM(D22+D41+D51)</f>
        <v>1146747.1796299999</v>
      </c>
      <c r="E52" s="72">
        <f>E51+E41+E22</f>
        <v>1131772.9725225</v>
      </c>
      <c r="F52" s="72">
        <f t="shared" ref="F52:N52" si="11">F51+F41+F22</f>
        <v>1011462.5978400001</v>
      </c>
      <c r="G52" s="72">
        <f t="shared" si="11"/>
        <v>1269404.8982569999</v>
      </c>
      <c r="H52" s="72">
        <f>H51+H41+H22</f>
        <v>1315016.7446975</v>
      </c>
      <c r="I52" s="72">
        <f>I51+I41+I22</f>
        <v>1421238.41022</v>
      </c>
      <c r="J52" s="72">
        <f t="shared" si="11"/>
        <v>1133749.3656299999</v>
      </c>
      <c r="K52" s="72">
        <f t="shared" si="11"/>
        <v>1248971.74095</v>
      </c>
      <c r="L52" s="72">
        <f t="shared" si="11"/>
        <v>1247836.3624925003</v>
      </c>
      <c r="M52" s="72">
        <f t="shared" si="11"/>
        <v>1319278.4312</v>
      </c>
      <c r="N52" s="72">
        <f t="shared" si="11"/>
        <v>1234982.8541899999</v>
      </c>
      <c r="O52" s="73">
        <f>O22+O41+O51</f>
        <v>14646627.950999502</v>
      </c>
    </row>
    <row r="53" spans="1:16" s="3" customFormat="1" x14ac:dyDescent="0.2">
      <c r="A53" s="20" t="s">
        <v>24</v>
      </c>
      <c r="B53" s="6"/>
      <c r="C53" s="43">
        <v>119008.63456000001</v>
      </c>
      <c r="D53" s="43">
        <v>116331.16162</v>
      </c>
      <c r="E53" s="43">
        <v>114745.10041</v>
      </c>
      <c r="F53" s="37">
        <v>94480.532370000001</v>
      </c>
      <c r="G53" s="37">
        <v>108099.06800999999</v>
      </c>
      <c r="H53" s="54">
        <v>113867.53744</v>
      </c>
      <c r="I53" s="54">
        <v>121402.7294</v>
      </c>
      <c r="J53" s="54">
        <v>97054.933409999998</v>
      </c>
      <c r="K53" s="54">
        <v>101524.80781999999</v>
      </c>
      <c r="L53" s="54">
        <v>91464.046189999994</v>
      </c>
      <c r="M53" s="54">
        <f>104841973.78/1000</f>
        <v>104841.97378</v>
      </c>
      <c r="N53" s="54">
        <f>86994529.46/1000</f>
        <v>86994.529459999991</v>
      </c>
      <c r="O53" s="38">
        <f>SUM(C53:N53)</f>
        <v>1269815.0544699999</v>
      </c>
      <c r="P53" s="25"/>
    </row>
    <row r="54" spans="1:16" s="3" customFormat="1" x14ac:dyDescent="0.2">
      <c r="A54" s="20" t="s">
        <v>25</v>
      </c>
      <c r="B54" s="6"/>
      <c r="C54" s="37">
        <v>94919.805129999993</v>
      </c>
      <c r="D54" s="37">
        <v>92085.365390000006</v>
      </c>
      <c r="E54" s="37">
        <v>91072.338909999991</v>
      </c>
      <c r="F54" s="37">
        <v>75883.957430000009</v>
      </c>
      <c r="G54" s="37">
        <v>87005.714290000004</v>
      </c>
      <c r="H54" s="54">
        <v>91131.591370000009</v>
      </c>
      <c r="I54" s="54">
        <v>96865.060719999994</v>
      </c>
      <c r="J54" s="54">
        <v>78051.123209999991</v>
      </c>
      <c r="K54" s="54">
        <v>81739.528189999997</v>
      </c>
      <c r="L54" s="54">
        <v>74312.256849999991</v>
      </c>
      <c r="M54" s="54">
        <f>84698808.59/1000</f>
        <v>84698.808590000001</v>
      </c>
      <c r="N54" s="54">
        <f>71222460.99/1000</f>
        <v>71222.460989999992</v>
      </c>
      <c r="O54" s="38">
        <f t="shared" ref="O54:O55" si="12">SUM(C54:N54)</f>
        <v>1018988.01107</v>
      </c>
      <c r="P54" s="25"/>
    </row>
    <row r="55" spans="1:16" s="3" customFormat="1" x14ac:dyDescent="0.2">
      <c r="A55" s="20" t="s">
        <v>45</v>
      </c>
      <c r="B55" s="6"/>
      <c r="C55" s="37">
        <v>294915.15392000001</v>
      </c>
      <c r="D55" s="37">
        <v>284496.61648000003</v>
      </c>
      <c r="E55" s="37">
        <v>277464.28590999998</v>
      </c>
      <c r="F55" s="37">
        <v>259425.40700000001</v>
      </c>
      <c r="G55" s="37">
        <v>318051.83498000004</v>
      </c>
      <c r="H55" s="54">
        <v>315502.34608000005</v>
      </c>
      <c r="I55" s="54">
        <v>344159.38464</v>
      </c>
      <c r="J55" s="54">
        <v>268447.07657999999</v>
      </c>
      <c r="K55" s="54">
        <v>289313.37145999999</v>
      </c>
      <c r="L55" s="54">
        <v>303245.28794000001</v>
      </c>
      <c r="M55" s="54">
        <f>311934417.54/1000</f>
        <v>311934.41753999999</v>
      </c>
      <c r="N55" s="54">
        <f>308497262.56/1000</f>
        <v>308497.26256</v>
      </c>
      <c r="O55" s="38">
        <f t="shared" si="12"/>
        <v>3575452.4450900005</v>
      </c>
      <c r="P55" s="25"/>
    </row>
    <row r="56" spans="1:16" s="3" customFormat="1" ht="13.5" thickBot="1" x14ac:dyDescent="0.25">
      <c r="A56" s="20" t="s">
        <v>47</v>
      </c>
      <c r="B56" s="6"/>
      <c r="C56" s="37">
        <v>32928.162539999998</v>
      </c>
      <c r="D56" s="37">
        <v>42168.395975999993</v>
      </c>
      <c r="E56" s="37">
        <v>45789.46643</v>
      </c>
      <c r="F56" s="37">
        <v>40462.333829999996</v>
      </c>
      <c r="G56" s="37">
        <v>83431.007240000006</v>
      </c>
      <c r="H56" s="54">
        <v>95297.621569999988</v>
      </c>
      <c r="I56" s="54">
        <v>105712.77916000001</v>
      </c>
      <c r="J56" s="54">
        <v>89231.426109999986</v>
      </c>
      <c r="K56" s="54">
        <v>112501.79105399999</v>
      </c>
      <c r="L56" s="54">
        <v>120846.01484</v>
      </c>
      <c r="M56" s="54">
        <f>116265350.93/1000</f>
        <v>116265.35093</v>
      </c>
      <c r="N56" s="54">
        <f>99382836.75/1000</f>
        <v>99382.836750000002</v>
      </c>
      <c r="O56" s="38">
        <f>SUM(C56:N56)</f>
        <v>984017.18643</v>
      </c>
      <c r="P56" s="25"/>
    </row>
    <row r="57" spans="1:16" s="3" customFormat="1" ht="13.5" thickBot="1" x14ac:dyDescent="0.25">
      <c r="A57" s="130" t="s">
        <v>51</v>
      </c>
      <c r="B57" s="141"/>
      <c r="C57" s="72">
        <f>SUM(C53:C55)</f>
        <v>508843.59360999998</v>
      </c>
      <c r="D57" s="72">
        <f t="shared" ref="D57" si="13">SUM(D53:D55)</f>
        <v>492913.14349000005</v>
      </c>
      <c r="E57" s="72">
        <f>SUM(E53:E56)</f>
        <v>529071.19166000001</v>
      </c>
      <c r="F57" s="72">
        <f t="shared" ref="F57:N57" si="14">SUM(F53:F56)</f>
        <v>470252.23063000001</v>
      </c>
      <c r="G57" s="72">
        <f t="shared" si="14"/>
        <v>596587.62452000007</v>
      </c>
      <c r="H57" s="72">
        <f t="shared" si="14"/>
        <v>615799.09646000003</v>
      </c>
      <c r="I57" s="72">
        <f>SUM(I53:I56)</f>
        <v>668139.95392</v>
      </c>
      <c r="J57" s="72">
        <f>SUM(J53:J56)</f>
        <v>532784.55930999992</v>
      </c>
      <c r="K57" s="72">
        <f t="shared" si="14"/>
        <v>585079.49852399994</v>
      </c>
      <c r="L57" s="72">
        <f t="shared" si="14"/>
        <v>589867.60581999994</v>
      </c>
      <c r="M57" s="72">
        <f t="shared" si="14"/>
        <v>617740.55083999992</v>
      </c>
      <c r="N57" s="72">
        <f t="shared" si="14"/>
        <v>566097.08976</v>
      </c>
      <c r="O57" s="73">
        <f>SUM(C57:N57)</f>
        <v>6773176.1385439998</v>
      </c>
      <c r="P57" s="25"/>
    </row>
    <row r="58" spans="1:16" s="3" customFormat="1" ht="13.5" thickBot="1" x14ac:dyDescent="0.25">
      <c r="A58" s="20" t="s">
        <v>27</v>
      </c>
      <c r="B58" s="6"/>
      <c r="C58" s="37">
        <v>155147.08932</v>
      </c>
      <c r="D58" s="37">
        <v>153323.23306</v>
      </c>
      <c r="E58" s="37">
        <v>151211.41374749999</v>
      </c>
      <c r="F58" s="37">
        <v>134719.95079000003</v>
      </c>
      <c r="G58" s="37">
        <v>170117.36509900005</v>
      </c>
      <c r="H58" s="54">
        <v>175971.9205525</v>
      </c>
      <c r="I58" s="54">
        <v>191607.98962000001</v>
      </c>
      <c r="J58" s="54">
        <v>152241.70434</v>
      </c>
      <c r="K58" s="54">
        <v>167355.50990825001</v>
      </c>
      <c r="L58" s="54">
        <v>168856.3334075</v>
      </c>
      <c r="M58" s="54">
        <f>177131528.19/1000</f>
        <v>177131.52819000001</v>
      </c>
      <c r="N58" s="54">
        <f>162482933.29/1000</f>
        <v>162482.93328999999</v>
      </c>
      <c r="O58" s="38">
        <f>SUM(C58:N58)</f>
        <v>1960166.9713247502</v>
      </c>
      <c r="P58" s="91"/>
    </row>
    <row r="59" spans="1:16" s="3" customFormat="1" ht="13.5" thickBot="1" x14ac:dyDescent="0.25">
      <c r="A59" s="123" t="s">
        <v>60</v>
      </c>
      <c r="B59" s="134"/>
      <c r="C59" s="74">
        <f>SUM(C52+C57+C58+C56)</f>
        <v>1863085.23884</v>
      </c>
      <c r="D59" s="74">
        <f t="shared" ref="D59" si="15">SUM(D52+D57+D58+D56)</f>
        <v>1835151.9521559998</v>
      </c>
      <c r="E59" s="74">
        <f>SUM(E52,E57,E58)</f>
        <v>1812055.5779299999</v>
      </c>
      <c r="F59" s="74">
        <f t="shared" ref="F59:N59" si="16">SUM(F52,F57,F58)</f>
        <v>1616434.7792600002</v>
      </c>
      <c r="G59" s="74">
        <f t="shared" si="16"/>
        <v>2036109.887876</v>
      </c>
      <c r="H59" s="74">
        <f t="shared" si="16"/>
        <v>2106787.7617100002</v>
      </c>
      <c r="I59" s="74">
        <f>I52+I57+I58</f>
        <v>2280986.3537599999</v>
      </c>
      <c r="J59" s="74">
        <f t="shared" si="16"/>
        <v>1818775.6292799998</v>
      </c>
      <c r="K59" s="74">
        <f t="shared" si="16"/>
        <v>2001406.74938225</v>
      </c>
      <c r="L59" s="74">
        <f t="shared" si="16"/>
        <v>2006560.3017200003</v>
      </c>
      <c r="M59" s="74">
        <f t="shared" si="16"/>
        <v>2114150.5102300001</v>
      </c>
      <c r="N59" s="74">
        <f t="shared" si="16"/>
        <v>1963562.8772399998</v>
      </c>
      <c r="O59" s="75">
        <f>SUM(C59:N59)</f>
        <v>23455067.619384252</v>
      </c>
      <c r="P59" s="25"/>
    </row>
    <row r="60" spans="1:16" s="98" customFormat="1" ht="13.5" thickBot="1" x14ac:dyDescent="0.25">
      <c r="A60" s="99"/>
      <c r="B60" s="99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97"/>
    </row>
    <row r="61" spans="1:16" s="3" customFormat="1" x14ac:dyDescent="0.2">
      <c r="A61" s="108" t="s">
        <v>50</v>
      </c>
      <c r="B61" s="114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6"/>
      <c r="P61" s="25"/>
    </row>
    <row r="62" spans="1:16" s="3" customFormat="1" x14ac:dyDescent="0.2">
      <c r="A62" s="127" t="s">
        <v>1</v>
      </c>
      <c r="B62" s="6" t="s">
        <v>2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 t="s">
        <v>61</v>
      </c>
      <c r="K62" s="44">
        <v>0</v>
      </c>
      <c r="L62" s="44">
        <v>0</v>
      </c>
      <c r="M62" s="44">
        <v>0</v>
      </c>
      <c r="N62" s="44">
        <v>0</v>
      </c>
      <c r="O62" s="45">
        <f>SUM(C62:N62)</f>
        <v>0</v>
      </c>
      <c r="P62" s="25"/>
    </row>
    <row r="63" spans="1:16" s="3" customFormat="1" x14ac:dyDescent="0.2">
      <c r="A63" s="127"/>
      <c r="B63" s="6" t="s">
        <v>3</v>
      </c>
      <c r="C63" s="44">
        <v>0</v>
      </c>
      <c r="D63" s="44">
        <v>11398.365820000001</v>
      </c>
      <c r="E63" s="44">
        <v>0</v>
      </c>
      <c r="F63" s="44">
        <v>0</v>
      </c>
      <c r="G63" s="44">
        <v>10039.521839999999</v>
      </c>
      <c r="H63" s="44">
        <v>0</v>
      </c>
      <c r="I63" s="44">
        <v>24126.757300000001</v>
      </c>
      <c r="J63" s="44">
        <v>10395.62911</v>
      </c>
      <c r="K63" s="44">
        <v>0</v>
      </c>
      <c r="L63" s="44">
        <v>2.6786500000000002</v>
      </c>
      <c r="M63" s="44">
        <v>9706.8586000000014</v>
      </c>
      <c r="N63" s="44">
        <v>0</v>
      </c>
      <c r="O63" s="45">
        <f t="shared" ref="O63:O70" si="17">SUM(C63:N63)</f>
        <v>65669.811320000008</v>
      </c>
      <c r="P63" s="25"/>
    </row>
    <row r="64" spans="1:16" s="3" customFormat="1" x14ac:dyDescent="0.2">
      <c r="A64" s="127"/>
      <c r="B64" s="6" t="s">
        <v>4</v>
      </c>
      <c r="C64" s="44">
        <v>0</v>
      </c>
      <c r="D64" s="44">
        <v>1593.6460400000001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383.90201000000002</v>
      </c>
      <c r="N64" s="44">
        <v>0</v>
      </c>
      <c r="O64" s="45">
        <f t="shared" si="17"/>
        <v>1977.5480500000001</v>
      </c>
      <c r="P64" s="25"/>
    </row>
    <row r="65" spans="1:16" s="3" customFormat="1" x14ac:dyDescent="0.2">
      <c r="A65" s="127"/>
      <c r="B65" s="6" t="s">
        <v>6</v>
      </c>
      <c r="C65" s="44">
        <v>0</v>
      </c>
      <c r="D65" s="44">
        <v>286076.37048000004</v>
      </c>
      <c r="E65" s="44">
        <v>129.36757</v>
      </c>
      <c r="F65" s="44">
        <v>614329.44761000003</v>
      </c>
      <c r="G65" s="44">
        <v>355401.30395999999</v>
      </c>
      <c r="H65" s="44">
        <v>19669.476039999998</v>
      </c>
      <c r="I65" s="44">
        <v>19997.639890000002</v>
      </c>
      <c r="J65" s="44">
        <v>378370.62326999998</v>
      </c>
      <c r="K65" s="44">
        <v>19977.176760000002</v>
      </c>
      <c r="L65" s="44">
        <v>20074.5504</v>
      </c>
      <c r="M65" s="44">
        <v>298147.83169000002</v>
      </c>
      <c r="N65" s="44">
        <v>20257.612840000002</v>
      </c>
      <c r="O65" s="45">
        <f t="shared" si="17"/>
        <v>2032431.4005100005</v>
      </c>
      <c r="P65" s="25"/>
    </row>
    <row r="66" spans="1:16" s="3" customFormat="1" x14ac:dyDescent="0.2">
      <c r="A66" s="127"/>
      <c r="B66" s="6" t="s">
        <v>46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5">
        <f t="shared" si="17"/>
        <v>0</v>
      </c>
      <c r="P66" s="25"/>
    </row>
    <row r="67" spans="1:16" s="3" customFormat="1" ht="11.25" x14ac:dyDescent="0.2">
      <c r="A67" s="127"/>
      <c r="B67" s="6" t="s">
        <v>8</v>
      </c>
      <c r="C67" s="44">
        <v>0</v>
      </c>
      <c r="D67" s="44">
        <v>2462973.4786200002</v>
      </c>
      <c r="E67" s="44">
        <v>6.2203900000000001</v>
      </c>
      <c r="F67" s="44">
        <v>0</v>
      </c>
      <c r="G67" s="44">
        <v>2109097.6254599998</v>
      </c>
      <c r="H67" s="44">
        <v>0</v>
      </c>
      <c r="I67" s="44">
        <v>731.13837999999987</v>
      </c>
      <c r="J67" s="44">
        <v>2136997.3801700003</v>
      </c>
      <c r="K67" s="44">
        <v>0</v>
      </c>
      <c r="L67" s="44">
        <v>0</v>
      </c>
      <c r="M67" s="44">
        <v>2157627.8204700002</v>
      </c>
      <c r="N67" s="44">
        <v>19458.03775</v>
      </c>
      <c r="O67" s="45">
        <f t="shared" si="17"/>
        <v>8886891.7012400012</v>
      </c>
    </row>
    <row r="68" spans="1:16" s="3" customFormat="1" ht="11.25" x14ac:dyDescent="0.2">
      <c r="A68" s="127"/>
      <c r="B68" s="6" t="s">
        <v>9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5">
        <f t="shared" si="17"/>
        <v>0</v>
      </c>
    </row>
    <row r="69" spans="1:16" s="3" customFormat="1" ht="11.25" x14ac:dyDescent="0.2">
      <c r="A69" s="127"/>
      <c r="B69" s="6" t="s">
        <v>11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5">
        <f t="shared" si="17"/>
        <v>0</v>
      </c>
    </row>
    <row r="70" spans="1:16" s="3" customFormat="1" ht="12" thickBot="1" x14ac:dyDescent="0.25">
      <c r="A70" s="128"/>
      <c r="B70" s="7" t="s">
        <v>10</v>
      </c>
      <c r="C70" s="101">
        <v>0</v>
      </c>
      <c r="D70" s="101">
        <v>432280.80875999999</v>
      </c>
      <c r="E70" s="101">
        <v>2.3630599999999999</v>
      </c>
      <c r="F70" s="101">
        <v>0</v>
      </c>
      <c r="G70" s="101">
        <v>375055.72889999999</v>
      </c>
      <c r="H70" s="101">
        <v>0</v>
      </c>
      <c r="I70" s="44">
        <v>0</v>
      </c>
      <c r="J70" s="44">
        <v>430688.28145999997</v>
      </c>
      <c r="K70" s="44">
        <v>0</v>
      </c>
      <c r="L70" s="44">
        <v>0</v>
      </c>
      <c r="M70" s="44">
        <v>351563.25406999997</v>
      </c>
      <c r="N70" s="44">
        <v>0</v>
      </c>
      <c r="O70" s="102">
        <f t="shared" si="17"/>
        <v>1589590.43625</v>
      </c>
    </row>
    <row r="71" spans="1:16" s="3" customFormat="1" ht="13.5" customHeight="1" thickBot="1" x14ac:dyDescent="0.25">
      <c r="A71" s="130" t="s">
        <v>12</v>
      </c>
      <c r="B71" s="131"/>
      <c r="C71" s="56">
        <f t="shared" ref="C71:H71" si="18">SUM(C62:C70)</f>
        <v>0</v>
      </c>
      <c r="D71" s="56">
        <f t="shared" si="18"/>
        <v>3194322.6697200001</v>
      </c>
      <c r="E71" s="56">
        <f t="shared" si="18"/>
        <v>137.95102</v>
      </c>
      <c r="F71" s="56">
        <f t="shared" si="18"/>
        <v>614329.44761000003</v>
      </c>
      <c r="G71" s="56">
        <f t="shared" si="18"/>
        <v>2849594.1801599995</v>
      </c>
      <c r="H71" s="56">
        <f t="shared" si="18"/>
        <v>19669.476039999998</v>
      </c>
      <c r="I71" s="56">
        <f t="shared" ref="I71:J71" si="19">SUM(I62:I70)</f>
        <v>44855.53557</v>
      </c>
      <c r="J71" s="56">
        <f t="shared" si="19"/>
        <v>2956451.9140100004</v>
      </c>
      <c r="K71" s="56">
        <f t="shared" ref="K71:N71" si="20">SUM(K62:K70)</f>
        <v>19977.176760000002</v>
      </c>
      <c r="L71" s="56">
        <f t="shared" si="20"/>
        <v>20077.229050000002</v>
      </c>
      <c r="M71" s="56">
        <f t="shared" ref="M71" si="21">SUM(M62:M70)</f>
        <v>2817429.6668400001</v>
      </c>
      <c r="N71" s="56">
        <f t="shared" si="20"/>
        <v>39715.650590000005</v>
      </c>
      <c r="O71" s="57">
        <f>SUM(C71:N71)</f>
        <v>12576560.897369999</v>
      </c>
    </row>
    <row r="72" spans="1:16" s="3" customFormat="1" ht="11.25" x14ac:dyDescent="0.2">
      <c r="A72" s="129" t="s">
        <v>13</v>
      </c>
      <c r="B72" s="6" t="s">
        <v>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5">
        <f>SUM(C72:N72)</f>
        <v>0</v>
      </c>
    </row>
    <row r="73" spans="1:16" s="3" customFormat="1" ht="11.25" x14ac:dyDescent="0.2">
      <c r="A73" s="127"/>
      <c r="B73" s="6" t="s">
        <v>3</v>
      </c>
      <c r="C73" s="46">
        <v>0</v>
      </c>
      <c r="D73" s="46">
        <v>2849.5914600000001</v>
      </c>
      <c r="E73" s="46">
        <v>0</v>
      </c>
      <c r="F73" s="46">
        <v>0</v>
      </c>
      <c r="G73" s="46">
        <v>2509.8804599999999</v>
      </c>
      <c r="H73" s="46">
        <v>0</v>
      </c>
      <c r="I73" s="46">
        <v>13120.6145</v>
      </c>
      <c r="J73" s="46">
        <v>2598.9072799999999</v>
      </c>
      <c r="K73" s="46">
        <v>0</v>
      </c>
      <c r="L73" s="46">
        <v>0.6696700000000001</v>
      </c>
      <c r="M73" s="46">
        <v>2426.7146600000001</v>
      </c>
      <c r="N73" s="46">
        <v>0</v>
      </c>
      <c r="O73" s="45">
        <f t="shared" ref="O73:O80" si="22">SUM(C73:N73)</f>
        <v>23506.37803</v>
      </c>
    </row>
    <row r="74" spans="1:16" s="3" customFormat="1" ht="11.25" x14ac:dyDescent="0.2">
      <c r="A74" s="127"/>
      <c r="B74" s="6" t="s">
        <v>4</v>
      </c>
      <c r="C74" s="46">
        <v>0</v>
      </c>
      <c r="D74" s="46">
        <v>398.41151000000002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95.975499999999997</v>
      </c>
      <c r="N74" s="46">
        <v>0</v>
      </c>
      <c r="O74" s="45">
        <f t="shared" si="22"/>
        <v>494.38701000000003</v>
      </c>
    </row>
    <row r="75" spans="1:16" s="3" customFormat="1" ht="11.25" x14ac:dyDescent="0.2">
      <c r="A75" s="127"/>
      <c r="B75" s="8" t="s">
        <v>6</v>
      </c>
      <c r="C75" s="46">
        <v>0</v>
      </c>
      <c r="D75" s="46">
        <v>71519.092629999999</v>
      </c>
      <c r="E75" s="46">
        <v>32.341889999999999</v>
      </c>
      <c r="F75" s="46">
        <v>153582.36190000002</v>
      </c>
      <c r="G75" s="46">
        <v>88850.326010000004</v>
      </c>
      <c r="H75" s="46">
        <v>4917.3690099999994</v>
      </c>
      <c r="I75" s="46">
        <v>4999.4099800000004</v>
      </c>
      <c r="J75" s="46">
        <v>94592.65578999999</v>
      </c>
      <c r="K75" s="46">
        <v>4994.2941900000005</v>
      </c>
      <c r="L75" s="46">
        <v>5018.6376</v>
      </c>
      <c r="M75" s="46">
        <v>74536.957920000001</v>
      </c>
      <c r="N75" s="46">
        <v>5064.4032200000001</v>
      </c>
      <c r="O75" s="45">
        <f t="shared" si="22"/>
        <v>508107.85014000005</v>
      </c>
    </row>
    <row r="76" spans="1:16" s="3" customFormat="1" ht="11.25" x14ac:dyDescent="0.2">
      <c r="A76" s="127"/>
      <c r="B76" s="8" t="s">
        <v>46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5">
        <f t="shared" si="22"/>
        <v>0</v>
      </c>
    </row>
    <row r="77" spans="1:16" s="3" customFormat="1" ht="11.25" x14ac:dyDescent="0.2">
      <c r="A77" s="127"/>
      <c r="B77" s="8" t="s">
        <v>8</v>
      </c>
      <c r="C77" s="46">
        <v>0</v>
      </c>
      <c r="D77" s="46">
        <v>615743.36967000016</v>
      </c>
      <c r="E77" s="46">
        <v>1.5550899999999999</v>
      </c>
      <c r="F77" s="46">
        <v>0</v>
      </c>
      <c r="G77" s="46">
        <v>527274.40636000002</v>
      </c>
      <c r="H77" s="46">
        <v>0</v>
      </c>
      <c r="I77" s="46">
        <v>182.78456999999997</v>
      </c>
      <c r="J77" s="46">
        <v>534249.34506000008</v>
      </c>
      <c r="K77" s="46">
        <v>0</v>
      </c>
      <c r="L77" s="46">
        <v>0</v>
      </c>
      <c r="M77" s="46">
        <v>539406.95510999986</v>
      </c>
      <c r="N77" s="46">
        <v>4864.5094500000005</v>
      </c>
      <c r="O77" s="45">
        <f t="shared" si="22"/>
        <v>2221722.9253099998</v>
      </c>
    </row>
    <row r="78" spans="1:16" s="3" customFormat="1" ht="11.25" x14ac:dyDescent="0.2">
      <c r="A78" s="127"/>
      <c r="B78" s="8" t="s">
        <v>9</v>
      </c>
      <c r="C78" s="46"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5">
        <f t="shared" si="22"/>
        <v>0</v>
      </c>
    </row>
    <row r="79" spans="1:16" s="3" customFormat="1" ht="11.25" x14ac:dyDescent="0.2">
      <c r="A79" s="127"/>
      <c r="B79" s="8" t="s">
        <v>11</v>
      </c>
      <c r="C79" s="46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5">
        <f t="shared" si="22"/>
        <v>0</v>
      </c>
    </row>
    <row r="80" spans="1:16" s="3" customFormat="1" ht="12" thickBot="1" x14ac:dyDescent="0.25">
      <c r="A80" s="128"/>
      <c r="B80" s="8" t="s">
        <v>10</v>
      </c>
      <c r="C80" s="46">
        <v>0</v>
      </c>
      <c r="D80" s="46">
        <v>108070.20217</v>
      </c>
      <c r="E80" s="46">
        <v>0.59075999999999995</v>
      </c>
      <c r="F80" s="46">
        <v>0</v>
      </c>
      <c r="G80" s="46">
        <v>93763.932229999991</v>
      </c>
      <c r="H80" s="46">
        <v>0</v>
      </c>
      <c r="I80" s="46">
        <v>0</v>
      </c>
      <c r="J80" s="46">
        <v>107672.07036999997</v>
      </c>
      <c r="K80" s="46">
        <v>0</v>
      </c>
      <c r="L80" s="46">
        <v>0</v>
      </c>
      <c r="M80" s="46">
        <v>87890.813520000011</v>
      </c>
      <c r="N80" s="46">
        <v>0</v>
      </c>
      <c r="O80" s="45">
        <f t="shared" si="22"/>
        <v>397397.60905000003</v>
      </c>
    </row>
    <row r="81" spans="1:16" s="3" customFormat="1" ht="13.5" customHeight="1" thickBot="1" x14ac:dyDescent="0.25">
      <c r="A81" s="130" t="s">
        <v>21</v>
      </c>
      <c r="B81" s="131"/>
      <c r="C81" s="58">
        <f t="shared" ref="C81:G81" si="23">SUM(C72:C80)</f>
        <v>0</v>
      </c>
      <c r="D81" s="58">
        <f t="shared" si="23"/>
        <v>798580.66744000022</v>
      </c>
      <c r="E81" s="58">
        <f t="shared" si="23"/>
        <v>34.487740000000002</v>
      </c>
      <c r="F81" s="58">
        <f t="shared" si="23"/>
        <v>153582.36190000002</v>
      </c>
      <c r="G81" s="58">
        <f t="shared" si="23"/>
        <v>712398.54506000003</v>
      </c>
      <c r="H81" s="58">
        <f t="shared" ref="H81:J81" si="24">SUM(H72:H80)</f>
        <v>4917.3690099999994</v>
      </c>
      <c r="I81" s="58">
        <f t="shared" si="24"/>
        <v>18302.80905</v>
      </c>
      <c r="J81" s="58">
        <f t="shared" si="24"/>
        <v>739112.97850000008</v>
      </c>
      <c r="K81" s="58">
        <f t="shared" ref="K81:N81" si="25">SUM(K72:K80)</f>
        <v>4994.2941900000005</v>
      </c>
      <c r="L81" s="58">
        <f t="shared" si="25"/>
        <v>5019.3072700000002</v>
      </c>
      <c r="M81" s="58">
        <f t="shared" ref="M81" si="26">SUM(M72:M80)</f>
        <v>704357.41670999979</v>
      </c>
      <c r="N81" s="58">
        <f t="shared" si="25"/>
        <v>9928.9126700000015</v>
      </c>
      <c r="O81" s="57">
        <f t="shared" ref="O81:O89" si="27">SUM(C81:N81)</f>
        <v>3151229.1495400001</v>
      </c>
      <c r="P81" s="18"/>
    </row>
    <row r="82" spans="1:16" s="3" customFormat="1" ht="12.75" customHeight="1" thickBot="1" x14ac:dyDescent="0.25">
      <c r="A82" s="130" t="s">
        <v>43</v>
      </c>
      <c r="B82" s="131"/>
      <c r="C82" s="61"/>
      <c r="D82" s="61">
        <v>25613.244190000001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515337.07261000003</v>
      </c>
      <c r="K82" s="61">
        <v>0</v>
      </c>
      <c r="L82" s="61">
        <v>0</v>
      </c>
      <c r="M82" s="61">
        <v>494765.15422249102</v>
      </c>
      <c r="N82" s="61">
        <v>0</v>
      </c>
      <c r="O82" s="62">
        <f t="shared" si="27"/>
        <v>1035715.4710224911</v>
      </c>
    </row>
    <row r="83" spans="1:16" s="3" customFormat="1" ht="13.5" customHeight="1" thickBot="1" x14ac:dyDescent="0.25">
      <c r="A83" s="132" t="s">
        <v>53</v>
      </c>
      <c r="B83" s="133"/>
      <c r="C83" s="59">
        <f t="shared" ref="C83" si="28">C71+C81+C82</f>
        <v>0</v>
      </c>
      <c r="D83" s="59">
        <f t="shared" ref="D83:G83" si="29">D71+D81+D82</f>
        <v>4018516.5813500006</v>
      </c>
      <c r="E83" s="59">
        <f t="shared" si="29"/>
        <v>172.43876</v>
      </c>
      <c r="F83" s="59">
        <f t="shared" si="29"/>
        <v>767911.80951000005</v>
      </c>
      <c r="G83" s="59">
        <f t="shared" si="29"/>
        <v>3561992.7252199994</v>
      </c>
      <c r="H83" s="59">
        <f t="shared" ref="H83:I83" si="30">H71+H81+H82</f>
        <v>24586.845049999996</v>
      </c>
      <c r="I83" s="59">
        <f t="shared" si="30"/>
        <v>63158.344620000003</v>
      </c>
      <c r="J83" s="59">
        <f>J71+J81+J82</f>
        <v>4210901.9651200008</v>
      </c>
      <c r="K83" s="59">
        <f t="shared" ref="K83:L83" si="31">K71+K81+K82</f>
        <v>24971.470950000003</v>
      </c>
      <c r="L83" s="59">
        <f t="shared" si="31"/>
        <v>25096.536320000003</v>
      </c>
      <c r="M83" s="59">
        <f t="shared" ref="M83" si="32">M71+M81+M82</f>
        <v>4016552.2377724908</v>
      </c>
      <c r="N83" s="59">
        <f>N71+N81+N82</f>
        <v>49644.56326000001</v>
      </c>
      <c r="O83" s="60">
        <f>SUM(C83:N83)</f>
        <v>16763505.517932491</v>
      </c>
    </row>
    <row r="84" spans="1:16" s="3" customFormat="1" ht="11.25" x14ac:dyDescent="0.2">
      <c r="A84" s="20" t="s">
        <v>29</v>
      </c>
      <c r="B84" s="8"/>
      <c r="C84" s="47">
        <v>0</v>
      </c>
      <c r="D84" s="46">
        <v>106075.51371</v>
      </c>
      <c r="E84" s="47">
        <v>13.93901</v>
      </c>
      <c r="F84" s="47">
        <v>33521.98201</v>
      </c>
      <c r="G84" s="47">
        <v>87191.103819999989</v>
      </c>
      <c r="H84" s="47">
        <v>1299.1688899999999</v>
      </c>
      <c r="I84" s="47">
        <v>14618.08498302517</v>
      </c>
      <c r="J84" s="47">
        <v>95920.707710000002</v>
      </c>
      <c r="K84" s="47">
        <v>1319.49253</v>
      </c>
      <c r="L84" s="47">
        <v>1326.5937200000001</v>
      </c>
      <c r="M84" s="47">
        <v>60417.539610000007</v>
      </c>
      <c r="N84" s="47">
        <v>6202.52477</v>
      </c>
      <c r="O84" s="45">
        <f t="shared" si="27"/>
        <v>407906.65076302516</v>
      </c>
    </row>
    <row r="85" spans="1:16" s="3" customFormat="1" ht="11.25" x14ac:dyDescent="0.2">
      <c r="A85" s="20" t="s">
        <v>28</v>
      </c>
      <c r="B85" s="8"/>
      <c r="C85" s="47">
        <v>0</v>
      </c>
      <c r="D85" s="46">
        <v>424302.05486999999</v>
      </c>
      <c r="E85" s="47">
        <v>55.756120000000003</v>
      </c>
      <c r="F85" s="47">
        <v>134087.92804</v>
      </c>
      <c r="G85" s="47">
        <v>348764.41535000002</v>
      </c>
      <c r="H85" s="47">
        <v>5196.6755700000003</v>
      </c>
      <c r="I85" s="47">
        <v>58472.339902100684</v>
      </c>
      <c r="J85" s="47">
        <v>383682.83079999994</v>
      </c>
      <c r="K85" s="47">
        <v>5277.9700899999998</v>
      </c>
      <c r="L85" s="47">
        <v>5306.3748599999999</v>
      </c>
      <c r="M85" s="47">
        <v>241670.15840000004</v>
      </c>
      <c r="N85" s="47">
        <v>24810.099050000001</v>
      </c>
      <c r="O85" s="45">
        <f t="shared" si="27"/>
        <v>1631626.6030521009</v>
      </c>
    </row>
    <row r="86" spans="1:16" s="3" customFormat="1" ht="11.25" x14ac:dyDescent="0.2">
      <c r="A86" s="20" t="s">
        <v>45</v>
      </c>
      <c r="B86" s="8"/>
      <c r="C86" s="47">
        <v>0</v>
      </c>
      <c r="D86" s="46">
        <v>3462525.7685799999</v>
      </c>
      <c r="E86" s="47">
        <v>102.74363000000001</v>
      </c>
      <c r="F86" s="47">
        <v>600301.89945000003</v>
      </c>
      <c r="G86" s="47">
        <v>3126037.2060099998</v>
      </c>
      <c r="H86" s="47">
        <v>18091.00059</v>
      </c>
      <c r="I86" s="47">
        <v>18423.620460000002</v>
      </c>
      <c r="J86" s="47">
        <v>3204690.70982</v>
      </c>
      <c r="K86" s="47">
        <v>18374.008320000001</v>
      </c>
      <c r="L86" s="47">
        <v>18463.567729999999</v>
      </c>
      <c r="M86" s="47">
        <v>3179952.1790800006</v>
      </c>
      <c r="N86" s="47">
        <v>18631.939420000002</v>
      </c>
      <c r="O86" s="45">
        <f t="shared" si="27"/>
        <v>13665594.64309</v>
      </c>
    </row>
    <row r="87" spans="1:16" s="3" customFormat="1" ht="11.25" x14ac:dyDescent="0.2">
      <c r="A87" s="104" t="s">
        <v>62</v>
      </c>
      <c r="B87" s="105"/>
      <c r="C87" s="47">
        <v>0</v>
      </c>
      <c r="D87" s="46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8452.98315</v>
      </c>
      <c r="K87" s="47">
        <v>0</v>
      </c>
      <c r="L87" s="47">
        <v>0</v>
      </c>
      <c r="M87" s="47">
        <v>29810.404839999999</v>
      </c>
      <c r="N87" s="47">
        <v>0</v>
      </c>
      <c r="O87" s="45">
        <f t="shared" si="27"/>
        <v>38263.387990000003</v>
      </c>
    </row>
    <row r="88" spans="1:16" s="3" customFormat="1" ht="12" thickBot="1" x14ac:dyDescent="0.25">
      <c r="A88" s="104" t="s">
        <v>63</v>
      </c>
      <c r="B88" s="105"/>
      <c r="C88" s="47">
        <v>0</v>
      </c>
      <c r="D88" s="46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2817.66104</v>
      </c>
      <c r="K88" s="47">
        <v>0</v>
      </c>
      <c r="L88" s="47">
        <v>0</v>
      </c>
      <c r="M88" s="47">
        <v>9936.8016099999986</v>
      </c>
      <c r="N88" s="47">
        <v>0</v>
      </c>
      <c r="O88" s="45">
        <f t="shared" si="27"/>
        <v>12754.462649999998</v>
      </c>
    </row>
    <row r="89" spans="1:16" s="3" customFormat="1" ht="13.5" customHeight="1" thickBot="1" x14ac:dyDescent="0.25">
      <c r="A89" s="130" t="s">
        <v>26</v>
      </c>
      <c r="B89" s="131"/>
      <c r="C89" s="58">
        <f>SUM(C84:C88)</f>
        <v>0</v>
      </c>
      <c r="D89" s="58">
        <f t="shared" ref="D89:I89" si="33">SUM(D84:D88)</f>
        <v>3992903.3371599996</v>
      </c>
      <c r="E89" s="58">
        <f t="shared" si="33"/>
        <v>172.43876</v>
      </c>
      <c r="F89" s="58">
        <f t="shared" si="33"/>
        <v>767911.80949999997</v>
      </c>
      <c r="G89" s="58">
        <f t="shared" si="33"/>
        <v>3561992.7251800001</v>
      </c>
      <c r="H89" s="58">
        <f t="shared" si="33"/>
        <v>24586.84505</v>
      </c>
      <c r="I89" s="58">
        <f t="shared" si="33"/>
        <v>91514.045345125865</v>
      </c>
      <c r="J89" s="58">
        <f>SUM(J84:J88)</f>
        <v>3695564.8925200002</v>
      </c>
      <c r="K89" s="58">
        <f>SUM(K84:K88)</f>
        <v>24971.470939999999</v>
      </c>
      <c r="L89" s="58">
        <f>SUM(L84:L88)</f>
        <v>25096.53631</v>
      </c>
      <c r="M89" s="58">
        <f>SUM(M84:M88)</f>
        <v>3521787.0835400005</v>
      </c>
      <c r="N89" s="58">
        <f>SUM(N84:N88)</f>
        <v>49644.563240000003</v>
      </c>
      <c r="O89" s="57">
        <f t="shared" si="27"/>
        <v>15756145.747545123</v>
      </c>
    </row>
    <row r="90" spans="1:16" s="3" customFormat="1" ht="13.5" customHeight="1" thickBot="1" x14ac:dyDescent="0.25">
      <c r="A90" s="123" t="s">
        <v>52</v>
      </c>
      <c r="B90" s="124"/>
      <c r="C90" s="63">
        <f t="shared" ref="C90" si="34">C83+C89</f>
        <v>0</v>
      </c>
      <c r="D90" s="63">
        <f>D83+D89</f>
        <v>8011419.9185100002</v>
      </c>
      <c r="E90" s="63">
        <f>E83+E89</f>
        <v>344.87752</v>
      </c>
      <c r="F90" s="63">
        <f t="shared" ref="F90:I90" si="35">F83+F89</f>
        <v>1535823.61901</v>
      </c>
      <c r="G90" s="63">
        <f t="shared" si="35"/>
        <v>7123985.4503999995</v>
      </c>
      <c r="H90" s="63">
        <f t="shared" si="35"/>
        <v>49173.690099999993</v>
      </c>
      <c r="I90" s="63">
        <f t="shared" si="35"/>
        <v>154672.38996512588</v>
      </c>
      <c r="J90" s="63">
        <f>J83+J89</f>
        <v>7906466.857640001</v>
      </c>
      <c r="K90" s="63">
        <f t="shared" ref="K90:L90" si="36">K83+K89</f>
        <v>49942.941890000002</v>
      </c>
      <c r="L90" s="63">
        <f t="shared" si="36"/>
        <v>50193.072630000002</v>
      </c>
      <c r="M90" s="93">
        <f>M83+M89</f>
        <v>7538339.3213124909</v>
      </c>
      <c r="N90" s="93">
        <f>N83+N89</f>
        <v>99289.126500000013</v>
      </c>
      <c r="O90" s="64">
        <f>O83+O89</f>
        <v>32519651.265477613</v>
      </c>
      <c r="P90" s="17"/>
    </row>
    <row r="91" spans="1:16" s="3" customFormat="1" ht="13.5" customHeight="1" thickBot="1" x14ac:dyDescent="0.2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103"/>
      <c r="M91" s="103"/>
      <c r="N91" s="103"/>
      <c r="O91" s="79"/>
      <c r="P91" s="80"/>
    </row>
    <row r="92" spans="1:16" s="3" customFormat="1" ht="12" thickBot="1" x14ac:dyDescent="0.25">
      <c r="A92" s="135" t="s">
        <v>55</v>
      </c>
      <c r="B92" s="136"/>
      <c r="C92" s="96">
        <v>263499.91653000005</v>
      </c>
      <c r="D92" s="96">
        <v>452.71903000000003</v>
      </c>
      <c r="E92" s="96">
        <v>0.25251999999999997</v>
      </c>
      <c r="F92" s="96">
        <v>1.5165500000000001</v>
      </c>
      <c r="G92" s="63">
        <v>14.24779</v>
      </c>
      <c r="H92" s="63">
        <v>1188.3317</v>
      </c>
      <c r="I92" s="63">
        <v>283.01905999999997</v>
      </c>
      <c r="J92" s="63">
        <v>1142.75865</v>
      </c>
      <c r="K92" s="63">
        <v>1163.8451699999998</v>
      </c>
      <c r="L92" s="92">
        <v>0</v>
      </c>
      <c r="M92" s="92">
        <v>3657.6731199999999</v>
      </c>
      <c r="N92" s="92">
        <v>1547.5192299999999</v>
      </c>
      <c r="O92" s="67">
        <f>SUM(C92:N92)</f>
        <v>272951.79934999993</v>
      </c>
    </row>
    <row r="93" spans="1:16" s="3" customFormat="1" ht="12" thickBot="1" x14ac:dyDescent="0.25">
      <c r="A93" s="137" t="s">
        <v>57</v>
      </c>
      <c r="B93" s="138"/>
      <c r="C93" s="87">
        <v>0</v>
      </c>
      <c r="D93" s="87">
        <v>0</v>
      </c>
      <c r="E93" s="87">
        <f>0.13215267*1000</f>
        <v>132.15267</v>
      </c>
      <c r="F93" s="87">
        <v>0</v>
      </c>
      <c r="G93" s="87">
        <v>0</v>
      </c>
      <c r="H93" s="87">
        <v>0</v>
      </c>
      <c r="I93" s="87">
        <v>0</v>
      </c>
      <c r="J93" s="87">
        <v>0</v>
      </c>
      <c r="K93" s="87">
        <v>0</v>
      </c>
      <c r="L93" s="87">
        <v>0</v>
      </c>
      <c r="M93" s="87">
        <f>69960000000/1000</f>
        <v>69960000</v>
      </c>
      <c r="N93" s="87">
        <v>0</v>
      </c>
      <c r="O93" s="88">
        <f>SUM(C93:N93)</f>
        <v>69960132.152669996</v>
      </c>
    </row>
    <row r="94" spans="1:16" s="3" customFormat="1" ht="14.25" customHeight="1" thickTop="1" thickBot="1" x14ac:dyDescent="0.25">
      <c r="A94" s="125" t="s">
        <v>54</v>
      </c>
      <c r="B94" s="126"/>
      <c r="C94" s="84">
        <f t="shared" ref="C94:N94" si="37">SUM(C59+C92+C93)+C90</f>
        <v>2126585.1553699998</v>
      </c>
      <c r="D94" s="84">
        <f t="shared" si="37"/>
        <v>9847024.5896959994</v>
      </c>
      <c r="E94" s="84">
        <f>SUM(E59+E92+E93)+E90</f>
        <v>1812532.8606400001</v>
      </c>
      <c r="F94" s="84">
        <f t="shared" si="37"/>
        <v>3152259.9148200005</v>
      </c>
      <c r="G94" s="84">
        <f t="shared" si="37"/>
        <v>9160109.5860660002</v>
      </c>
      <c r="H94" s="84">
        <f t="shared" si="37"/>
        <v>2157149.78351</v>
      </c>
      <c r="I94" s="84">
        <f t="shared" si="37"/>
        <v>2435941.7627851255</v>
      </c>
      <c r="J94" s="84">
        <f t="shared" si="37"/>
        <v>9726385.2455700003</v>
      </c>
      <c r="K94" s="84">
        <f t="shared" si="37"/>
        <v>2052513.53644225</v>
      </c>
      <c r="L94" s="94">
        <f t="shared" si="37"/>
        <v>2056753.3743500004</v>
      </c>
      <c r="M94" s="94">
        <f>SUM(M59+M92+M93)+M90</f>
        <v>79616147.504662484</v>
      </c>
      <c r="N94" s="94">
        <f t="shared" si="37"/>
        <v>2064399.5229699998</v>
      </c>
      <c r="O94" s="85">
        <f>SUM(C94:N94)</f>
        <v>126207802.83688186</v>
      </c>
    </row>
    <row r="95" spans="1:16" s="3" customFormat="1" ht="14.25" customHeight="1" thickTop="1" thickBot="1" x14ac:dyDescent="0.25">
      <c r="A95" s="81"/>
      <c r="B95" s="81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3"/>
    </row>
    <row r="96" spans="1:16" s="3" customFormat="1" ht="13.5" customHeight="1" x14ac:dyDescent="0.2">
      <c r="A96" s="139" t="s">
        <v>56</v>
      </c>
      <c r="B96" s="14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1"/>
    </row>
    <row r="97" spans="1:16" s="3" customFormat="1" ht="11.25" x14ac:dyDescent="0.2">
      <c r="A97" s="127" t="s">
        <v>1</v>
      </c>
      <c r="B97" s="8" t="s">
        <v>2</v>
      </c>
      <c r="C97" s="48">
        <v>387.70747999999998</v>
      </c>
      <c r="D97" s="48">
        <v>379.16667000000001</v>
      </c>
      <c r="E97" s="48">
        <v>334.15312</v>
      </c>
      <c r="F97" s="48">
        <v>289.61332999999996</v>
      </c>
      <c r="G97" s="48">
        <v>342.39420000000001</v>
      </c>
      <c r="H97" s="48">
        <v>320.52474000000007</v>
      </c>
      <c r="I97" s="48">
        <v>317.57153</v>
      </c>
      <c r="J97" s="48">
        <v>265.21241000000003</v>
      </c>
      <c r="K97" s="48">
        <v>271.33651000000003</v>
      </c>
      <c r="L97" s="48">
        <v>286.77577000000002</v>
      </c>
      <c r="M97" s="48">
        <v>324.12394999999998</v>
      </c>
      <c r="N97" s="52">
        <v>305.43448999999998</v>
      </c>
      <c r="O97" s="52">
        <f>SUM(C97:N97)</f>
        <v>3824.014200000001</v>
      </c>
    </row>
    <row r="98" spans="1:16" s="3" customFormat="1" ht="11.25" x14ac:dyDescent="0.2">
      <c r="A98" s="127"/>
      <c r="B98" s="8" t="s">
        <v>3</v>
      </c>
      <c r="C98" s="48">
        <v>3025.2748700000002</v>
      </c>
      <c r="D98" s="48">
        <v>2930.8913299999999</v>
      </c>
      <c r="E98" s="48">
        <v>2704.3071500000001</v>
      </c>
      <c r="F98" s="48">
        <v>2541.2968599999999</v>
      </c>
      <c r="G98" s="48">
        <v>3047.0147099999999</v>
      </c>
      <c r="H98" s="48">
        <v>2961.8116</v>
      </c>
      <c r="I98" s="48">
        <v>3139.4959199999998</v>
      </c>
      <c r="J98" s="48">
        <v>2476.53089</v>
      </c>
      <c r="K98" s="48">
        <v>2593.0441299999998</v>
      </c>
      <c r="L98" s="48">
        <v>2528.5441600000004</v>
      </c>
      <c r="M98" s="48">
        <v>2708.3419399999998</v>
      </c>
      <c r="N98" s="52">
        <v>2657.7112700000002</v>
      </c>
      <c r="O98" s="52">
        <f t="shared" ref="O98:O104" si="38">SUM(C98:N98)</f>
        <v>33314.26483</v>
      </c>
    </row>
    <row r="99" spans="1:16" s="3" customFormat="1" ht="11.25" x14ac:dyDescent="0.2">
      <c r="A99" s="127"/>
      <c r="B99" s="8" t="s">
        <v>4</v>
      </c>
      <c r="C99" s="48">
        <v>1732.9504499999998</v>
      </c>
      <c r="D99" s="48">
        <v>1641.4888000000003</v>
      </c>
      <c r="E99" s="48">
        <v>1596.46092</v>
      </c>
      <c r="F99" s="48">
        <v>1584.0722900000001</v>
      </c>
      <c r="G99" s="48">
        <v>1827.7806600000001</v>
      </c>
      <c r="H99" s="48">
        <v>1825.0572599999998</v>
      </c>
      <c r="I99" s="48">
        <v>1926.9147399999999</v>
      </c>
      <c r="J99" s="48">
        <v>1621.99506</v>
      </c>
      <c r="K99" s="48">
        <v>1664.6061400000001</v>
      </c>
      <c r="L99" s="48">
        <v>1683.2142399999998</v>
      </c>
      <c r="M99" s="48">
        <v>2184.6484</v>
      </c>
      <c r="N99" s="52">
        <v>2042.26548</v>
      </c>
      <c r="O99" s="52">
        <f t="shared" si="38"/>
        <v>21331.454440000001</v>
      </c>
    </row>
    <row r="100" spans="1:16" s="3" customFormat="1" ht="11.25" x14ac:dyDescent="0.2">
      <c r="A100" s="127"/>
      <c r="B100" s="8" t="s">
        <v>5</v>
      </c>
      <c r="C100" s="48">
        <v>61.481929999999998</v>
      </c>
      <c r="D100" s="48">
        <v>54.093730000000001</v>
      </c>
      <c r="E100" s="48">
        <v>54.970450000000007</v>
      </c>
      <c r="F100" s="48">
        <v>50.550069999999998</v>
      </c>
      <c r="G100" s="48">
        <v>59.630789999999998</v>
      </c>
      <c r="H100" s="48">
        <v>59.915489999999998</v>
      </c>
      <c r="I100" s="48">
        <v>59.266039999999997</v>
      </c>
      <c r="J100" s="48">
        <v>51.543230000000001</v>
      </c>
      <c r="K100" s="48">
        <v>52.229810000000008</v>
      </c>
      <c r="L100" s="48">
        <v>43.420370000000005</v>
      </c>
      <c r="M100" s="48">
        <v>49.088979999999999</v>
      </c>
      <c r="N100" s="52">
        <v>37.123409999999993</v>
      </c>
      <c r="O100" s="52">
        <f t="shared" si="38"/>
        <v>633.3143</v>
      </c>
    </row>
    <row r="101" spans="1:16" s="3" customFormat="1" ht="11.25" x14ac:dyDescent="0.2">
      <c r="A101" s="127"/>
      <c r="B101" s="8" t="s">
        <v>6</v>
      </c>
      <c r="C101" s="48">
        <v>510.54575999999997</v>
      </c>
      <c r="D101" s="48">
        <v>492.74741999999998</v>
      </c>
      <c r="E101" s="48">
        <v>488.96753999999999</v>
      </c>
      <c r="F101" s="48">
        <v>387.94831999999997</v>
      </c>
      <c r="G101" s="48">
        <v>432.91081999999994</v>
      </c>
      <c r="H101" s="48">
        <v>398.40833000000003</v>
      </c>
      <c r="I101" s="48">
        <v>399.92786999999993</v>
      </c>
      <c r="J101" s="48">
        <v>353.29190999999997</v>
      </c>
      <c r="K101" s="48">
        <v>361.14579000000003</v>
      </c>
      <c r="L101" s="48">
        <v>384.34363999999999</v>
      </c>
      <c r="M101" s="48">
        <v>157.64390000000003</v>
      </c>
      <c r="N101" s="52">
        <v>88.065439999999995</v>
      </c>
      <c r="O101" s="52">
        <f t="shared" si="38"/>
        <v>4455.9467400000003</v>
      </c>
    </row>
    <row r="102" spans="1:16" s="3" customFormat="1" ht="11.25" x14ac:dyDescent="0.2">
      <c r="A102" s="127"/>
      <c r="B102" s="8" t="s">
        <v>9</v>
      </c>
      <c r="C102" s="48">
        <v>2566.0628299999998</v>
      </c>
      <c r="D102" s="48">
        <v>2352.39896</v>
      </c>
      <c r="E102" s="48">
        <v>2523.0897200000004</v>
      </c>
      <c r="F102" s="48">
        <v>2439.8735799999999</v>
      </c>
      <c r="G102" s="48">
        <v>2809.7514799999994</v>
      </c>
      <c r="H102" s="48">
        <v>2757.9201200000002</v>
      </c>
      <c r="I102" s="48">
        <v>2829.6862099999998</v>
      </c>
      <c r="J102" s="48">
        <v>2425.6358899999996</v>
      </c>
      <c r="K102" s="48">
        <v>2427.3102100000001</v>
      </c>
      <c r="L102" s="48">
        <v>2274.8944200000001</v>
      </c>
      <c r="M102" s="48">
        <v>2272.8332099999998</v>
      </c>
      <c r="N102" s="52">
        <v>1939.4806090000002</v>
      </c>
      <c r="O102" s="52">
        <f t="shared" si="38"/>
        <v>29618.937238999999</v>
      </c>
    </row>
    <row r="103" spans="1:16" s="3" customFormat="1" ht="11.25" x14ac:dyDescent="0.2">
      <c r="A103" s="127"/>
      <c r="B103" s="8" t="s">
        <v>11</v>
      </c>
      <c r="C103" s="48">
        <v>558.98176000000001</v>
      </c>
      <c r="D103" s="48">
        <v>525.5324700000001</v>
      </c>
      <c r="E103" s="48">
        <v>546.82716999999991</v>
      </c>
      <c r="F103" s="48">
        <v>534.86483999999996</v>
      </c>
      <c r="G103" s="48">
        <v>639.61424</v>
      </c>
      <c r="H103" s="48">
        <v>654.10254499999996</v>
      </c>
      <c r="I103" s="48">
        <v>602.25561999999991</v>
      </c>
      <c r="J103" s="48">
        <v>503.00636000000003</v>
      </c>
      <c r="K103" s="48">
        <v>521.10851000000002</v>
      </c>
      <c r="L103" s="48">
        <v>517.81156999999996</v>
      </c>
      <c r="M103" s="48">
        <v>570.93555000000003</v>
      </c>
      <c r="N103" s="52">
        <v>490.68607999999995</v>
      </c>
      <c r="O103" s="52">
        <f t="shared" si="38"/>
        <v>6665.7267150000007</v>
      </c>
    </row>
    <row r="104" spans="1:16" s="3" customFormat="1" ht="12" thickBot="1" x14ac:dyDescent="0.25">
      <c r="A104" s="127"/>
      <c r="B104" s="8" t="s">
        <v>46</v>
      </c>
      <c r="C104" s="48">
        <v>459.31864000000002</v>
      </c>
      <c r="D104" s="48">
        <v>9.5116100000000028</v>
      </c>
      <c r="E104" s="48">
        <v>206.92397000000003</v>
      </c>
      <c r="F104" s="48">
        <v>15.137319999999999</v>
      </c>
      <c r="G104" s="48">
        <v>1.93872</v>
      </c>
      <c r="H104" s="48">
        <v>8.0627899999999997</v>
      </c>
      <c r="I104" s="48">
        <v>9.1531800000000008</v>
      </c>
      <c r="J104" s="48">
        <v>438.66657999999995</v>
      </c>
      <c r="K104" s="48">
        <v>598.92247000000009</v>
      </c>
      <c r="L104" s="48">
        <v>677.20926000000009</v>
      </c>
      <c r="M104" s="48">
        <v>896.61604999999997</v>
      </c>
      <c r="N104" s="52">
        <v>886.87040000000002</v>
      </c>
      <c r="O104" s="52">
        <f t="shared" si="38"/>
        <v>4208.3309900000004</v>
      </c>
    </row>
    <row r="105" spans="1:16" s="3" customFormat="1" ht="12" thickBot="1" x14ac:dyDescent="0.25">
      <c r="A105" s="123" t="s">
        <v>30</v>
      </c>
      <c r="B105" s="134"/>
      <c r="C105" s="70">
        <f t="shared" ref="C105:D105" si="39">SUM(C97:C104)</f>
        <v>9302.3237200000003</v>
      </c>
      <c r="D105" s="70">
        <f t="shared" si="39"/>
        <v>8385.8309899999986</v>
      </c>
      <c r="E105" s="70">
        <f>SUM(E97:E104)</f>
        <v>8455.7000399999997</v>
      </c>
      <c r="F105" s="70">
        <f t="shared" ref="F105:L105" si="40">SUM(F97:F104)</f>
        <v>7843.3566100000007</v>
      </c>
      <c r="G105" s="70">
        <f t="shared" si="40"/>
        <v>9161.0356200000006</v>
      </c>
      <c r="H105" s="70">
        <f>SUM(H97:H104)</f>
        <v>8985.8028749999994</v>
      </c>
      <c r="I105" s="70">
        <f t="shared" si="40"/>
        <v>9284.2711099999997</v>
      </c>
      <c r="J105" s="70">
        <f t="shared" si="40"/>
        <v>8135.8823300000004</v>
      </c>
      <c r="K105" s="70">
        <f t="shared" si="40"/>
        <v>8489.7035699999997</v>
      </c>
      <c r="L105" s="70">
        <f t="shared" si="40"/>
        <v>8396.2134299999998</v>
      </c>
      <c r="M105" s="95">
        <f>SUM(M97:M104)</f>
        <v>9164.2319800000005</v>
      </c>
      <c r="N105" s="95">
        <f>SUM(N97:N104)</f>
        <v>8447.6371790000012</v>
      </c>
      <c r="O105" s="71">
        <f>SUM(C105:N105)</f>
        <v>104051.98945400001</v>
      </c>
      <c r="P105" s="15"/>
    </row>
    <row r="106" spans="1:16" s="3" customFormat="1" ht="11.25" hidden="1" x14ac:dyDescent="0.2">
      <c r="A106" s="68" t="s">
        <v>48</v>
      </c>
      <c r="B106" s="69"/>
      <c r="C106" s="19">
        <v>42736</v>
      </c>
      <c r="D106" s="19"/>
      <c r="E106" s="19"/>
      <c r="F106" s="32"/>
      <c r="G106" s="32"/>
      <c r="H106" s="55"/>
      <c r="I106" s="55"/>
      <c r="J106" s="55"/>
      <c r="K106" s="55"/>
      <c r="L106" s="55"/>
      <c r="M106" s="55"/>
      <c r="N106" s="55"/>
      <c r="O106" s="35" t="s">
        <v>31</v>
      </c>
    </row>
    <row r="107" spans="1:16" s="3" customFormat="1" ht="11.25" hidden="1" x14ac:dyDescent="0.2">
      <c r="A107" s="20" t="s">
        <v>32</v>
      </c>
      <c r="B107" s="6" t="s">
        <v>33</v>
      </c>
      <c r="C107" s="11">
        <v>1139.526209674952</v>
      </c>
      <c r="D107" s="11">
        <v>1177.3148462538404</v>
      </c>
      <c r="E107" s="11">
        <v>1245.5712972633553</v>
      </c>
      <c r="F107" s="33">
        <v>1186.1568152910552</v>
      </c>
      <c r="G107" s="33">
        <v>1207.6934319493769</v>
      </c>
      <c r="H107" s="33"/>
      <c r="I107" s="33"/>
      <c r="J107" s="33"/>
      <c r="K107" s="33"/>
      <c r="L107" s="33"/>
      <c r="M107" s="33"/>
      <c r="N107" s="33"/>
      <c r="O107" s="49">
        <f>AVERAGE(C107:F107)</f>
        <v>1187.1422921208007</v>
      </c>
    </row>
    <row r="108" spans="1:16" s="3" customFormat="1" ht="11.25" hidden="1" x14ac:dyDescent="0.2">
      <c r="A108" s="20" t="s">
        <v>32</v>
      </c>
      <c r="B108" s="6" t="s">
        <v>34</v>
      </c>
      <c r="C108" s="12">
        <v>55.595744774784912</v>
      </c>
      <c r="D108" s="12">
        <v>56.870463179096191</v>
      </c>
      <c r="E108" s="12">
        <v>61.693399743920075</v>
      </c>
      <c r="F108" s="33">
        <v>58.188624639044392</v>
      </c>
      <c r="G108" s="33">
        <v>58.563885702841326</v>
      </c>
      <c r="H108" s="33"/>
      <c r="I108" s="33"/>
      <c r="J108" s="33"/>
      <c r="K108" s="33"/>
      <c r="L108" s="33"/>
      <c r="M108" s="33"/>
      <c r="N108" s="33"/>
      <c r="O108" s="49">
        <f t="shared" ref="O108:O113" si="41">AVERAGE(C108:F108)</f>
        <v>58.087058084211392</v>
      </c>
    </row>
    <row r="109" spans="1:16" s="3" customFormat="1" ht="11.25" hidden="1" x14ac:dyDescent="0.2">
      <c r="A109" s="20" t="s">
        <v>35</v>
      </c>
      <c r="B109" s="6" t="s">
        <v>34</v>
      </c>
      <c r="C109" s="12">
        <v>62.615400000000001</v>
      </c>
      <c r="D109" s="12">
        <v>64.191500000000005</v>
      </c>
      <c r="E109" s="12">
        <v>69.176299999999998</v>
      </c>
      <c r="F109" s="33">
        <v>65.190700000000007</v>
      </c>
      <c r="G109" s="33">
        <v>65.902600000000007</v>
      </c>
      <c r="H109" s="33"/>
      <c r="I109" s="33"/>
      <c r="J109" s="33"/>
      <c r="K109" s="33"/>
      <c r="L109" s="33"/>
      <c r="M109" s="33"/>
      <c r="N109" s="33"/>
      <c r="O109" s="49">
        <f t="shared" si="41"/>
        <v>65.293475000000001</v>
      </c>
    </row>
    <row r="110" spans="1:16" s="3" customFormat="1" ht="11.25" hidden="1" x14ac:dyDescent="0.2">
      <c r="A110" s="9" t="s">
        <v>36</v>
      </c>
      <c r="B110" s="6" t="s">
        <v>44</v>
      </c>
      <c r="C110" s="12">
        <v>600.48001792905245</v>
      </c>
      <c r="D110" s="12">
        <v>581.31198449992019</v>
      </c>
      <c r="E110" s="12">
        <v>653.16683149000562</v>
      </c>
      <c r="F110" s="33">
        <v>542.72873342247908</v>
      </c>
      <c r="G110" s="33">
        <v>560.39332363428741</v>
      </c>
      <c r="H110" s="33"/>
      <c r="I110" s="33"/>
      <c r="J110" s="33"/>
      <c r="K110" s="33"/>
      <c r="L110" s="33"/>
      <c r="M110" s="33"/>
      <c r="N110" s="33"/>
      <c r="O110" s="49">
        <f t="shared" si="41"/>
        <v>594.42189183536425</v>
      </c>
    </row>
    <row r="111" spans="1:16" s="3" customFormat="1" ht="11.25" hidden="1" x14ac:dyDescent="0.2">
      <c r="A111" s="20" t="s">
        <v>37</v>
      </c>
      <c r="B111" s="6" t="s">
        <v>38</v>
      </c>
      <c r="C111" s="13">
        <v>3.2587000000000002</v>
      </c>
      <c r="D111" s="13">
        <v>3.2913000000000001</v>
      </c>
      <c r="E111" s="13">
        <v>3.2099000000000002</v>
      </c>
      <c r="F111" s="34">
        <v>3.2408999999999999</v>
      </c>
      <c r="G111" s="34">
        <v>3.2786</v>
      </c>
      <c r="H111" s="34"/>
      <c r="I111" s="34"/>
      <c r="J111" s="34"/>
      <c r="K111" s="34"/>
      <c r="L111" s="34"/>
      <c r="M111" s="34"/>
      <c r="N111" s="34"/>
      <c r="O111" s="50">
        <f t="shared" si="41"/>
        <v>3.2502000000000004</v>
      </c>
    </row>
    <row r="112" spans="1:16" s="3" customFormat="1" ht="11.25" hidden="1" x14ac:dyDescent="0.2">
      <c r="A112" s="20" t="s">
        <v>39</v>
      </c>
      <c r="B112" s="6" t="s">
        <v>40</v>
      </c>
      <c r="C112" s="12">
        <v>2596067.0703852074</v>
      </c>
      <c r="D112" s="12">
        <v>2604768.7693718914</v>
      </c>
      <c r="E112" s="12">
        <v>2604768.7693718914</v>
      </c>
      <c r="F112" s="33">
        <v>2603981.2805314716</v>
      </c>
      <c r="G112" s="33">
        <v>2534377.1423551175</v>
      </c>
      <c r="H112" s="33"/>
      <c r="I112" s="33"/>
      <c r="J112" s="33"/>
      <c r="K112" s="33"/>
      <c r="L112" s="33"/>
      <c r="M112" s="33"/>
      <c r="N112" s="33"/>
      <c r="O112" s="49">
        <f>AVERAGE(C112:F112)</f>
        <v>2602396.4724151157</v>
      </c>
    </row>
    <row r="113" spans="1:16" s="3" customFormat="1" ht="12" hidden="1" thickBot="1" x14ac:dyDescent="0.25">
      <c r="A113" s="10" t="s">
        <v>41</v>
      </c>
      <c r="B113" s="7" t="s">
        <v>42</v>
      </c>
      <c r="C113" s="14">
        <v>86.4213114876666</v>
      </c>
      <c r="D113" s="26">
        <v>85.921273577741985</v>
      </c>
      <c r="E113" s="26">
        <v>85.921273577741985</v>
      </c>
      <c r="F113" s="26">
        <v>76.221613953928582</v>
      </c>
      <c r="G113" s="26">
        <v>73.220117750645088</v>
      </c>
      <c r="H113" s="26"/>
      <c r="I113" s="26"/>
      <c r="J113" s="26"/>
      <c r="K113" s="26"/>
      <c r="L113" s="26"/>
      <c r="M113" s="26"/>
      <c r="N113" s="26"/>
      <c r="O113" s="51">
        <f t="shared" si="41"/>
        <v>83.621368149269784</v>
      </c>
    </row>
    <row r="114" spans="1:16" x14ac:dyDescent="0.2">
      <c r="A114" s="76"/>
    </row>
    <row r="115" spans="1:16" x14ac:dyDescent="0.2">
      <c r="C115" s="23"/>
      <c r="D115" s="23"/>
      <c r="E115" s="23"/>
      <c r="F115" s="112"/>
      <c r="G115" s="23"/>
      <c r="H115" s="23"/>
      <c r="I115" s="23"/>
      <c r="J115" s="23"/>
      <c r="K115" s="23"/>
      <c r="L115" s="23"/>
      <c r="M115" s="23"/>
      <c r="N115" s="23"/>
    </row>
    <row r="116" spans="1:16" x14ac:dyDescent="0.2"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23"/>
      <c r="N116" s="23"/>
      <c r="O116" s="16"/>
    </row>
    <row r="117" spans="1:16" x14ac:dyDescent="0.2"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23"/>
      <c r="N117" s="23"/>
    </row>
    <row r="118" spans="1:16" x14ac:dyDescent="0.2">
      <c r="A118" s="21"/>
      <c r="B118" s="22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22"/>
      <c r="N118" s="22"/>
    </row>
    <row r="119" spans="1:16" x14ac:dyDescent="0.2">
      <c r="A119" s="21"/>
      <c r="B119" s="22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22"/>
      <c r="N119" s="22"/>
    </row>
    <row r="120" spans="1:16" x14ac:dyDescent="0.2">
      <c r="A120" s="21"/>
      <c r="B120" s="22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22"/>
      <c r="N120" s="22"/>
      <c r="O120" s="23"/>
      <c r="P120" s="23"/>
    </row>
    <row r="121" spans="1:16" x14ac:dyDescent="0.2">
      <c r="A121" s="23"/>
      <c r="B121" s="23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23"/>
      <c r="N121" s="23"/>
      <c r="O121" s="23"/>
      <c r="P121" s="23"/>
    </row>
    <row r="122" spans="1:16" x14ac:dyDescent="0.2">
      <c r="A122" s="23"/>
      <c r="B122" s="23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23"/>
      <c r="N122" s="23"/>
      <c r="O122" s="23"/>
      <c r="P122" s="23"/>
    </row>
    <row r="123" spans="1:16" x14ac:dyDescent="0.2">
      <c r="A123" s="23"/>
      <c r="B123" s="23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23"/>
      <c r="N123" s="23"/>
      <c r="O123" s="23"/>
      <c r="P123" s="23"/>
    </row>
    <row r="124" spans="1:16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16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110">
        <f>J123*2</f>
        <v>0</v>
      </c>
      <c r="K125" s="23"/>
      <c r="L125" s="23"/>
      <c r="M125" s="23"/>
      <c r="N125" s="23"/>
      <c r="O125" s="23"/>
      <c r="P125" s="23"/>
    </row>
    <row r="126" spans="1:16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</row>
    <row r="128" spans="1:16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1:16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1:16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1:16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1:16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1:16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1:16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1:16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1:16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1:16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1:16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1:16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1:16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1:16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1:16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</sheetData>
  <mergeCells count="26">
    <mergeCell ref="A52:B52"/>
    <mergeCell ref="A57:B57"/>
    <mergeCell ref="A59:B59"/>
    <mergeCell ref="A2:O2"/>
    <mergeCell ref="A22:B22"/>
    <mergeCell ref="A41:B41"/>
    <mergeCell ref="A51:B51"/>
    <mergeCell ref="A42:A50"/>
    <mergeCell ref="A5:C5"/>
    <mergeCell ref="A9:B9"/>
    <mergeCell ref="A11:A21"/>
    <mergeCell ref="A23:A40"/>
    <mergeCell ref="A105:B105"/>
    <mergeCell ref="A92:B92"/>
    <mergeCell ref="A93:B93"/>
    <mergeCell ref="A96:B96"/>
    <mergeCell ref="A97:A104"/>
    <mergeCell ref="A90:B90"/>
    <mergeCell ref="A94:B94"/>
    <mergeCell ref="A62:A70"/>
    <mergeCell ref="A72:A80"/>
    <mergeCell ref="A71:B71"/>
    <mergeCell ref="A81:B81"/>
    <mergeCell ref="A83:B83"/>
    <mergeCell ref="A82:B82"/>
    <mergeCell ref="A89:B89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Luiz Eduardo Paim Varella</cp:lastModifiedBy>
  <cp:lastPrinted>2017-01-13T20:42:57Z</cp:lastPrinted>
  <dcterms:created xsi:type="dcterms:W3CDTF">2008-01-15T17:31:37Z</dcterms:created>
  <dcterms:modified xsi:type="dcterms:W3CDTF">2020-11-10T20:31:29Z</dcterms:modified>
</cp:coreProperties>
</file>