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govanp-my.sharepoint.com/personal/lvarella_anp_gov_br/Documents/Área de Trabalho/PG CONSOLIDADAS/"/>
    </mc:Choice>
  </mc:AlternateContent>
  <xr:revisionPtr revIDLastSave="5" documentId="8_{FB8BD5D2-7B3B-4600-82AD-3205D53707DA}" xr6:coauthVersionLast="46" xr6:coauthVersionMax="46" xr10:uidLastSave="{5DC1381A-BD4F-4EA3-89D6-6421F3C5D29D}"/>
  <bookViews>
    <workbookView xWindow="-110" yWindow="-110" windowWidth="19420" windowHeight="10420" xr2:uid="{00000000-000D-0000-FFFF-FFFF00000000}"/>
  </bookViews>
  <sheets>
    <sheet name="OB-2018" sheetId="8" r:id="rId1"/>
  </sheets>
  <externalReferences>
    <externalReference r:id="rId2"/>
  </externalReferences>
  <definedNames>
    <definedName name="_xlnm.Print_Area" localSheetId="0">'OB-2018'!$A$1:$O$107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8" l="1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21" i="8"/>
  <c r="O10" i="8"/>
  <c r="O11" i="8"/>
  <c r="O12" i="8"/>
  <c r="O13" i="8"/>
  <c r="O14" i="8"/>
  <c r="O15" i="8"/>
  <c r="O16" i="8"/>
  <c r="O17" i="8"/>
  <c r="O18" i="8"/>
  <c r="O19" i="8"/>
  <c r="O9" i="8"/>
  <c r="M99" i="8"/>
  <c r="N99" i="8" l="1"/>
  <c r="Q91" i="8" l="1"/>
  <c r="Q92" i="8"/>
  <c r="Q93" i="8"/>
  <c r="Q94" i="8"/>
  <c r="Q95" i="8"/>
  <c r="Q96" i="8"/>
  <c r="Q97" i="8"/>
  <c r="Q98" i="8"/>
  <c r="N20" i="8"/>
  <c r="N53" i="8"/>
  <c r="N39" i="8"/>
  <c r="N48" i="8"/>
  <c r="K87" i="8"/>
  <c r="M87" i="8"/>
  <c r="N49" i="8" l="1"/>
  <c r="N56" i="8" s="1"/>
  <c r="O86" i="8"/>
  <c r="O55" i="8"/>
  <c r="O54" i="8"/>
  <c r="O51" i="8"/>
  <c r="O52" i="8"/>
  <c r="O50" i="8"/>
  <c r="O64" i="8"/>
  <c r="O65" i="8"/>
  <c r="O58" i="8"/>
  <c r="O72" i="8"/>
  <c r="O74" i="8"/>
  <c r="O75" i="8"/>
  <c r="O68" i="8"/>
  <c r="N83" i="8"/>
  <c r="N77" i="8"/>
  <c r="N67" i="8"/>
  <c r="N79" i="8" s="1"/>
  <c r="N84" i="8" s="1"/>
  <c r="N88" i="8" s="1"/>
  <c r="O43" i="8" l="1"/>
  <c r="O42" i="8"/>
  <c r="O41" i="8"/>
  <c r="O40" i="8"/>
  <c r="C87" i="8" l="1"/>
  <c r="M81" i="8" l="1"/>
  <c r="M82" i="8"/>
  <c r="M80" i="8"/>
  <c r="M78" i="8"/>
  <c r="L83" i="8"/>
  <c r="K83" i="8"/>
  <c r="L77" i="8"/>
  <c r="K77" i="8"/>
  <c r="L67" i="8"/>
  <c r="K67" i="8"/>
  <c r="K79" i="8" s="1"/>
  <c r="K84" i="8" l="1"/>
  <c r="L79" i="8"/>
  <c r="L84" i="8" s="1"/>
  <c r="M67" i="8"/>
  <c r="M83" i="8"/>
  <c r="M77" i="8"/>
  <c r="M39" i="8"/>
  <c r="K99" i="8"/>
  <c r="L99" i="8"/>
  <c r="M48" i="8"/>
  <c r="M20" i="8"/>
  <c r="L87" i="8"/>
  <c r="L53" i="8"/>
  <c r="M53" i="8"/>
  <c r="L48" i="8"/>
  <c r="O45" i="8"/>
  <c r="O47" i="8"/>
  <c r="L39" i="8"/>
  <c r="L20" i="8"/>
  <c r="K53" i="8"/>
  <c r="K48" i="8"/>
  <c r="K39" i="8"/>
  <c r="K20" i="8"/>
  <c r="L49" i="8" l="1"/>
  <c r="L56" i="8" s="1"/>
  <c r="K49" i="8"/>
  <c r="K56" i="8" s="1"/>
  <c r="K88" i="8" s="1"/>
  <c r="M49" i="8"/>
  <c r="M56" i="8" s="1"/>
  <c r="M79" i="8"/>
  <c r="M84" i="8" s="1"/>
  <c r="M88" i="8" l="1"/>
  <c r="L88" i="8"/>
  <c r="J87" i="8"/>
  <c r="O87" i="8" s="1"/>
  <c r="E98" i="8" l="1"/>
  <c r="O98" i="8" s="1"/>
  <c r="E97" i="8"/>
  <c r="O97" i="8" s="1"/>
  <c r="E96" i="8"/>
  <c r="O96" i="8" s="1"/>
  <c r="E95" i="8"/>
  <c r="O95" i="8" s="1"/>
  <c r="E94" i="8"/>
  <c r="O94" i="8" s="1"/>
  <c r="E93" i="8"/>
  <c r="O93" i="8" s="1"/>
  <c r="E92" i="8"/>
  <c r="O92" i="8" s="1"/>
  <c r="E91" i="8"/>
  <c r="O91" i="8" s="1"/>
  <c r="I82" i="8" l="1"/>
  <c r="I81" i="8"/>
  <c r="I80" i="8"/>
  <c r="I73" i="8"/>
  <c r="I63" i="8"/>
  <c r="G82" i="8"/>
  <c r="G81" i="8"/>
  <c r="O81" i="8" s="1"/>
  <c r="G80" i="8"/>
  <c r="O80" i="8" s="1"/>
  <c r="G70" i="8"/>
  <c r="O70" i="8" s="1"/>
  <c r="G76" i="8"/>
  <c r="O76" i="8" s="1"/>
  <c r="G73" i="8"/>
  <c r="G71" i="8"/>
  <c r="O71" i="8" s="1"/>
  <c r="G69" i="8"/>
  <c r="O69" i="8" s="1"/>
  <c r="G66" i="8"/>
  <c r="O66" i="8" s="1"/>
  <c r="G63" i="8"/>
  <c r="O63" i="8" s="1"/>
  <c r="G62" i="8"/>
  <c r="O62" i="8" s="1"/>
  <c r="G61" i="8"/>
  <c r="O61" i="8" s="1"/>
  <c r="G60" i="8"/>
  <c r="O60" i="8" s="1"/>
  <c r="G59" i="8"/>
  <c r="O59" i="8" s="1"/>
  <c r="G46" i="8"/>
  <c r="G44" i="8"/>
  <c r="O44" i="8" s="1"/>
  <c r="O82" i="8" l="1"/>
  <c r="O73" i="8"/>
  <c r="J78" i="8"/>
  <c r="G78" i="8"/>
  <c r="O78" i="8" s="1"/>
  <c r="J99" i="8" l="1"/>
  <c r="I99" i="8"/>
  <c r="H99" i="8"/>
  <c r="G99" i="8"/>
  <c r="F99" i="8"/>
  <c r="E99" i="8"/>
  <c r="J77" i="8"/>
  <c r="J83" i="8"/>
  <c r="G83" i="8"/>
  <c r="J67" i="8"/>
  <c r="I83" i="8"/>
  <c r="I77" i="8"/>
  <c r="I67" i="8"/>
  <c r="H83" i="8"/>
  <c r="H77" i="8"/>
  <c r="H67" i="8"/>
  <c r="H79" i="8" s="1"/>
  <c r="J48" i="8"/>
  <c r="J53" i="8"/>
  <c r="J39" i="8"/>
  <c r="J20" i="8"/>
  <c r="I53" i="8"/>
  <c r="I48" i="8"/>
  <c r="I39" i="8"/>
  <c r="I20" i="8"/>
  <c r="H53" i="8"/>
  <c r="H48" i="8"/>
  <c r="H39" i="8"/>
  <c r="H20" i="8"/>
  <c r="H84" i="8" l="1"/>
  <c r="J79" i="8"/>
  <c r="J84" i="8" s="1"/>
  <c r="H49" i="8"/>
  <c r="H56" i="8" s="1"/>
  <c r="I49" i="8"/>
  <c r="I56" i="8" s="1"/>
  <c r="J49" i="8"/>
  <c r="J56" i="8" s="1"/>
  <c r="J88" i="8" s="1"/>
  <c r="I79" i="8"/>
  <c r="I84" i="8" s="1"/>
  <c r="H88" i="8" l="1"/>
  <c r="I88" i="8"/>
  <c r="G77" i="8"/>
  <c r="D99" i="8" l="1"/>
  <c r="F83" i="8" l="1"/>
  <c r="E83" i="8"/>
  <c r="D83" i="8"/>
  <c r="F77" i="8"/>
  <c r="E77" i="8"/>
  <c r="D77" i="8"/>
  <c r="G67" i="8"/>
  <c r="G79" i="8" s="1"/>
  <c r="G84" i="8" s="1"/>
  <c r="F67" i="8" l="1"/>
  <c r="F79" i="8" s="1"/>
  <c r="F84" i="8" s="1"/>
  <c r="E67" i="8"/>
  <c r="E79" i="8" s="1"/>
  <c r="E84" i="8" s="1"/>
  <c r="D67" i="8"/>
  <c r="D79" i="8" s="1"/>
  <c r="D84" i="8" s="1"/>
  <c r="D53" i="8"/>
  <c r="G53" i="8" l="1"/>
  <c r="G48" i="8"/>
  <c r="G39" i="8"/>
  <c r="G20" i="8"/>
  <c r="G49" i="8" l="1"/>
  <c r="O106" i="8"/>
  <c r="O102" i="8"/>
  <c r="O103" i="8"/>
  <c r="O104" i="8"/>
  <c r="O105" i="8"/>
  <c r="O107" i="8"/>
  <c r="O101" i="8"/>
  <c r="G56" i="8" l="1"/>
  <c r="G88" i="8" s="1"/>
  <c r="F53" i="8"/>
  <c r="D48" i="8"/>
  <c r="E48" i="8"/>
  <c r="C48" i="8"/>
  <c r="F46" i="8"/>
  <c r="O46" i="8" s="1"/>
  <c r="D39" i="8"/>
  <c r="E39" i="8"/>
  <c r="F39" i="8"/>
  <c r="C39" i="8"/>
  <c r="D20" i="8"/>
  <c r="E20" i="8"/>
  <c r="F20" i="8"/>
  <c r="O39" i="8" l="1"/>
  <c r="D49" i="8"/>
  <c r="F48" i="8"/>
  <c r="F49" i="8" s="1"/>
  <c r="F56" i="8" s="1"/>
  <c r="F88" i="8" s="1"/>
  <c r="O48" i="8" l="1"/>
  <c r="D56" i="8"/>
  <c r="D88" i="8" s="1"/>
  <c r="E53" i="8" l="1"/>
  <c r="E49" i="8"/>
  <c r="E56" i="8" l="1"/>
  <c r="E88" i="8" s="1"/>
  <c r="C83" i="8" l="1"/>
  <c r="O83" i="8" s="1"/>
  <c r="C77" i="8"/>
  <c r="O77" i="8" s="1"/>
  <c r="C67" i="8"/>
  <c r="O67" i="8" s="1"/>
  <c r="C53" i="8"/>
  <c r="O53" i="8" s="1"/>
  <c r="C20" i="8"/>
  <c r="O20" i="8" s="1"/>
  <c r="C49" i="8" l="1"/>
  <c r="O49" i="8" s="1"/>
  <c r="C79" i="8"/>
  <c r="O79" i="8" s="1"/>
  <c r="C99" i="8"/>
  <c r="O99" i="8" s="1"/>
  <c r="O84" i="8" l="1"/>
  <c r="C84" i="8"/>
  <c r="C56" i="8"/>
  <c r="O56" i="8" s="1"/>
  <c r="C88" i="8" l="1"/>
  <c r="O88" i="8" s="1"/>
</calcChain>
</file>

<file path=xl/sharedStrings.xml><?xml version="1.0" encoding="utf-8"?>
<sst xmlns="http://schemas.openxmlformats.org/spreadsheetml/2006/main" count="117" uniqueCount="63">
  <si>
    <t>ROYALTIES</t>
  </si>
  <si>
    <t>Estados</t>
  </si>
  <si>
    <t>AL</t>
  </si>
  <si>
    <t>AM</t>
  </si>
  <si>
    <t>BA</t>
  </si>
  <si>
    <t>CE</t>
  </si>
  <si>
    <t>ES</t>
  </si>
  <si>
    <t>PR</t>
  </si>
  <si>
    <t>RJ</t>
  </si>
  <si>
    <t>RN</t>
  </si>
  <si>
    <t>SP</t>
  </si>
  <si>
    <t>SE</t>
  </si>
  <si>
    <t>Total Estados</t>
  </si>
  <si>
    <t>Municípios</t>
  </si>
  <si>
    <t>AP</t>
  </si>
  <si>
    <t>MG</t>
  </si>
  <si>
    <t>PA</t>
  </si>
  <si>
    <t>PB</t>
  </si>
  <si>
    <t>PE</t>
  </si>
  <si>
    <t>RS</t>
  </si>
  <si>
    <t>SC</t>
  </si>
  <si>
    <t>Total Municípios</t>
  </si>
  <si>
    <t>Total de Depósitos</t>
  </si>
  <si>
    <t>Total Estados + Municípios+ Depósitos</t>
  </si>
  <si>
    <t>Comando da Marinha</t>
  </si>
  <si>
    <t>Ministério da Ciência e Tecnologia</t>
  </si>
  <si>
    <t>Total União</t>
  </si>
  <si>
    <t>Fundo Especial</t>
  </si>
  <si>
    <t>Ministério de Minas e Energia</t>
  </si>
  <si>
    <t>Ministério do Meio Ambiente</t>
  </si>
  <si>
    <t>Total do Pagamento aos Proprietários de Terra</t>
  </si>
  <si>
    <t>Média</t>
  </si>
  <si>
    <t>Preço Petróleo</t>
  </si>
  <si>
    <t>R$/m3</t>
  </si>
  <si>
    <t>US$/bbl</t>
  </si>
  <si>
    <t>Brent Dated</t>
  </si>
  <si>
    <t>Preço Gás Natural</t>
  </si>
  <si>
    <t>Taxa Câmbio</t>
  </si>
  <si>
    <t>R$/US$</t>
  </si>
  <si>
    <t>Produção Petróleo</t>
  </si>
  <si>
    <t>bbl/dia</t>
  </si>
  <si>
    <t>Produção Gás Natural</t>
  </si>
  <si>
    <t>Milhões m3/dia</t>
  </si>
  <si>
    <t>Depósitos Judiciais</t>
  </si>
  <si>
    <t>R$/1.000m3</t>
  </si>
  <si>
    <t>Fundo Social</t>
  </si>
  <si>
    <t>MA</t>
  </si>
  <si>
    <t>Educação e Saúde</t>
  </si>
  <si>
    <t>Variáveis Mensais (mês de caixa)</t>
  </si>
  <si>
    <t>Total - 2018</t>
  </si>
  <si>
    <t>SUPERINTENDÊNCIA DE PARTICIPAÇÕES GOVERNAMENTAIS</t>
  </si>
  <si>
    <t>PARTICIPAÇÃO ESPECIAL</t>
  </si>
  <si>
    <t xml:space="preserve">Total União </t>
  </si>
  <si>
    <t>Total Brasil - Royalties</t>
  </si>
  <si>
    <t>Total Brasil - Participações Especiais</t>
  </si>
  <si>
    <t>Total Estados + Municípios</t>
  </si>
  <si>
    <t>TOTAL DAS PARTICIPAÇÕES GOVERNAMENTAIS</t>
  </si>
  <si>
    <t>TAXA DE OCUPAÇÃO OU RETENÇÃO DE ÁREA</t>
  </si>
  <si>
    <t>PAGAMENTO AOS PROPRIETÁRIOS DE TERRA</t>
  </si>
  <si>
    <t>BÔNUS DE ASSINATURA</t>
  </si>
  <si>
    <t xml:space="preserve">     (em R$ 1000).</t>
  </si>
  <si>
    <t xml:space="preserve">  Mês de Crédito</t>
  </si>
  <si>
    <t xml:space="preserve">      Consolidação das Participações Governamentais e de Terceiros no ano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</si>
</sst>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mmm\-yy"/>
    <numFmt numFmtId="166" formatCode="_(* #,##0.0_);_(* \(#,##0.0\);_(* &quot;-&quot;_);_(@_)"/>
    <numFmt numFmtId="167" formatCode="_(* #,##0.0_);_(* \(#,##0.0\);_(* &quot;-&quot;??_);_(@_)"/>
    <numFmt numFmtId="168" formatCode="_(* #,##0.00_);_(* \(#,##0.00\);_(* &quot;-&quot;_);_(@_)"/>
    <numFmt numFmtId="169" formatCode="_(* #,##0.0_);_(* \(#,##0.0\);_(* &quot;-&quot;?_);_(@_)"/>
  </numFmts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13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4" fontId="3" fillId="3" borderId="0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164" fontId="3" fillId="3" borderId="8" xfId="0" applyNumberFormat="1" applyFont="1" applyFill="1" applyBorder="1" applyAlignment="1">
      <alignment horizontal="right" vertical="center"/>
    </xf>
    <xf numFmtId="166" fontId="3" fillId="3" borderId="10" xfId="0" applyNumberFormat="1" applyFont="1" applyFill="1" applyBorder="1" applyAlignment="1">
      <alignment horizontal="left" vertical="center"/>
    </xf>
    <xf numFmtId="168" fontId="3" fillId="3" borderId="10" xfId="1" applyNumberFormat="1" applyFont="1" applyFill="1" applyBorder="1" applyAlignment="1">
      <alignment horizontal="right" vertical="center"/>
    </xf>
    <xf numFmtId="168" fontId="3" fillId="3" borderId="11" xfId="1" applyNumberFormat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8" fontId="3" fillId="3" borderId="12" xfId="1" applyNumberFormat="1" applyFont="1" applyFill="1" applyBorder="1" applyAlignment="1">
      <alignment horizontal="right" vertical="center"/>
    </xf>
    <xf numFmtId="164" fontId="3" fillId="3" borderId="0" xfId="0" applyNumberFormat="1" applyFont="1" applyFill="1"/>
    <xf numFmtId="164" fontId="0" fillId="3" borderId="0" xfId="0" applyNumberFormat="1" applyFill="1"/>
    <xf numFmtId="43" fontId="3" fillId="3" borderId="0" xfId="0" applyNumberFormat="1" applyFont="1" applyFill="1"/>
    <xf numFmtId="169" fontId="3" fillId="3" borderId="0" xfId="0" applyNumberFormat="1" applyFont="1" applyFill="1"/>
    <xf numFmtId="165" fontId="4" fillId="2" borderId="19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9" fillId="3" borderId="0" xfId="5" applyFont="1" applyFill="1" applyBorder="1" applyAlignment="1">
      <alignment horizontal="left" indent="1"/>
    </xf>
    <xf numFmtId="4" fontId="2" fillId="3" borderId="0" xfId="0" applyNumberFormat="1" applyFon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Alignment="1"/>
    <xf numFmtId="0" fontId="0" fillId="4" borderId="0" xfId="0" applyFill="1"/>
    <xf numFmtId="168" fontId="3" fillId="3" borderId="22" xfId="1" applyNumberFormat="1" applyFont="1" applyFill="1" applyBorder="1" applyAlignment="1">
      <alignment horizontal="right" vertical="center"/>
    </xf>
    <xf numFmtId="0" fontId="2" fillId="3" borderId="0" xfId="0" applyFont="1" applyFill="1" applyAlignment="1"/>
    <xf numFmtId="0" fontId="2" fillId="3" borderId="0" xfId="0" applyFont="1" applyFill="1" applyAlignment="1"/>
    <xf numFmtId="164" fontId="3" fillId="0" borderId="0" xfId="0" applyNumberFormat="1" applyFont="1" applyBorder="1"/>
    <xf numFmtId="0" fontId="2" fillId="3" borderId="0" xfId="0" applyFont="1" applyFill="1" applyAlignment="1"/>
    <xf numFmtId="164" fontId="3" fillId="3" borderId="0" xfId="0" applyNumberFormat="1" applyFont="1" applyFill="1" applyBorder="1"/>
    <xf numFmtId="165" fontId="4" fillId="2" borderId="18" xfId="0" applyNumberFormat="1" applyFont="1" applyFill="1" applyBorder="1" applyAlignment="1">
      <alignment horizontal="center" vertical="center"/>
    </xf>
    <xf numFmtId="168" fontId="3" fillId="3" borderId="8" xfId="1" applyNumberFormat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6" fontId="3" fillId="3" borderId="24" xfId="0" applyNumberFormat="1" applyFont="1" applyFill="1" applyBorder="1" applyAlignment="1">
      <alignment horizontal="left" vertical="center"/>
    </xf>
    <xf numFmtId="164" fontId="3" fillId="3" borderId="4" xfId="0" applyNumberFormat="1" applyFont="1" applyFill="1" applyBorder="1" applyAlignment="1">
      <alignment horizontal="right" vertical="center"/>
    </xf>
    <xf numFmtId="165" fontId="4" fillId="2" borderId="25" xfId="0" applyNumberFormat="1" applyFont="1" applyFill="1" applyBorder="1" applyAlignment="1">
      <alignment horizontal="center" vertical="center"/>
    </xf>
    <xf numFmtId="164" fontId="3" fillId="4" borderId="11" xfId="1" applyNumberFormat="1" applyFont="1" applyFill="1" applyBorder="1" applyAlignment="1">
      <alignment horizontal="center"/>
    </xf>
    <xf numFmtId="164" fontId="3" fillId="4" borderId="11" xfId="0" applyNumberFormat="1" applyFont="1" applyFill="1" applyBorder="1"/>
    <xf numFmtId="164" fontId="3" fillId="4" borderId="4" xfId="0" applyNumberFormat="1" applyFont="1" applyFill="1" applyBorder="1"/>
    <xf numFmtId="164" fontId="3" fillId="4" borderId="11" xfId="0" applyNumberFormat="1" applyFont="1" applyFill="1" applyBorder="1" applyAlignment="1">
      <alignment horizontal="right" vertical="center"/>
    </xf>
    <xf numFmtId="164" fontId="3" fillId="4" borderId="11" xfId="1" applyNumberFormat="1" applyFont="1" applyFill="1" applyBorder="1"/>
    <xf numFmtId="164" fontId="3" fillId="4" borderId="10" xfId="0" applyNumberFormat="1" applyFont="1" applyFill="1" applyBorder="1"/>
    <xf numFmtId="164" fontId="3" fillId="4" borderId="19" xfId="0" applyNumberFormat="1" applyFont="1" applyFill="1" applyBorder="1"/>
    <xf numFmtId="164" fontId="3" fillId="4" borderId="20" xfId="0" applyNumberFormat="1" applyFont="1" applyFill="1" applyBorder="1"/>
    <xf numFmtId="164" fontId="3" fillId="4" borderId="8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164" fontId="3" fillId="4" borderId="8" xfId="1" applyNumberFormat="1" applyFont="1" applyFill="1" applyBorder="1" applyAlignment="1">
      <alignment horizontal="center" vertical="center"/>
    </xf>
    <xf numFmtId="164" fontId="3" fillId="4" borderId="11" xfId="1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center"/>
    </xf>
    <xf numFmtId="168" fontId="3" fillId="4" borderId="4" xfId="1" applyNumberFormat="1" applyFont="1" applyFill="1" applyBorder="1" applyAlignment="1">
      <alignment horizontal="right" vertical="center"/>
    </xf>
    <xf numFmtId="164" fontId="3" fillId="4" borderId="4" xfId="1" applyFont="1" applyFill="1" applyBorder="1" applyAlignment="1">
      <alignment horizontal="right" vertical="center"/>
    </xf>
    <xf numFmtId="168" fontId="3" fillId="4" borderId="9" xfId="1" applyNumberFormat="1" applyFont="1" applyFill="1" applyBorder="1" applyAlignment="1">
      <alignment horizontal="right" vertical="center"/>
    </xf>
    <xf numFmtId="168" fontId="3" fillId="4" borderId="4" xfId="0" applyNumberFormat="1" applyFont="1" applyFill="1" applyBorder="1" applyAlignment="1">
      <alignment horizontal="center" vertical="center"/>
    </xf>
    <xf numFmtId="0" fontId="2" fillId="3" borderId="0" xfId="0" applyFont="1" applyFill="1" applyAlignment="1"/>
    <xf numFmtId="166" fontId="3" fillId="3" borderId="28" xfId="0" applyNumberFormat="1" applyFont="1" applyFill="1" applyBorder="1" applyAlignment="1">
      <alignment horizontal="left" vertical="center"/>
    </xf>
    <xf numFmtId="164" fontId="3" fillId="4" borderId="8" xfId="0" applyNumberFormat="1" applyFont="1" applyFill="1" applyBorder="1"/>
    <xf numFmtId="168" fontId="3" fillId="4" borderId="8" xfId="0" applyNumberFormat="1" applyFont="1" applyFill="1" applyBorder="1" applyAlignment="1">
      <alignment horizontal="center" vertical="center"/>
    </xf>
    <xf numFmtId="165" fontId="4" fillId="2" borderId="29" xfId="0" applyNumberFormat="1" applyFont="1" applyFill="1" applyBorder="1" applyAlignment="1">
      <alignment horizontal="center" vertical="center"/>
    </xf>
    <xf numFmtId="43" fontId="0" fillId="3" borderId="0" xfId="0" applyNumberFormat="1" applyFill="1"/>
    <xf numFmtId="164" fontId="4" fillId="5" borderId="26" xfId="1" applyNumberFormat="1" applyFont="1" applyFill="1" applyBorder="1" applyAlignment="1">
      <alignment horizontal="center" vertical="center"/>
    </xf>
    <xf numFmtId="164" fontId="4" fillId="5" borderId="27" xfId="0" applyNumberFormat="1" applyFont="1" applyFill="1" applyBorder="1" applyAlignment="1">
      <alignment horizontal="center" vertical="center"/>
    </xf>
    <xf numFmtId="164" fontId="4" fillId="5" borderId="30" xfId="1" applyNumberFormat="1" applyFont="1" applyFill="1" applyBorder="1" applyAlignment="1">
      <alignment horizontal="center" vertical="center"/>
    </xf>
    <xf numFmtId="164" fontId="4" fillId="5" borderId="12" xfId="1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30" xfId="1" applyNumberFormat="1" applyFont="1" applyFill="1" applyBorder="1" applyAlignment="1">
      <alignment horizontal="center" vertical="center"/>
    </xf>
    <xf numFmtId="164" fontId="3" fillId="5" borderId="26" xfId="1" applyNumberFormat="1" applyFont="1" applyFill="1" applyBorder="1" applyAlignment="1">
      <alignment horizontal="center" vertical="center"/>
    </xf>
    <xf numFmtId="164" fontId="3" fillId="5" borderId="27" xfId="0" applyNumberFormat="1" applyFont="1" applyFill="1" applyBorder="1" applyAlignment="1">
      <alignment horizontal="center" vertical="center"/>
    </xf>
    <xf numFmtId="164" fontId="4" fillId="6" borderId="30" xfId="1" applyNumberFormat="1" applyFont="1" applyFill="1" applyBorder="1" applyAlignment="1">
      <alignment horizontal="center" vertical="center"/>
    </xf>
    <xf numFmtId="164" fontId="4" fillId="6" borderId="27" xfId="0" applyNumberFormat="1" applyFont="1" applyFill="1" applyBorder="1" applyAlignment="1">
      <alignment horizontal="center" vertical="center"/>
    </xf>
    <xf numFmtId="165" fontId="4" fillId="7" borderId="21" xfId="0" applyNumberFormat="1" applyFont="1" applyFill="1" applyBorder="1" applyAlignment="1">
      <alignment horizontal="center" vertical="center"/>
    </xf>
    <xf numFmtId="165" fontId="4" fillId="7" borderId="23" xfId="0" applyNumberFormat="1" applyFont="1" applyFill="1" applyBorder="1" applyAlignment="1">
      <alignment horizontal="center" vertical="center"/>
    </xf>
    <xf numFmtId="164" fontId="4" fillId="6" borderId="30" xfId="1" applyFont="1" applyFill="1" applyBorder="1" applyAlignment="1">
      <alignment horizontal="center" vertical="center"/>
    </xf>
    <xf numFmtId="164" fontId="4" fillId="6" borderId="27" xfId="1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168" fontId="4" fillId="6" borderId="26" xfId="0" applyNumberFormat="1" applyFont="1" applyFill="1" applyBorder="1" applyAlignment="1">
      <alignment horizontal="center" vertical="center"/>
    </xf>
    <xf numFmtId="168" fontId="4" fillId="6" borderId="27" xfId="0" applyNumberFormat="1" applyFont="1" applyFill="1" applyBorder="1" applyAlignment="1">
      <alignment horizontal="center" vertical="center"/>
    </xf>
    <xf numFmtId="164" fontId="4" fillId="5" borderId="30" xfId="1" applyFont="1" applyFill="1" applyBorder="1" applyAlignment="1">
      <alignment horizontal="right" vertical="center"/>
    </xf>
    <xf numFmtId="164" fontId="4" fillId="5" borderId="27" xfId="1" applyFont="1" applyFill="1" applyBorder="1" applyAlignment="1">
      <alignment horizontal="right" vertical="center"/>
    </xf>
    <xf numFmtId="164" fontId="4" fillId="6" borderId="30" xfId="1" applyFont="1" applyFill="1" applyBorder="1" applyAlignment="1">
      <alignment horizontal="right" vertical="center"/>
    </xf>
    <xf numFmtId="164" fontId="4" fillId="6" borderId="27" xfId="1" applyFont="1" applyFill="1" applyBorder="1" applyAlignment="1">
      <alignment horizontal="right" vertical="center"/>
    </xf>
    <xf numFmtId="0" fontId="1" fillId="3" borderId="0" xfId="0" applyFont="1" applyFill="1"/>
    <xf numFmtId="0" fontId="4" fillId="4" borderId="13" xfId="0" applyFont="1" applyFill="1" applyBorder="1" applyAlignment="1">
      <alignment horizontal="center" vertical="center"/>
    </xf>
    <xf numFmtId="164" fontId="4" fillId="4" borderId="13" xfId="1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43" fontId="3" fillId="4" borderId="0" xfId="0" applyNumberFormat="1" applyFont="1" applyFill="1" applyBorder="1"/>
    <xf numFmtId="0" fontId="4" fillId="4" borderId="0" xfId="0" applyFont="1" applyFill="1" applyBorder="1" applyAlignment="1">
      <alignment horizontal="center" vertical="center"/>
    </xf>
    <xf numFmtId="167" fontId="4" fillId="4" borderId="0" xfId="1" applyNumberFormat="1" applyFont="1" applyFill="1" applyBorder="1" applyAlignment="1">
      <alignment horizontal="right" vertical="center"/>
    </xf>
    <xf numFmtId="0" fontId="3" fillId="4" borderId="0" xfId="0" applyFont="1" applyFill="1" applyBorder="1"/>
    <xf numFmtId="166" fontId="4" fillId="3" borderId="21" xfId="0" applyNumberFormat="1" applyFont="1" applyFill="1" applyBorder="1" applyAlignment="1">
      <alignment horizontal="left" vertical="center"/>
    </xf>
    <xf numFmtId="166" fontId="4" fillId="3" borderId="23" xfId="0" applyNumberFormat="1" applyFont="1" applyFill="1" applyBorder="1" applyAlignment="1">
      <alignment horizontal="left" vertical="center"/>
    </xf>
    <xf numFmtId="167" fontId="4" fillId="7" borderId="37" xfId="1" applyNumberFormat="1" applyFont="1" applyFill="1" applyBorder="1" applyAlignment="1">
      <alignment horizontal="right" vertical="center"/>
    </xf>
    <xf numFmtId="167" fontId="4" fillId="7" borderId="38" xfId="1" applyNumberFormat="1" applyFont="1" applyFill="1" applyBorder="1" applyAlignment="1">
      <alignment horizontal="right" vertical="center"/>
    </xf>
    <xf numFmtId="0" fontId="2" fillId="3" borderId="0" xfId="0" applyFont="1" applyFill="1" applyAlignment="1"/>
    <xf numFmtId="166" fontId="4" fillId="3" borderId="40" xfId="1" applyNumberFormat="1" applyFont="1" applyFill="1" applyBorder="1" applyAlignment="1">
      <alignment horizontal="center" vertical="center"/>
    </xf>
    <xf numFmtId="166" fontId="4" fillId="0" borderId="39" xfId="1" applyNumberFormat="1" applyFont="1" applyFill="1" applyBorder="1" applyAlignment="1">
      <alignment horizontal="center" vertical="center"/>
    </xf>
    <xf numFmtId="166" fontId="4" fillId="3" borderId="40" xfId="1" applyNumberFormat="1" applyFont="1" applyFill="1" applyBorder="1" applyAlignment="1">
      <alignment horizontal="left" vertical="center" indent="1"/>
    </xf>
    <xf numFmtId="164" fontId="4" fillId="5" borderId="26" xfId="1" applyFont="1" applyFill="1" applyBorder="1" applyAlignment="1">
      <alignment horizontal="right" vertical="center"/>
    </xf>
    <xf numFmtId="164" fontId="4" fillId="6" borderId="26" xfId="1" applyNumberFormat="1" applyFont="1" applyFill="1" applyBorder="1" applyAlignment="1">
      <alignment horizontal="center" vertical="center"/>
    </xf>
    <xf numFmtId="166" fontId="4" fillId="3" borderId="41" xfId="1" applyNumberFormat="1" applyFont="1" applyFill="1" applyBorder="1" applyAlignment="1">
      <alignment horizontal="left" vertical="center" indent="1"/>
    </xf>
    <xf numFmtId="168" fontId="4" fillId="3" borderId="41" xfId="1" applyNumberFormat="1" applyFont="1" applyFill="1" applyBorder="1" applyAlignment="1">
      <alignment horizontal="left" vertical="center" indent="1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10" fillId="4" borderId="0" xfId="0" applyFont="1" applyFill="1"/>
    <xf numFmtId="0" fontId="4" fillId="6" borderId="16" xfId="0" applyFont="1" applyFill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left" vertical="center"/>
    </xf>
    <xf numFmtId="0" fontId="4" fillId="7" borderId="36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4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7" fillId="3" borderId="0" xfId="0" applyFont="1" applyFill="1" applyAlignment="1"/>
  </cellXfs>
  <cellStyles count="6">
    <cellStyle name="Normal" xfId="0" builtinId="0"/>
    <cellStyle name="Normal 2" xfId="3" xr:uid="{00000000-0005-0000-0000-000001000000}"/>
    <cellStyle name="Normal 2 2" xfId="4" xr:uid="{00000000-0005-0000-0000-000002000000}"/>
    <cellStyle name="Normal_Plan3" xfId="5" xr:uid="{00000000-0005-0000-0000-000003000000}"/>
    <cellStyle name="Separador de milhares 2" xfId="2" xr:uid="{00000000-0005-0000-0000-000004000000}"/>
    <cellStyle name="Vírgula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0</xdr:rowOff>
    </xdr:from>
    <xdr:to>
      <xdr:col>0</xdr:col>
      <xdr:colOff>1523999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4" y="0"/>
          <a:ext cx="13239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anco_de_Dados\Participa&#231;&#227;o%20Especial\PE%20por%20campo%20e%20trimestre_VAR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ixa 2000"/>
      <sheetName val="Caixa 2001"/>
      <sheetName val="Caixa 2002"/>
      <sheetName val="Caixa 2003"/>
      <sheetName val="Caixa 2004"/>
      <sheetName val="Caixa 2005"/>
      <sheetName val="Caixa 2006"/>
      <sheetName val="Caixa 2007"/>
      <sheetName val="Caixa 2008"/>
      <sheetName val="Caixa 2009"/>
      <sheetName val="Caixa 2010"/>
      <sheetName val="Caixa 2011"/>
      <sheetName val="Caixa 2012"/>
      <sheetName val="Caixa 2013"/>
      <sheetName val="Caixa 2014"/>
      <sheetName val="Caixa 2015"/>
      <sheetName val="Caixa 2016"/>
      <sheetName val="Caixa 2017"/>
      <sheetName val="Caixa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8">
          <cell r="A8" t="str">
            <v>Ministério do Meio Ambiente</v>
          </cell>
          <cell r="C8">
            <v>94843197.88000001</v>
          </cell>
          <cell r="D8">
            <v>50496801.079999998</v>
          </cell>
          <cell r="E8">
            <v>120050512.57000001</v>
          </cell>
          <cell r="F8">
            <v>7078519.3399999999</v>
          </cell>
          <cell r="G8">
            <v>159151.75</v>
          </cell>
          <cell r="H8">
            <v>1591.48</v>
          </cell>
          <cell r="I8">
            <v>146962462.88999999</v>
          </cell>
          <cell r="J8">
            <v>131426452.06</v>
          </cell>
        </row>
        <row r="9">
          <cell r="A9" t="str">
            <v>Ministério de Minas e Energia</v>
          </cell>
          <cell r="C9">
            <v>379372791.48000002</v>
          </cell>
          <cell r="D9">
            <v>201987204.28999999</v>
          </cell>
          <cell r="E9">
            <v>480202050.25</v>
          </cell>
          <cell r="F9">
            <v>28314077.380000003</v>
          </cell>
          <cell r="G9">
            <v>636607.02</v>
          </cell>
          <cell r="H9">
            <v>6365.9400000000005</v>
          </cell>
          <cell r="I9">
            <v>587849851.53999996</v>
          </cell>
          <cell r="J9">
            <v>525705808.25</v>
          </cell>
        </row>
        <row r="10">
          <cell r="A10" t="str">
            <v>Fundo Social</v>
          </cell>
          <cell r="C10">
            <v>2228767976.8200002</v>
          </cell>
          <cell r="D10">
            <v>0</v>
          </cell>
          <cell r="E10">
            <v>2635611056.5300002</v>
          </cell>
          <cell r="F10">
            <v>0</v>
          </cell>
          <cell r="G10">
            <v>0</v>
          </cell>
          <cell r="H10">
            <v>103.99</v>
          </cell>
          <cell r="I10">
            <v>3387656363.3299999</v>
          </cell>
          <cell r="J10">
            <v>3776417144.02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37"/>
  <sheetViews>
    <sheetView tabSelected="1" zoomScale="110" zoomScaleNormal="110" workbookViewId="0">
      <pane xSplit="2" ySplit="7" topLeftCell="L8" activePane="bottomRight" state="frozen"/>
      <selection pane="topRight" activeCell="C1" sqref="C1"/>
      <selection pane="bottomLeft" activeCell="A8" sqref="A8"/>
      <selection pane="bottomRight" activeCell="A5" sqref="A5:C5"/>
    </sheetView>
  </sheetViews>
  <sheetFormatPr defaultColWidth="9.1796875" defaultRowHeight="12.5" x14ac:dyDescent="0.25"/>
  <cols>
    <col min="1" max="1" width="56.26953125" style="1" customWidth="1"/>
    <col min="2" max="2" width="15.1796875" style="1" customWidth="1"/>
    <col min="3" max="15" width="13.26953125" style="1" customWidth="1"/>
    <col min="16" max="16" width="11.1796875" style="1" bestFit="1" customWidth="1"/>
    <col min="17" max="17" width="13.26953125" style="1" customWidth="1"/>
    <col min="18" max="16384" width="9.1796875" style="1"/>
  </cols>
  <sheetData>
    <row r="2" spans="1:17" x14ac:dyDescent="0.25">
      <c r="A2" s="130" t="s">
        <v>50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7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5" spans="1:17" x14ac:dyDescent="0.25">
      <c r="A5" s="133" t="s">
        <v>62</v>
      </c>
      <c r="B5" s="133"/>
      <c r="C5" s="133"/>
      <c r="D5" s="32"/>
      <c r="E5" s="29"/>
      <c r="F5" s="33"/>
      <c r="G5" s="35"/>
      <c r="H5" s="60"/>
      <c r="I5" s="60"/>
      <c r="J5" s="60"/>
      <c r="K5" s="100"/>
      <c r="L5" s="100"/>
      <c r="M5" s="100"/>
      <c r="N5" s="108"/>
    </row>
    <row r="6" spans="1:17" ht="13" thickBot="1" x14ac:dyDescent="0.3">
      <c r="A6" s="109" t="s">
        <v>60</v>
      </c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s="3" customFormat="1" x14ac:dyDescent="0.25">
      <c r="A7" s="131" t="s">
        <v>61</v>
      </c>
      <c r="B7" s="132"/>
      <c r="C7" s="76">
        <v>43101</v>
      </c>
      <c r="D7" s="76">
        <v>43132</v>
      </c>
      <c r="E7" s="76">
        <v>43160</v>
      </c>
      <c r="F7" s="76">
        <v>43191</v>
      </c>
      <c r="G7" s="76">
        <v>43221</v>
      </c>
      <c r="H7" s="76">
        <v>43252</v>
      </c>
      <c r="I7" s="76">
        <v>43282</v>
      </c>
      <c r="J7" s="76">
        <v>43313</v>
      </c>
      <c r="K7" s="76">
        <v>43344</v>
      </c>
      <c r="L7" s="76">
        <v>43374</v>
      </c>
      <c r="M7" s="76">
        <v>43405</v>
      </c>
      <c r="N7" s="76">
        <v>43435</v>
      </c>
      <c r="O7" s="77" t="s">
        <v>49</v>
      </c>
      <c r="Q7" s="1"/>
    </row>
    <row r="8" spans="1:17" s="3" customFormat="1" x14ac:dyDescent="0.25">
      <c r="A8" s="5" t="s">
        <v>0</v>
      </c>
      <c r="B8" s="6"/>
      <c r="C8" s="15"/>
      <c r="D8" s="15"/>
      <c r="E8" s="15"/>
      <c r="F8" s="15"/>
      <c r="G8" s="15"/>
      <c r="H8" s="61"/>
      <c r="I8" s="61"/>
      <c r="J8" s="61"/>
      <c r="K8" s="61"/>
      <c r="L8" s="61"/>
      <c r="M8" s="61"/>
      <c r="N8" s="61"/>
      <c r="O8" s="40"/>
      <c r="Q8" s="1"/>
    </row>
    <row r="9" spans="1:17" s="3" customFormat="1" x14ac:dyDescent="0.25">
      <c r="A9" s="115" t="s">
        <v>1</v>
      </c>
      <c r="B9" s="7" t="s">
        <v>2</v>
      </c>
      <c r="C9" s="43">
        <v>1958.60842</v>
      </c>
      <c r="D9" s="43">
        <v>1632.5430700000002</v>
      </c>
      <c r="E9" s="44">
        <v>2062.8322399999997</v>
      </c>
      <c r="F9" s="44">
        <v>1736.1495300000004</v>
      </c>
      <c r="G9" s="44">
        <v>1716.4802</v>
      </c>
      <c r="H9" s="62">
        <v>1871.83447</v>
      </c>
      <c r="I9" s="62">
        <v>2017.7816799999998</v>
      </c>
      <c r="J9" s="62">
        <v>2124.5164</v>
      </c>
      <c r="K9" s="62">
        <v>2168.0219299999999</v>
      </c>
      <c r="L9" s="62">
        <v>2434.0225700000001</v>
      </c>
      <c r="M9" s="62">
        <v>2491.9510399999999</v>
      </c>
      <c r="N9" s="62">
        <v>2497.2235000000001</v>
      </c>
      <c r="O9" s="45">
        <f>SUM(C9:N9)</f>
        <v>24711.965050000003</v>
      </c>
      <c r="P9" s="20"/>
      <c r="Q9" s="65"/>
    </row>
    <row r="10" spans="1:17" s="3" customFormat="1" x14ac:dyDescent="0.25">
      <c r="A10" s="115"/>
      <c r="B10" s="7" t="s">
        <v>3</v>
      </c>
      <c r="C10" s="43">
        <v>15181.654400000001</v>
      </c>
      <c r="D10" s="43">
        <v>15251.18614</v>
      </c>
      <c r="E10" s="44">
        <v>16331.598120000001</v>
      </c>
      <c r="F10" s="44">
        <v>14638.549219999999</v>
      </c>
      <c r="G10" s="44">
        <v>15974.876109999999</v>
      </c>
      <c r="H10" s="62">
        <v>17434.179030000003</v>
      </c>
      <c r="I10" s="62">
        <v>20248.291799999999</v>
      </c>
      <c r="J10" s="62">
        <v>19519.090029999999</v>
      </c>
      <c r="K10" s="62">
        <v>20144.12788</v>
      </c>
      <c r="L10" s="62">
        <v>21837.718819999998</v>
      </c>
      <c r="M10" s="62">
        <v>23332.906139999999</v>
      </c>
      <c r="N10" s="62">
        <v>21590.779140000002</v>
      </c>
      <c r="O10" s="45">
        <f t="shared" ref="O10:O19" si="0">SUM(C10:N10)</f>
        <v>221484.95683000001</v>
      </c>
      <c r="P10" s="20"/>
      <c r="Q10" s="65"/>
    </row>
    <row r="11" spans="1:17" s="3" customFormat="1" x14ac:dyDescent="0.25">
      <c r="A11" s="115"/>
      <c r="B11" s="7" t="s">
        <v>4</v>
      </c>
      <c r="C11" s="43">
        <v>14072.61649</v>
      </c>
      <c r="D11" s="43">
        <v>14879.45184</v>
      </c>
      <c r="E11" s="44">
        <v>15294.63709</v>
      </c>
      <c r="F11" s="44">
        <v>12788.931070000001</v>
      </c>
      <c r="G11" s="44">
        <v>13933.84132</v>
      </c>
      <c r="H11" s="62">
        <v>14650.362139999999</v>
      </c>
      <c r="I11" s="62">
        <v>17120.622179999998</v>
      </c>
      <c r="J11" s="62">
        <v>16924.298460000002</v>
      </c>
      <c r="K11" s="62">
        <v>17608.040400000002</v>
      </c>
      <c r="L11" s="62">
        <v>17847.284309999999</v>
      </c>
      <c r="M11" s="62">
        <v>19305.280600000002</v>
      </c>
      <c r="N11" s="62">
        <v>19275.630679999998</v>
      </c>
      <c r="O11" s="45">
        <f t="shared" si="0"/>
        <v>193700.99658000001</v>
      </c>
      <c r="P11" s="20"/>
      <c r="Q11" s="65"/>
    </row>
    <row r="12" spans="1:17" s="3" customFormat="1" x14ac:dyDescent="0.25">
      <c r="A12" s="115"/>
      <c r="B12" s="7" t="s">
        <v>5</v>
      </c>
      <c r="C12" s="43">
        <v>955.73006000000009</v>
      </c>
      <c r="D12" s="43">
        <v>961.9072000000001</v>
      </c>
      <c r="E12" s="44">
        <v>960.56700999999998</v>
      </c>
      <c r="F12" s="44">
        <v>833.10309999999993</v>
      </c>
      <c r="G12" s="44">
        <v>965.47370000000001</v>
      </c>
      <c r="H12" s="62">
        <v>1117.3508400000001</v>
      </c>
      <c r="I12" s="62">
        <v>1291.0269499999999</v>
      </c>
      <c r="J12" s="62">
        <v>1396.5448900000001</v>
      </c>
      <c r="K12" s="62">
        <v>1422.8012100000001</v>
      </c>
      <c r="L12" s="62">
        <v>1441.0385000000001</v>
      </c>
      <c r="M12" s="62">
        <v>1545.1929</v>
      </c>
      <c r="N12" s="62">
        <v>1522.7986099999998</v>
      </c>
      <c r="O12" s="45">
        <f t="shared" si="0"/>
        <v>14413.534970000001</v>
      </c>
      <c r="P12" s="20"/>
      <c r="Q12" s="65"/>
    </row>
    <row r="13" spans="1:17" s="3" customFormat="1" x14ac:dyDescent="0.25">
      <c r="A13" s="115"/>
      <c r="B13" s="7" t="s">
        <v>6</v>
      </c>
      <c r="C13" s="43">
        <v>58715.148329999996</v>
      </c>
      <c r="D13" s="43">
        <v>65435.36105</v>
      </c>
      <c r="E13" s="44">
        <v>64308.425189999994</v>
      </c>
      <c r="F13" s="44">
        <v>53679.45781</v>
      </c>
      <c r="G13" s="44">
        <v>60215.56538</v>
      </c>
      <c r="H13" s="62">
        <v>68566.224979999999</v>
      </c>
      <c r="I13" s="62">
        <v>79874.074270000012</v>
      </c>
      <c r="J13" s="62">
        <v>73607.068069999994</v>
      </c>
      <c r="K13" s="62">
        <v>74985.570080000005</v>
      </c>
      <c r="L13" s="62">
        <v>82102.834910000005</v>
      </c>
      <c r="M13" s="62">
        <v>76359.285340000002</v>
      </c>
      <c r="N13" s="62">
        <v>88616.459140000021</v>
      </c>
      <c r="O13" s="45">
        <f t="shared" si="0"/>
        <v>846465.47455000004</v>
      </c>
      <c r="P13" s="20"/>
      <c r="Q13" s="65"/>
    </row>
    <row r="14" spans="1:17" s="3" customFormat="1" x14ac:dyDescent="0.25">
      <c r="A14" s="115"/>
      <c r="B14" s="7" t="s">
        <v>46</v>
      </c>
      <c r="C14" s="43">
        <v>5500.6687200000006</v>
      </c>
      <c r="D14" s="43">
        <v>5491.8178200000002</v>
      </c>
      <c r="E14" s="44">
        <v>5611.6177400000006</v>
      </c>
      <c r="F14" s="44">
        <v>104.02467</v>
      </c>
      <c r="G14" s="44">
        <v>4.5676499999999995</v>
      </c>
      <c r="H14" s="62">
        <v>377.99567999999999</v>
      </c>
      <c r="I14" s="62">
        <v>61.910449999999997</v>
      </c>
      <c r="J14" s="62">
        <v>5018.6469900000002</v>
      </c>
      <c r="K14" s="62">
        <v>6711.1540999999997</v>
      </c>
      <c r="L14" s="62">
        <v>7121.9170700000004</v>
      </c>
      <c r="M14" s="62">
        <v>7496.7505700000002</v>
      </c>
      <c r="N14" s="62">
        <v>6635.4570600000006</v>
      </c>
      <c r="O14" s="45">
        <f t="shared" si="0"/>
        <v>50136.528520000007</v>
      </c>
      <c r="P14" s="20"/>
      <c r="Q14" s="65"/>
    </row>
    <row r="15" spans="1:17" s="3" customFormat="1" x14ac:dyDescent="0.25">
      <c r="A15" s="115"/>
      <c r="B15" s="7" t="s">
        <v>7</v>
      </c>
      <c r="C15" s="43">
        <v>581.76562000000001</v>
      </c>
      <c r="D15" s="43">
        <v>652.12274000000002</v>
      </c>
      <c r="E15" s="44">
        <v>574.17676000000006</v>
      </c>
      <c r="F15" s="44">
        <v>514.90201000000002</v>
      </c>
      <c r="G15" s="44">
        <v>512.10319000000004</v>
      </c>
      <c r="H15" s="62">
        <v>524.98883999999998</v>
      </c>
      <c r="I15" s="62">
        <v>602.14429000000007</v>
      </c>
      <c r="J15" s="62">
        <v>713.73324000000002</v>
      </c>
      <c r="K15" s="62">
        <v>700.11663999999996</v>
      </c>
      <c r="L15" s="62">
        <v>684.56344000000001</v>
      </c>
      <c r="M15" s="62">
        <v>714.95456999999999</v>
      </c>
      <c r="N15" s="62">
        <v>721.57687999999996</v>
      </c>
      <c r="O15" s="45">
        <f t="shared" si="0"/>
        <v>7497.14822</v>
      </c>
      <c r="P15" s="20"/>
      <c r="Q15" s="65"/>
    </row>
    <row r="16" spans="1:17" s="3" customFormat="1" x14ac:dyDescent="0.25">
      <c r="A16" s="115"/>
      <c r="B16" s="7" t="s">
        <v>8</v>
      </c>
      <c r="C16" s="43">
        <v>278332.39348000003</v>
      </c>
      <c r="D16" s="43">
        <v>283508.54355999996</v>
      </c>
      <c r="E16" s="44">
        <v>306304.76652999996</v>
      </c>
      <c r="F16" s="44">
        <v>261086.06110000002</v>
      </c>
      <c r="G16" s="44">
        <v>287168.65552999999</v>
      </c>
      <c r="H16" s="62">
        <v>323192.85243000003</v>
      </c>
      <c r="I16" s="62">
        <v>382103.18524000002</v>
      </c>
      <c r="J16" s="62">
        <v>374477.63718000008</v>
      </c>
      <c r="K16" s="62">
        <v>395510.81011999998</v>
      </c>
      <c r="L16" s="62">
        <v>367558.73345</v>
      </c>
      <c r="M16" s="62">
        <v>501813.42516639875</v>
      </c>
      <c r="N16" s="62">
        <v>435767.17054025002</v>
      </c>
      <c r="O16" s="45">
        <f t="shared" si="0"/>
        <v>4196824.2343266495</v>
      </c>
      <c r="P16" s="20"/>
      <c r="Q16" s="65"/>
    </row>
    <row r="17" spans="1:17" s="3" customFormat="1" x14ac:dyDescent="0.25">
      <c r="A17" s="115"/>
      <c r="B17" s="7" t="s">
        <v>9</v>
      </c>
      <c r="C17" s="43">
        <v>12825.81436</v>
      </c>
      <c r="D17" s="43">
        <v>13466.641530000001</v>
      </c>
      <c r="E17" s="44">
        <v>14310.26808</v>
      </c>
      <c r="F17" s="44">
        <v>12151.35361</v>
      </c>
      <c r="G17" s="44">
        <v>13477.256649999999</v>
      </c>
      <c r="H17" s="62">
        <v>14485.028249999999</v>
      </c>
      <c r="I17" s="62">
        <v>17067.650740000001</v>
      </c>
      <c r="J17" s="62">
        <v>16804.43705</v>
      </c>
      <c r="K17" s="62">
        <v>17642.522730000001</v>
      </c>
      <c r="L17" s="62">
        <v>16270.57771</v>
      </c>
      <c r="M17" s="62">
        <v>18838.37</v>
      </c>
      <c r="N17" s="62">
        <v>18873.17324</v>
      </c>
      <c r="O17" s="45">
        <f t="shared" si="0"/>
        <v>186213.09395000001</v>
      </c>
      <c r="P17" s="36"/>
      <c r="Q17" s="65"/>
    </row>
    <row r="18" spans="1:17" s="3" customFormat="1" x14ac:dyDescent="0.25">
      <c r="A18" s="115"/>
      <c r="B18" s="7" t="s">
        <v>10</v>
      </c>
      <c r="C18" s="46">
        <v>45708.402030000005</v>
      </c>
      <c r="D18" s="46">
        <v>58709.100539999999</v>
      </c>
      <c r="E18" s="44">
        <v>61022.338209999994</v>
      </c>
      <c r="F18" s="44">
        <v>52313.031790000001</v>
      </c>
      <c r="G18" s="44">
        <v>55598.914149999997</v>
      </c>
      <c r="H18" s="62">
        <v>51870.029149999988</v>
      </c>
      <c r="I18" s="62">
        <v>71091.269789999991</v>
      </c>
      <c r="J18" s="62">
        <v>69814.184030000004</v>
      </c>
      <c r="K18" s="62">
        <v>72343.202489999996</v>
      </c>
      <c r="L18" s="62">
        <v>70348.228600000002</v>
      </c>
      <c r="M18" s="62">
        <v>79861.804150000011</v>
      </c>
      <c r="N18" s="62">
        <v>80721.755349999992</v>
      </c>
      <c r="O18" s="45">
        <f t="shared" si="0"/>
        <v>769402.26027999993</v>
      </c>
      <c r="P18" s="20"/>
      <c r="Q18" s="65"/>
    </row>
    <row r="19" spans="1:17" s="3" customFormat="1" ht="13" thickBot="1" x14ac:dyDescent="0.3">
      <c r="A19" s="115"/>
      <c r="B19" s="7" t="s">
        <v>11</v>
      </c>
      <c r="C19" s="47">
        <v>6629.30026</v>
      </c>
      <c r="D19" s="47">
        <v>6970.7333900000003</v>
      </c>
      <c r="E19" s="44">
        <v>7405.1829100000004</v>
      </c>
      <c r="F19" s="44">
        <v>6014.8633799999998</v>
      </c>
      <c r="G19" s="44">
        <v>6178.7905199999996</v>
      </c>
      <c r="H19" s="62">
        <v>6144.7600599999996</v>
      </c>
      <c r="I19" s="62">
        <v>7424.0643</v>
      </c>
      <c r="J19" s="62">
        <v>7308.9422200000008</v>
      </c>
      <c r="K19" s="62">
        <v>7592.4431400000003</v>
      </c>
      <c r="L19" s="62">
        <v>7359.2781500000001</v>
      </c>
      <c r="M19" s="62">
        <v>7821.2942299999995</v>
      </c>
      <c r="N19" s="62">
        <v>7611.2829099999999</v>
      </c>
      <c r="O19" s="45">
        <f t="shared" si="0"/>
        <v>84460.935469999997</v>
      </c>
      <c r="P19" s="20"/>
      <c r="Q19" s="65"/>
    </row>
    <row r="20" spans="1:17" s="3" customFormat="1" ht="13.5" customHeight="1" thickBot="1" x14ac:dyDescent="0.3">
      <c r="A20" s="118" t="s">
        <v>12</v>
      </c>
      <c r="B20" s="129"/>
      <c r="C20" s="84">
        <f t="shared" ref="C20:G20" si="1">SUM(C9:C19)</f>
        <v>440462.10217000003</v>
      </c>
      <c r="D20" s="84">
        <f t="shared" si="1"/>
        <v>466959.40888</v>
      </c>
      <c r="E20" s="84">
        <f t="shared" si="1"/>
        <v>494186.40987999993</v>
      </c>
      <c r="F20" s="84">
        <f t="shared" si="1"/>
        <v>415860.42728999996</v>
      </c>
      <c r="G20" s="84">
        <f t="shared" si="1"/>
        <v>455746.52439999994</v>
      </c>
      <c r="H20" s="84">
        <f t="shared" ref="H20:N20" si="2">SUM(H9:H19)</f>
        <v>500235.60586999997</v>
      </c>
      <c r="I20" s="84">
        <f t="shared" si="2"/>
        <v>598902.02168999997</v>
      </c>
      <c r="J20" s="84">
        <f t="shared" si="2"/>
        <v>587709.09856000007</v>
      </c>
      <c r="K20" s="104">
        <f t="shared" si="2"/>
        <v>616828.81072000007</v>
      </c>
      <c r="L20" s="104">
        <f t="shared" si="2"/>
        <v>595006.19753</v>
      </c>
      <c r="M20" s="104">
        <f t="shared" si="2"/>
        <v>739581.21470639878</v>
      </c>
      <c r="N20" s="104">
        <f t="shared" si="2"/>
        <v>683833.30705025</v>
      </c>
      <c r="O20" s="85">
        <f>SUM(C20:N20)</f>
        <v>6595311.1287466493</v>
      </c>
      <c r="Q20" s="65"/>
    </row>
    <row r="21" spans="1:17" s="3" customFormat="1" x14ac:dyDescent="0.25">
      <c r="A21" s="115" t="s">
        <v>13</v>
      </c>
      <c r="B21" s="7" t="s">
        <v>2</v>
      </c>
      <c r="C21" s="48">
        <v>8117.7648799999988</v>
      </c>
      <c r="D21" s="48">
        <v>8326.0746399999989</v>
      </c>
      <c r="E21" s="48">
        <v>8818.8644599999989</v>
      </c>
      <c r="F21" s="44">
        <v>7738.9658000000027</v>
      </c>
      <c r="G21" s="44">
        <v>8352.1251599999996</v>
      </c>
      <c r="H21" s="62">
        <v>8826.9500800000005</v>
      </c>
      <c r="I21" s="62">
        <v>10691.880640000001</v>
      </c>
      <c r="J21" s="62">
        <v>10506.520470000001</v>
      </c>
      <c r="K21" s="62">
        <v>10746.614250000001</v>
      </c>
      <c r="L21" s="62">
        <v>9932.5250899999992</v>
      </c>
      <c r="M21" s="62">
        <v>11793.590016336739</v>
      </c>
      <c r="N21" s="62">
        <v>12617.121677202171</v>
      </c>
      <c r="O21" s="45">
        <f>SUM(C21:N21)</f>
        <v>116468.99716353891</v>
      </c>
      <c r="Q21" s="65"/>
    </row>
    <row r="22" spans="1:17" s="3" customFormat="1" x14ac:dyDescent="0.25">
      <c r="A22" s="115"/>
      <c r="B22" s="7" t="s">
        <v>3</v>
      </c>
      <c r="C22" s="44">
        <v>7664.8555699999979</v>
      </c>
      <c r="D22" s="44">
        <v>7748.1163600000018</v>
      </c>
      <c r="E22" s="44">
        <v>8772.9341300000015</v>
      </c>
      <c r="F22" s="44">
        <v>7726.4660700000013</v>
      </c>
      <c r="G22" s="44">
        <v>8438.2394100000001</v>
      </c>
      <c r="H22" s="62">
        <v>9111.9673199999961</v>
      </c>
      <c r="I22" s="62">
        <v>10789.744579999999</v>
      </c>
      <c r="J22" s="62">
        <v>10639.342000000001</v>
      </c>
      <c r="K22" s="62">
        <v>10945.36629</v>
      </c>
      <c r="L22" s="62">
        <v>11139.061250000001</v>
      </c>
      <c r="M22" s="62">
        <v>12451.867053817936</v>
      </c>
      <c r="N22" s="62">
        <v>11426.673252901966</v>
      </c>
      <c r="O22" s="45">
        <f t="shared" ref="O22:O38" si="3">SUM(C22:N22)</f>
        <v>116854.63328671991</v>
      </c>
      <c r="Q22" s="65"/>
    </row>
    <row r="23" spans="1:17" s="3" customFormat="1" x14ac:dyDescent="0.25">
      <c r="A23" s="115"/>
      <c r="B23" s="7" t="s">
        <v>14</v>
      </c>
      <c r="C23" s="44">
        <v>28.18554</v>
      </c>
      <c r="D23" s="44">
        <v>21.53997</v>
      </c>
      <c r="E23" s="44">
        <v>29.847480000000001</v>
      </c>
      <c r="F23" s="44">
        <v>20.874839999999999</v>
      </c>
      <c r="G23" s="44">
        <v>22.914930000000002</v>
      </c>
      <c r="H23" s="62">
        <v>24.06756</v>
      </c>
      <c r="I23" s="62">
        <v>36.225569999999998</v>
      </c>
      <c r="J23" s="62">
        <v>20.755380000000002</v>
      </c>
      <c r="K23" s="62">
        <v>20.017679999999999</v>
      </c>
      <c r="L23" s="62">
        <v>18.730080000000001</v>
      </c>
      <c r="M23" s="62">
        <v>21.691810252755271</v>
      </c>
      <c r="N23" s="62">
        <v>14.264507961250494</v>
      </c>
      <c r="O23" s="45">
        <f t="shared" si="3"/>
        <v>279.11534821400573</v>
      </c>
      <c r="Q23" s="65"/>
    </row>
    <row r="24" spans="1:17" s="3" customFormat="1" x14ac:dyDescent="0.25">
      <c r="A24" s="115"/>
      <c r="B24" s="7" t="s">
        <v>4</v>
      </c>
      <c r="C24" s="44">
        <v>23212.890759999998</v>
      </c>
      <c r="D24" s="44">
        <v>24819.333429999999</v>
      </c>
      <c r="E24" s="44">
        <v>26375.745700000007</v>
      </c>
      <c r="F24" s="44">
        <v>22239.160149999974</v>
      </c>
      <c r="G24" s="44">
        <v>25445.850770000008</v>
      </c>
      <c r="H24" s="62">
        <v>27607.692650000012</v>
      </c>
      <c r="I24" s="62">
        <v>34354.300170000039</v>
      </c>
      <c r="J24" s="62">
        <v>33685.420509999996</v>
      </c>
      <c r="K24" s="62">
        <v>35321.902710000002</v>
      </c>
      <c r="L24" s="62">
        <v>34298.323450000004</v>
      </c>
      <c r="M24" s="62">
        <v>41677.190874289663</v>
      </c>
      <c r="N24" s="62">
        <v>39023.6757738245</v>
      </c>
      <c r="O24" s="45">
        <f t="shared" si="3"/>
        <v>368061.48694811424</v>
      </c>
      <c r="Q24" s="65"/>
    </row>
    <row r="25" spans="1:17" s="3" customFormat="1" x14ac:dyDescent="0.25">
      <c r="A25" s="115"/>
      <c r="B25" s="7" t="s">
        <v>5</v>
      </c>
      <c r="C25" s="44">
        <v>6471.3386300000002</v>
      </c>
      <c r="D25" s="44">
        <v>7020.457370000001</v>
      </c>
      <c r="E25" s="44">
        <v>7889.603149999999</v>
      </c>
      <c r="F25" s="44">
        <v>6563.8914399999912</v>
      </c>
      <c r="G25" s="44">
        <v>7129.8628999999964</v>
      </c>
      <c r="H25" s="62">
        <v>8227.3858700000019</v>
      </c>
      <c r="I25" s="62">
        <v>10721.680249999994</v>
      </c>
      <c r="J25" s="62">
        <v>9793.2089499999984</v>
      </c>
      <c r="K25" s="62">
        <v>10277.508889999999</v>
      </c>
      <c r="L25" s="62">
        <v>9508.66698</v>
      </c>
      <c r="M25" s="62">
        <v>12058.036804749039</v>
      </c>
      <c r="N25" s="62">
        <v>11067.861812079747</v>
      </c>
      <c r="O25" s="45">
        <f t="shared" si="3"/>
        <v>106729.50304682876</v>
      </c>
      <c r="Q25" s="65"/>
    </row>
    <row r="26" spans="1:17" s="3" customFormat="1" x14ac:dyDescent="0.25">
      <c r="A26" s="115"/>
      <c r="B26" s="7" t="s">
        <v>6</v>
      </c>
      <c r="C26" s="44">
        <v>60969.322519999994</v>
      </c>
      <c r="D26" s="44">
        <v>68182.755529999995</v>
      </c>
      <c r="E26" s="44">
        <v>66955.967889999985</v>
      </c>
      <c r="F26" s="44">
        <v>55810.032859999963</v>
      </c>
      <c r="G26" s="44">
        <v>62580.838500000027</v>
      </c>
      <c r="H26" s="62">
        <v>70811.347519999981</v>
      </c>
      <c r="I26" s="62">
        <v>83280.646889999989</v>
      </c>
      <c r="J26" s="62">
        <v>77048.463019999981</v>
      </c>
      <c r="K26" s="62">
        <v>78419.819560000004</v>
      </c>
      <c r="L26" s="62">
        <v>85315.279320000001</v>
      </c>
      <c r="M26" s="62">
        <v>81352.451302257585</v>
      </c>
      <c r="N26" s="62">
        <v>92780.121286996131</v>
      </c>
      <c r="O26" s="45">
        <f t="shared" si="3"/>
        <v>883507.04619925364</v>
      </c>
      <c r="Q26" s="65"/>
    </row>
    <row r="27" spans="1:17" s="3" customFormat="1" x14ac:dyDescent="0.25">
      <c r="A27" s="115"/>
      <c r="B27" s="7" t="s">
        <v>46</v>
      </c>
      <c r="C27" s="44">
        <v>5509.2340999999997</v>
      </c>
      <c r="D27" s="44">
        <v>5772.3018999999995</v>
      </c>
      <c r="E27" s="44">
        <v>7380.3044399999999</v>
      </c>
      <c r="F27" s="44">
        <v>3367.2427000000002</v>
      </c>
      <c r="G27" s="44">
        <v>3652.5285199999994</v>
      </c>
      <c r="H27" s="62">
        <v>4029.72496</v>
      </c>
      <c r="I27" s="62">
        <v>4644.3035399999999</v>
      </c>
      <c r="J27" s="62">
        <v>6472.8563199999999</v>
      </c>
      <c r="K27" s="62">
        <v>7218.7585200000003</v>
      </c>
      <c r="L27" s="62">
        <v>6986.0407500000001</v>
      </c>
      <c r="M27" s="62">
        <v>7871.1245655948151</v>
      </c>
      <c r="N27" s="62">
        <v>7262.4994093541318</v>
      </c>
      <c r="O27" s="45">
        <f t="shared" si="3"/>
        <v>70166.919724948937</v>
      </c>
      <c r="Q27" s="65"/>
    </row>
    <row r="28" spans="1:17" s="3" customFormat="1" x14ac:dyDescent="0.25">
      <c r="A28" s="115"/>
      <c r="B28" s="7" t="s">
        <v>15</v>
      </c>
      <c r="C28" s="44">
        <v>827.06442000000004</v>
      </c>
      <c r="D28" s="44">
        <v>1261.1032499999999</v>
      </c>
      <c r="E28" s="44">
        <v>1022.44336</v>
      </c>
      <c r="F28" s="44">
        <v>737.95966999999996</v>
      </c>
      <c r="G28" s="44">
        <v>868.02787999999998</v>
      </c>
      <c r="H28" s="62">
        <v>781.04278999999997</v>
      </c>
      <c r="I28" s="62">
        <v>1224.5716200000002</v>
      </c>
      <c r="J28" s="62">
        <v>1072.8205700000001</v>
      </c>
      <c r="K28" s="62">
        <v>1197.67435</v>
      </c>
      <c r="L28" s="62">
        <v>733.82501999999999</v>
      </c>
      <c r="M28" s="62">
        <v>1118.8500076949128</v>
      </c>
      <c r="N28" s="62">
        <v>1842.2755747732174</v>
      </c>
      <c r="O28" s="45">
        <f t="shared" si="3"/>
        <v>12687.65851246813</v>
      </c>
      <c r="Q28" s="65"/>
    </row>
    <row r="29" spans="1:17" s="3" customFormat="1" x14ac:dyDescent="0.25">
      <c r="A29" s="115"/>
      <c r="B29" s="7" t="s">
        <v>16</v>
      </c>
      <c r="C29" s="44">
        <v>159.71805999999995</v>
      </c>
      <c r="D29" s="44">
        <v>122.05983000000003</v>
      </c>
      <c r="E29" s="44">
        <v>169.13572000000002</v>
      </c>
      <c r="F29" s="44">
        <v>118.29075999999999</v>
      </c>
      <c r="G29" s="44">
        <v>129.85126999999997</v>
      </c>
      <c r="H29" s="62">
        <v>136.38284000000004</v>
      </c>
      <c r="I29" s="62">
        <v>205.27823000000001</v>
      </c>
      <c r="J29" s="62">
        <v>117.61382000000005</v>
      </c>
      <c r="K29" s="62">
        <v>113.43352</v>
      </c>
      <c r="L29" s="62">
        <v>106.13712</v>
      </c>
      <c r="M29" s="62">
        <v>122.92025809894652</v>
      </c>
      <c r="N29" s="62">
        <v>80.832211780419456</v>
      </c>
      <c r="O29" s="45">
        <f t="shared" si="3"/>
        <v>1581.6536398793662</v>
      </c>
      <c r="Q29" s="65"/>
    </row>
    <row r="30" spans="1:17" s="3" customFormat="1" x14ac:dyDescent="0.25">
      <c r="A30" s="115"/>
      <c r="B30" s="7" t="s">
        <v>17</v>
      </c>
      <c r="C30" s="44">
        <v>2644.04475</v>
      </c>
      <c r="D30" s="44">
        <v>2919.2849200000001</v>
      </c>
      <c r="E30" s="44">
        <v>2890.4127199999998</v>
      </c>
      <c r="F30" s="44">
        <v>2488.4791600000003</v>
      </c>
      <c r="G30" s="44">
        <v>2720.2147099999997</v>
      </c>
      <c r="H30" s="62">
        <v>3426.67668</v>
      </c>
      <c r="I30" s="62">
        <v>3465.3626300000001</v>
      </c>
      <c r="J30" s="62">
        <v>4253.33763</v>
      </c>
      <c r="K30" s="62">
        <v>3415.1179699999998</v>
      </c>
      <c r="L30" s="62">
        <v>3856.9149000000002</v>
      </c>
      <c r="M30" s="62">
        <v>5471.0714387883236</v>
      </c>
      <c r="N30" s="62">
        <v>4904.8768037523905</v>
      </c>
      <c r="O30" s="45">
        <f t="shared" si="3"/>
        <v>42455.794312540711</v>
      </c>
      <c r="Q30" s="65"/>
    </row>
    <row r="31" spans="1:17" s="3" customFormat="1" x14ac:dyDescent="0.25">
      <c r="A31" s="115"/>
      <c r="B31" s="7" t="s">
        <v>18</v>
      </c>
      <c r="C31" s="44">
        <v>3884.1724900000004</v>
      </c>
      <c r="D31" s="44">
        <v>4505.9056600000004</v>
      </c>
      <c r="E31" s="44">
        <v>3992.2769099999991</v>
      </c>
      <c r="F31" s="44">
        <v>4003.9030000000002</v>
      </c>
      <c r="G31" s="44">
        <v>4064.6794900000004</v>
      </c>
      <c r="H31" s="62">
        <v>4251.43804</v>
      </c>
      <c r="I31" s="62">
        <v>5595.0928300000005</v>
      </c>
      <c r="J31" s="62">
        <v>5423.6581899999992</v>
      </c>
      <c r="K31" s="62">
        <v>6279.7615800000003</v>
      </c>
      <c r="L31" s="62">
        <v>5165.7244700000001</v>
      </c>
      <c r="M31" s="62">
        <v>7357.8166696503531</v>
      </c>
      <c r="N31" s="62">
        <v>6171.1375132932744</v>
      </c>
      <c r="O31" s="45">
        <f t="shared" si="3"/>
        <v>60695.566842943634</v>
      </c>
      <c r="Q31" s="65"/>
    </row>
    <row r="32" spans="1:17" s="3" customFormat="1" x14ac:dyDescent="0.25">
      <c r="A32" s="115"/>
      <c r="B32" s="7" t="s">
        <v>7</v>
      </c>
      <c r="C32" s="44">
        <v>349.80775</v>
      </c>
      <c r="D32" s="44">
        <v>186.32077999999998</v>
      </c>
      <c r="E32" s="44">
        <v>164.0505</v>
      </c>
      <c r="F32" s="44">
        <v>147.10972000000001</v>
      </c>
      <c r="G32" s="44">
        <v>146.31519</v>
      </c>
      <c r="H32" s="62">
        <v>345.95713000000001</v>
      </c>
      <c r="I32" s="62">
        <v>172.04122000000001</v>
      </c>
      <c r="J32" s="62">
        <v>203.92377999999999</v>
      </c>
      <c r="K32" s="62">
        <v>200.03332</v>
      </c>
      <c r="L32" s="62">
        <v>299.25378999999998</v>
      </c>
      <c r="M32" s="62">
        <v>209.89946718094541</v>
      </c>
      <c r="N32" s="62">
        <v>206.16482000000002</v>
      </c>
      <c r="O32" s="45">
        <f t="shared" si="3"/>
        <v>2630.8774671809456</v>
      </c>
      <c r="Q32" s="65"/>
    </row>
    <row r="33" spans="1:17" s="3" customFormat="1" x14ac:dyDescent="0.25">
      <c r="A33" s="115"/>
      <c r="B33" s="7" t="s">
        <v>8</v>
      </c>
      <c r="C33" s="44">
        <v>299628.33845000004</v>
      </c>
      <c r="D33" s="44">
        <v>299571.34450999985</v>
      </c>
      <c r="E33" s="44">
        <v>321672.3976400001</v>
      </c>
      <c r="F33" s="44">
        <v>278543.32646000007</v>
      </c>
      <c r="G33" s="44">
        <v>306856.85904000001</v>
      </c>
      <c r="H33" s="62">
        <v>342912.6920499999</v>
      </c>
      <c r="I33" s="62">
        <v>403643.16642999998</v>
      </c>
      <c r="J33" s="62">
        <v>395539.42784000002</v>
      </c>
      <c r="K33" s="62">
        <v>417643.43252999999</v>
      </c>
      <c r="L33" s="62">
        <v>387835.59012000001</v>
      </c>
      <c r="M33" s="62">
        <v>532729.91243635409</v>
      </c>
      <c r="N33" s="62">
        <v>464807.13173837413</v>
      </c>
      <c r="O33" s="45">
        <f t="shared" si="3"/>
        <v>4451383.6192447282</v>
      </c>
      <c r="Q33" s="65"/>
    </row>
    <row r="34" spans="1:17" s="3" customFormat="1" x14ac:dyDescent="0.25">
      <c r="A34" s="115"/>
      <c r="B34" s="7" t="s">
        <v>9</v>
      </c>
      <c r="C34" s="44">
        <v>17710.705770000011</v>
      </c>
      <c r="D34" s="44">
        <v>18485.846689999995</v>
      </c>
      <c r="E34" s="44">
        <v>18403.618689999985</v>
      </c>
      <c r="F34" s="44">
        <v>16661.266839999971</v>
      </c>
      <c r="G34" s="44">
        <v>18297.550860000007</v>
      </c>
      <c r="H34" s="62">
        <v>19410.097100000021</v>
      </c>
      <c r="I34" s="62">
        <v>23185.58023000001</v>
      </c>
      <c r="J34" s="62">
        <v>22683.501420000015</v>
      </c>
      <c r="K34" s="62">
        <v>23179.322629999999</v>
      </c>
      <c r="L34" s="62">
        <v>24073.43044</v>
      </c>
      <c r="M34" s="62">
        <v>25319.403686308251</v>
      </c>
      <c r="N34" s="62">
        <v>23308.79732932918</v>
      </c>
      <c r="O34" s="45">
        <f t="shared" si="3"/>
        <v>250719.12168563745</v>
      </c>
      <c r="Q34" s="65"/>
    </row>
    <row r="35" spans="1:17" s="3" customFormat="1" x14ac:dyDescent="0.25">
      <c r="A35" s="115"/>
      <c r="B35" s="7" t="s">
        <v>19</v>
      </c>
      <c r="C35" s="44">
        <v>7765.9991199999995</v>
      </c>
      <c r="D35" s="44">
        <v>5024.44535</v>
      </c>
      <c r="E35" s="44">
        <v>7752.6449899999998</v>
      </c>
      <c r="F35" s="44">
        <v>5675.3309999999992</v>
      </c>
      <c r="G35" s="44">
        <v>5173.9956999999995</v>
      </c>
      <c r="H35" s="62">
        <v>7569.3894</v>
      </c>
      <c r="I35" s="62">
        <v>7458.3226099999993</v>
      </c>
      <c r="J35" s="62">
        <v>7638.5846799999999</v>
      </c>
      <c r="K35" s="62">
        <v>7373.8344699999998</v>
      </c>
      <c r="L35" s="62">
        <v>9733.7445399999997</v>
      </c>
      <c r="M35" s="62">
        <v>8914.7106430994281</v>
      </c>
      <c r="N35" s="62">
        <v>9006.9908083356386</v>
      </c>
      <c r="O35" s="45">
        <f t="shared" si="3"/>
        <v>89087.993311435072</v>
      </c>
      <c r="Q35" s="65"/>
    </row>
    <row r="36" spans="1:17" s="3" customFormat="1" x14ac:dyDescent="0.25">
      <c r="A36" s="115"/>
      <c r="B36" s="7" t="s">
        <v>20</v>
      </c>
      <c r="C36" s="44">
        <v>4687.9402000000009</v>
      </c>
      <c r="D36" s="44">
        <v>4240.5486999999994</v>
      </c>
      <c r="E36" s="44">
        <v>3608.70712</v>
      </c>
      <c r="F36" s="44">
        <v>3822.7801500000005</v>
      </c>
      <c r="G36" s="44">
        <v>3969.4065599999999</v>
      </c>
      <c r="H36" s="62">
        <v>5970.080930000001</v>
      </c>
      <c r="I36" s="62">
        <v>6240.67094</v>
      </c>
      <c r="J36" s="62">
        <v>6094.9381900000008</v>
      </c>
      <c r="K36" s="62">
        <v>6430.1235500000003</v>
      </c>
      <c r="L36" s="62">
        <v>8706.5401700000002</v>
      </c>
      <c r="M36" s="62">
        <v>8863.9672698812301</v>
      </c>
      <c r="N36" s="62">
        <v>7009.1174591635454</v>
      </c>
      <c r="O36" s="45">
        <f t="shared" si="3"/>
        <v>69644.821239044788</v>
      </c>
      <c r="Q36" s="65"/>
    </row>
    <row r="37" spans="1:17" s="3" customFormat="1" x14ac:dyDescent="0.25">
      <c r="A37" s="115"/>
      <c r="B37" s="7" t="s">
        <v>11</v>
      </c>
      <c r="C37" s="44">
        <v>13835.44051</v>
      </c>
      <c r="D37" s="44">
        <v>14761.295740000009</v>
      </c>
      <c r="E37" s="44">
        <v>15382.200340000005</v>
      </c>
      <c r="F37" s="44">
        <v>13141.764339999996</v>
      </c>
      <c r="G37" s="44">
        <v>14273.374299999999</v>
      </c>
      <c r="H37" s="62">
        <v>15367.400559999991</v>
      </c>
      <c r="I37" s="62">
        <v>18729.826980000013</v>
      </c>
      <c r="J37" s="62">
        <v>19051.628630000014</v>
      </c>
      <c r="K37" s="62">
        <v>21375.431759999999</v>
      </c>
      <c r="L37" s="62">
        <v>21516.75548</v>
      </c>
      <c r="M37" s="62">
        <v>25006.456526481266</v>
      </c>
      <c r="N37" s="62">
        <v>22282.694039771133</v>
      </c>
      <c r="O37" s="45">
        <f t="shared" si="3"/>
        <v>214724.26920625241</v>
      </c>
      <c r="Q37" s="65"/>
    </row>
    <row r="38" spans="1:17" s="3" customFormat="1" ht="10.5" thickBot="1" x14ac:dyDescent="0.25">
      <c r="A38" s="115"/>
      <c r="B38" s="7" t="s">
        <v>10</v>
      </c>
      <c r="C38" s="49">
        <v>70849.00989000003</v>
      </c>
      <c r="D38" s="49">
        <v>83088.804860000047</v>
      </c>
      <c r="E38" s="49">
        <v>87673.153439999965</v>
      </c>
      <c r="F38" s="44">
        <v>76786.979579999999</v>
      </c>
      <c r="G38" s="44">
        <v>82278.035690000033</v>
      </c>
      <c r="H38" s="62">
        <v>80637.066250000062</v>
      </c>
      <c r="I38" s="62">
        <v>107556.37280999999</v>
      </c>
      <c r="J38" s="62">
        <v>104259.23281000002</v>
      </c>
      <c r="K38" s="62">
        <v>108809.27602</v>
      </c>
      <c r="L38" s="62">
        <v>101070.97367000001</v>
      </c>
      <c r="M38" s="62">
        <v>123454.6100376955</v>
      </c>
      <c r="N38" s="62">
        <v>118002.88324810716</v>
      </c>
      <c r="O38" s="45">
        <f t="shared" si="3"/>
        <v>1144466.3983058028</v>
      </c>
      <c r="Q38" s="22"/>
    </row>
    <row r="39" spans="1:17" s="3" customFormat="1" ht="11" thickBot="1" x14ac:dyDescent="0.25">
      <c r="A39" s="118" t="s">
        <v>21</v>
      </c>
      <c r="B39" s="129"/>
      <c r="C39" s="84">
        <f>SUM(C21:C38)</f>
        <v>534315.83341000008</v>
      </c>
      <c r="D39" s="84">
        <f t="shared" ref="D39:G39" si="4">SUM(D21:D38)</f>
        <v>556057.53948999988</v>
      </c>
      <c r="E39" s="84">
        <f t="shared" si="4"/>
        <v>588954.30868000002</v>
      </c>
      <c r="F39" s="84">
        <f t="shared" si="4"/>
        <v>505593.82454</v>
      </c>
      <c r="G39" s="84">
        <f t="shared" si="4"/>
        <v>554400.67087999999</v>
      </c>
      <c r="H39" s="84">
        <f t="shared" ref="H39:N39" si="5">SUM(H21:H38)</f>
        <v>609447.35972999991</v>
      </c>
      <c r="I39" s="84">
        <f t="shared" si="5"/>
        <v>731995.06816999998</v>
      </c>
      <c r="J39" s="84">
        <f t="shared" si="5"/>
        <v>714505.23420999991</v>
      </c>
      <c r="K39" s="104">
        <f t="shared" si="5"/>
        <v>748967.42959999992</v>
      </c>
      <c r="L39" s="104">
        <f t="shared" si="5"/>
        <v>720297.51664000005</v>
      </c>
      <c r="M39" s="104">
        <f t="shared" si="5"/>
        <v>905795.57086853194</v>
      </c>
      <c r="N39" s="104">
        <f t="shared" si="5"/>
        <v>831815.11926699989</v>
      </c>
      <c r="O39" s="85">
        <f>SUM(C39:N39)</f>
        <v>8002145.4754855325</v>
      </c>
      <c r="Q39" s="22"/>
    </row>
    <row r="40" spans="1:17" s="3" customFormat="1" ht="10" x14ac:dyDescent="0.2">
      <c r="A40" s="115" t="s">
        <v>43</v>
      </c>
      <c r="B40" s="9" t="s">
        <v>2</v>
      </c>
      <c r="C40" s="50">
        <v>0</v>
      </c>
      <c r="D40" s="50">
        <v>0</v>
      </c>
      <c r="E40" s="50">
        <v>0</v>
      </c>
      <c r="F40" s="44">
        <v>0</v>
      </c>
      <c r="G40" s="44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/>
      <c r="O40" s="45">
        <f>SUM(C40:N40)</f>
        <v>0</v>
      </c>
      <c r="Q40" s="22"/>
    </row>
    <row r="41" spans="1:17" s="3" customFormat="1" ht="10" x14ac:dyDescent="0.2">
      <c r="A41" s="115"/>
      <c r="B41" s="9" t="s">
        <v>3</v>
      </c>
      <c r="C41" s="44">
        <v>112.84791</v>
      </c>
      <c r="D41" s="44">
        <v>168.16475</v>
      </c>
      <c r="E41" s="44">
        <v>0</v>
      </c>
      <c r="F41" s="44">
        <v>0</v>
      </c>
      <c r="G41" s="44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/>
      <c r="O41" s="45">
        <f>SUM(C41:N41)</f>
        <v>281.01265999999998</v>
      </c>
      <c r="Q41" s="22"/>
    </row>
    <row r="42" spans="1:17" s="3" customFormat="1" ht="10" x14ac:dyDescent="0.2">
      <c r="A42" s="115"/>
      <c r="B42" s="9" t="s">
        <v>4</v>
      </c>
      <c r="C42" s="44">
        <v>0</v>
      </c>
      <c r="D42" s="44">
        <v>718.60931000000005</v>
      </c>
      <c r="E42" s="44">
        <v>0</v>
      </c>
      <c r="F42" s="44">
        <v>0</v>
      </c>
      <c r="G42" s="44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/>
      <c r="O42" s="45">
        <f>SUM(C42:N42)</f>
        <v>718.60931000000005</v>
      </c>
      <c r="Q42" s="22"/>
    </row>
    <row r="43" spans="1:17" s="3" customFormat="1" ht="10" x14ac:dyDescent="0.2">
      <c r="A43" s="115"/>
      <c r="B43" s="9" t="s">
        <v>5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2742.3736699999999</v>
      </c>
      <c r="O43" s="45">
        <f>SUM(C43:N43)</f>
        <v>2742.3736699999999</v>
      </c>
      <c r="P43" s="34"/>
      <c r="Q43" s="22"/>
    </row>
    <row r="44" spans="1:17" s="3" customFormat="1" ht="10" x14ac:dyDescent="0.2">
      <c r="A44" s="115"/>
      <c r="B44" s="9" t="s">
        <v>17</v>
      </c>
      <c r="C44" s="44">
        <v>733.81267000000003</v>
      </c>
      <c r="D44" s="44">
        <v>781.59241000000009</v>
      </c>
      <c r="E44" s="44">
        <v>827.25655000000006</v>
      </c>
      <c r="F44" s="44">
        <v>696.90945999999997</v>
      </c>
      <c r="G44" s="44">
        <f>763758.22/1000</f>
        <v>763.75821999999994</v>
      </c>
      <c r="H44" s="62">
        <v>810.93714</v>
      </c>
      <c r="I44" s="62">
        <v>810.93714</v>
      </c>
      <c r="J44" s="62">
        <v>65.340649999999997</v>
      </c>
      <c r="K44" s="62">
        <v>972.21615999999995</v>
      </c>
      <c r="L44" s="62">
        <v>925.8297</v>
      </c>
      <c r="M44" s="62">
        <v>957.79052000000001</v>
      </c>
      <c r="N44" s="62">
        <v>960.87473999999997</v>
      </c>
      <c r="O44" s="45">
        <f t="shared" ref="O44:O47" si="6">SUM(C44:M44)</f>
        <v>8346.3806199999999</v>
      </c>
      <c r="Q44" s="22"/>
    </row>
    <row r="45" spans="1:17" s="3" customFormat="1" ht="10" x14ac:dyDescent="0.2">
      <c r="A45" s="115"/>
      <c r="B45" s="9" t="s">
        <v>8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62">
        <v>0</v>
      </c>
      <c r="I45" s="62">
        <v>0</v>
      </c>
      <c r="J45" s="62">
        <v>0</v>
      </c>
      <c r="K45" s="62">
        <v>0</v>
      </c>
      <c r="L45" s="62">
        <v>0</v>
      </c>
      <c r="M45" s="62">
        <v>0</v>
      </c>
      <c r="N45" s="62"/>
      <c r="O45" s="45">
        <f t="shared" si="6"/>
        <v>0</v>
      </c>
      <c r="Q45" s="22"/>
    </row>
    <row r="46" spans="1:17" s="3" customFormat="1" ht="10" x14ac:dyDescent="0.2">
      <c r="A46" s="115"/>
      <c r="B46" s="9" t="s">
        <v>9</v>
      </c>
      <c r="C46" s="44">
        <v>687.44769999999994</v>
      </c>
      <c r="D46" s="44">
        <v>729.94051999999999</v>
      </c>
      <c r="E46" s="44">
        <v>757.55147999999997</v>
      </c>
      <c r="F46" s="44">
        <f>((646118.46+22855.95)/1000)</f>
        <v>668.97440999999992</v>
      </c>
      <c r="G46" s="44">
        <f>733943.21/1000</f>
        <v>733.94320999999991</v>
      </c>
      <c r="H46" s="62">
        <v>777.84649000000013</v>
      </c>
      <c r="I46" s="62">
        <v>777.84649000000013</v>
      </c>
      <c r="J46" s="62">
        <v>911.52306999999996</v>
      </c>
      <c r="K46" s="62">
        <v>926.63996999999995</v>
      </c>
      <c r="L46" s="62">
        <v>882.29785000000004</v>
      </c>
      <c r="M46" s="62">
        <v>926.30133999999998</v>
      </c>
      <c r="N46" s="62">
        <v>930.05716000000007</v>
      </c>
      <c r="O46" s="45">
        <f t="shared" si="6"/>
        <v>8780.3125299999992</v>
      </c>
      <c r="Q46" s="22"/>
    </row>
    <row r="47" spans="1:17" s="3" customFormat="1" ht="10.5" thickBot="1" x14ac:dyDescent="0.25">
      <c r="A47" s="115"/>
      <c r="B47" s="9" t="s">
        <v>11</v>
      </c>
      <c r="C47" s="44">
        <v>140.34760999999997</v>
      </c>
      <c r="D47" s="44">
        <v>195.66645</v>
      </c>
      <c r="E47" s="44">
        <v>0</v>
      </c>
      <c r="F47" s="44">
        <v>0</v>
      </c>
      <c r="G47" s="44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/>
      <c r="O47" s="45">
        <f t="shared" si="6"/>
        <v>336.01405999999997</v>
      </c>
      <c r="Q47" s="22"/>
    </row>
    <row r="48" spans="1:17" s="3" customFormat="1" ht="11" thickBot="1" x14ac:dyDescent="0.25">
      <c r="A48" s="118" t="s">
        <v>22</v>
      </c>
      <c r="B48" s="129"/>
      <c r="C48" s="84">
        <f>SUM(C40:C47)</f>
        <v>1674.45589</v>
      </c>
      <c r="D48" s="84">
        <f t="shared" ref="D48:F48" si="7">SUM(D40:D47)</f>
        <v>2593.9734400000002</v>
      </c>
      <c r="E48" s="84">
        <f t="shared" si="7"/>
        <v>1584.8080300000001</v>
      </c>
      <c r="F48" s="84">
        <f t="shared" si="7"/>
        <v>1365.8838699999999</v>
      </c>
      <c r="G48" s="84">
        <f t="shared" ref="G48" si="8">SUM(G40:G47)</f>
        <v>1497.7014299999998</v>
      </c>
      <c r="H48" s="84">
        <f t="shared" ref="H48:N48" si="9">SUM(H40:H47)</f>
        <v>1588.7836300000001</v>
      </c>
      <c r="I48" s="84">
        <f t="shared" si="9"/>
        <v>1588.7836300000001</v>
      </c>
      <c r="J48" s="84">
        <f t="shared" si="9"/>
        <v>976.86371999999994</v>
      </c>
      <c r="K48" s="104">
        <f t="shared" si="9"/>
        <v>1898.8561299999999</v>
      </c>
      <c r="L48" s="104">
        <f t="shared" si="9"/>
        <v>1808.1275500000002</v>
      </c>
      <c r="M48" s="104">
        <f t="shared" si="9"/>
        <v>1884.09186</v>
      </c>
      <c r="N48" s="104">
        <f t="shared" si="9"/>
        <v>4633.3055700000004</v>
      </c>
      <c r="O48" s="85">
        <f>SUM(C48:N48)</f>
        <v>23095.634750000001</v>
      </c>
      <c r="P48" s="20"/>
      <c r="Q48" s="22"/>
    </row>
    <row r="49" spans="1:17" s="3" customFormat="1" ht="11" thickBot="1" x14ac:dyDescent="0.25">
      <c r="A49" s="118" t="s">
        <v>23</v>
      </c>
      <c r="B49" s="129"/>
      <c r="C49" s="84">
        <f>SUM(C20+C39+C48)</f>
        <v>976452.39147000003</v>
      </c>
      <c r="D49" s="84">
        <f>SUM(D20+D39+D48)</f>
        <v>1025610.9218099999</v>
      </c>
      <c r="E49" s="84">
        <f t="shared" ref="E49:N49" si="10">E48+E39+E20</f>
        <v>1084725.5265899999</v>
      </c>
      <c r="F49" s="84">
        <f t="shared" si="10"/>
        <v>922820.13569999998</v>
      </c>
      <c r="G49" s="84">
        <f t="shared" si="10"/>
        <v>1011644.89671</v>
      </c>
      <c r="H49" s="84">
        <f t="shared" si="10"/>
        <v>1111271.7492299997</v>
      </c>
      <c r="I49" s="84">
        <f t="shared" si="10"/>
        <v>1332485.8734899999</v>
      </c>
      <c r="J49" s="84">
        <f t="shared" si="10"/>
        <v>1303191.19649</v>
      </c>
      <c r="K49" s="84">
        <f t="shared" si="10"/>
        <v>1367695.0964500001</v>
      </c>
      <c r="L49" s="84">
        <f t="shared" si="10"/>
        <v>1317111.8417199999</v>
      </c>
      <c r="M49" s="84">
        <f t="shared" si="10"/>
        <v>1647260.8774349308</v>
      </c>
      <c r="N49" s="84">
        <f t="shared" si="10"/>
        <v>1520281.7318872497</v>
      </c>
      <c r="O49" s="85">
        <f>SUM(C49:N49)</f>
        <v>14620552.23898218</v>
      </c>
      <c r="Q49" s="22"/>
    </row>
    <row r="50" spans="1:17" s="3" customFormat="1" x14ac:dyDescent="0.25">
      <c r="A50" s="25" t="s">
        <v>24</v>
      </c>
      <c r="B50" s="9"/>
      <c r="C50" s="50">
        <v>114521.14933000001</v>
      </c>
      <c r="D50" s="50">
        <v>121045.18952000001</v>
      </c>
      <c r="E50" s="50">
        <v>126315.06781000001</v>
      </c>
      <c r="F50" s="44">
        <v>104347.66568999999</v>
      </c>
      <c r="G50" s="44">
        <v>113004.30108000002</v>
      </c>
      <c r="H50" s="62">
        <v>123758.80250000001</v>
      </c>
      <c r="I50" s="62">
        <v>145525.96906</v>
      </c>
      <c r="J50" s="62">
        <v>147514.05244</v>
      </c>
      <c r="K50" s="62">
        <v>144046.14532000001</v>
      </c>
      <c r="L50" s="62">
        <v>143489.1869</v>
      </c>
      <c r="M50" s="62">
        <v>145983.37108000001</v>
      </c>
      <c r="N50" s="62">
        <v>158274.48319</v>
      </c>
      <c r="O50" s="45">
        <f>SUM(C50:N50)</f>
        <v>1587825.3839200002</v>
      </c>
      <c r="P50" s="30"/>
      <c r="Q50" s="22"/>
    </row>
    <row r="51" spans="1:17" s="3" customFormat="1" x14ac:dyDescent="0.25">
      <c r="A51" s="25" t="s">
        <v>25</v>
      </c>
      <c r="B51" s="9"/>
      <c r="C51" s="44">
        <v>80795.045339999997</v>
      </c>
      <c r="D51" s="44">
        <v>85390.457989999995</v>
      </c>
      <c r="E51" s="44">
        <v>89150.21918</v>
      </c>
      <c r="F51" s="44">
        <v>73687.032550000004</v>
      </c>
      <c r="G51" s="44">
        <v>79781.333849999995</v>
      </c>
      <c r="H51" s="62">
        <v>87452.812080000003</v>
      </c>
      <c r="I51" s="62">
        <v>114752.28112</v>
      </c>
      <c r="J51" s="62">
        <v>116823.24139</v>
      </c>
      <c r="K51" s="62">
        <v>115124.10666999999</v>
      </c>
      <c r="L51" s="62">
        <v>115192.29323</v>
      </c>
      <c r="M51" s="62">
        <v>118008.50988</v>
      </c>
      <c r="N51" s="62">
        <v>126068.75254999999</v>
      </c>
      <c r="O51" s="45">
        <f t="shared" ref="O51:O52" si="11">SUM(C51:N51)</f>
        <v>1202226.08583</v>
      </c>
      <c r="P51" s="30"/>
      <c r="Q51" s="22"/>
    </row>
    <row r="52" spans="1:17" s="3" customFormat="1" ht="13" thickBot="1" x14ac:dyDescent="0.3">
      <c r="A52" s="25" t="s">
        <v>45</v>
      </c>
      <c r="B52" s="9"/>
      <c r="C52" s="44">
        <v>246670.78201999998</v>
      </c>
      <c r="D52" s="44">
        <v>263678.69358000002</v>
      </c>
      <c r="E52" s="44">
        <v>283050.71564000001</v>
      </c>
      <c r="F52" s="44">
        <v>242640.47595999998</v>
      </c>
      <c r="G52" s="44">
        <v>267738.79234000004</v>
      </c>
      <c r="H52" s="62">
        <v>293481.26857999997</v>
      </c>
      <c r="I52" s="62">
        <v>340751.32648000005</v>
      </c>
      <c r="J52" s="62">
        <v>319142.81783999997</v>
      </c>
      <c r="K52" s="62">
        <v>350575.17058999999</v>
      </c>
      <c r="L52" s="62">
        <v>329018.80219999998</v>
      </c>
      <c r="M52" s="62">
        <v>373191.52036000002</v>
      </c>
      <c r="N52" s="62">
        <v>390234.28674000001</v>
      </c>
      <c r="O52" s="45">
        <f t="shared" si="11"/>
        <v>3700174.65233</v>
      </c>
      <c r="P52" s="30"/>
      <c r="Q52" s="22"/>
    </row>
    <row r="53" spans="1:17" s="3" customFormat="1" ht="13" thickBot="1" x14ac:dyDescent="0.3">
      <c r="A53" s="118" t="s">
        <v>52</v>
      </c>
      <c r="B53" s="129"/>
      <c r="C53" s="84">
        <f t="shared" ref="C53:D53" si="12">SUM(C50:C52)</f>
        <v>441986.97668999998</v>
      </c>
      <c r="D53" s="84">
        <f t="shared" si="12"/>
        <v>470114.34109</v>
      </c>
      <c r="E53" s="84">
        <f>E50+E51+E52</f>
        <v>498516.00263</v>
      </c>
      <c r="F53" s="84">
        <f>F50+F51+F52</f>
        <v>420675.17420000001</v>
      </c>
      <c r="G53" s="84">
        <f>G50+G51+G52</f>
        <v>460524.42727000004</v>
      </c>
      <c r="H53" s="84">
        <f>SUM(H50:H52)</f>
        <v>504692.88315999997</v>
      </c>
      <c r="I53" s="84">
        <f>SUM(I50:I52)</f>
        <v>601029.57666000002</v>
      </c>
      <c r="J53" s="84">
        <f>SUM(J50:J52)</f>
        <v>583480.11167000001</v>
      </c>
      <c r="K53" s="104">
        <f>SUM(K50:K52)</f>
        <v>609745.42258000001</v>
      </c>
      <c r="L53" s="104">
        <f t="shared" ref="L53:N53" si="13">SUM(L50:L52)</f>
        <v>587700.28232999996</v>
      </c>
      <c r="M53" s="104">
        <f t="shared" si="13"/>
        <v>637183.40131999995</v>
      </c>
      <c r="N53" s="104">
        <f t="shared" si="13"/>
        <v>674577.52248000004</v>
      </c>
      <c r="O53" s="85">
        <f>SUM(C53:N53)</f>
        <v>6490226.1220800001</v>
      </c>
      <c r="P53" s="30"/>
      <c r="Q53" s="22"/>
    </row>
    <row r="54" spans="1:17" s="3" customFormat="1" x14ac:dyDescent="0.25">
      <c r="A54" s="25" t="s">
        <v>27</v>
      </c>
      <c r="B54" s="9"/>
      <c r="C54" s="44">
        <v>128157.60491999998</v>
      </c>
      <c r="D54" s="44">
        <v>136520.61972999998</v>
      </c>
      <c r="E54" s="44">
        <v>144351.81976999997</v>
      </c>
      <c r="F54" s="44">
        <v>122764.99735000001</v>
      </c>
      <c r="G54" s="44">
        <v>134808.78884999998</v>
      </c>
      <c r="H54" s="62">
        <v>148216.8653</v>
      </c>
      <c r="I54" s="62">
        <v>178282.7764</v>
      </c>
      <c r="J54" s="62">
        <v>173218.70745999998</v>
      </c>
      <c r="K54" s="62">
        <v>181519.65656</v>
      </c>
      <c r="L54" s="62">
        <v>173983.11304</v>
      </c>
      <c r="M54" s="62">
        <v>219998.85887213293</v>
      </c>
      <c r="N54" s="62">
        <v>202353.97513674997</v>
      </c>
      <c r="O54" s="45">
        <f>SUM(C54:N54)</f>
        <v>1944177.7833888826</v>
      </c>
      <c r="P54" s="110"/>
      <c r="Q54" s="22"/>
    </row>
    <row r="55" spans="1:17" s="3" customFormat="1" ht="13" thickBot="1" x14ac:dyDescent="0.3">
      <c r="A55" s="25" t="s">
        <v>47</v>
      </c>
      <c r="B55" s="9"/>
      <c r="C55" s="44">
        <v>6892.1009999999997</v>
      </c>
      <c r="D55" s="44">
        <v>7613.4856799999998</v>
      </c>
      <c r="E55" s="44">
        <v>6752.3981800000001</v>
      </c>
      <c r="F55" s="44">
        <v>8252.0715400000008</v>
      </c>
      <c r="G55" s="44">
        <v>10273.944120000002</v>
      </c>
      <c r="H55" s="62">
        <v>12874.72676</v>
      </c>
      <c r="I55" s="62">
        <v>20917.250230000001</v>
      </c>
      <c r="J55" s="62">
        <v>21795.533769999998</v>
      </c>
      <c r="K55" s="62">
        <v>24772.415440000001</v>
      </c>
      <c r="L55" s="62">
        <v>21482.172600000002</v>
      </c>
      <c r="M55" s="62">
        <v>147916.4271629366</v>
      </c>
      <c r="N55" s="62">
        <v>32277.033226</v>
      </c>
      <c r="O55" s="45">
        <f>SUM(C55:N55)</f>
        <v>321819.55970893661</v>
      </c>
      <c r="P55" s="30"/>
      <c r="Q55" s="22"/>
    </row>
    <row r="56" spans="1:17" s="3" customFormat="1" ht="13" thickBot="1" x14ac:dyDescent="0.3">
      <c r="A56" s="111" t="s">
        <v>53</v>
      </c>
      <c r="B56" s="122"/>
      <c r="C56" s="86">
        <f t="shared" ref="C56:N56" si="14">SUM(C49+C53+C54+C55)</f>
        <v>1553489.0740800002</v>
      </c>
      <c r="D56" s="86">
        <f t="shared" si="14"/>
        <v>1639859.3683099998</v>
      </c>
      <c r="E56" s="86">
        <f t="shared" si="14"/>
        <v>1734345.7471699999</v>
      </c>
      <c r="F56" s="86">
        <f t="shared" si="14"/>
        <v>1474512.37879</v>
      </c>
      <c r="G56" s="86">
        <f t="shared" si="14"/>
        <v>1617252.0569500001</v>
      </c>
      <c r="H56" s="86">
        <f t="shared" si="14"/>
        <v>1777056.2244499996</v>
      </c>
      <c r="I56" s="86">
        <f t="shared" si="14"/>
        <v>2132715.4767799997</v>
      </c>
      <c r="J56" s="86">
        <f t="shared" si="14"/>
        <v>2081685.5493900001</v>
      </c>
      <c r="K56" s="86">
        <f t="shared" si="14"/>
        <v>2183732.5910300002</v>
      </c>
      <c r="L56" s="86">
        <f t="shared" si="14"/>
        <v>2100277.4096899997</v>
      </c>
      <c r="M56" s="86">
        <f t="shared" si="14"/>
        <v>2652359.5647900002</v>
      </c>
      <c r="N56" s="86">
        <f t="shared" si="14"/>
        <v>2429490.2627300001</v>
      </c>
      <c r="O56" s="87">
        <f>SUM(C56:N56)</f>
        <v>23376775.704159997</v>
      </c>
      <c r="P56" s="30"/>
      <c r="Q56" s="22"/>
    </row>
    <row r="57" spans="1:17" s="3" customFormat="1" x14ac:dyDescent="0.25">
      <c r="A57" s="8" t="s">
        <v>51</v>
      </c>
      <c r="B57" s="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41"/>
      <c r="P57" s="30"/>
      <c r="Q57" s="22"/>
    </row>
    <row r="58" spans="1:17" s="3" customFormat="1" x14ac:dyDescent="0.25">
      <c r="A58" s="115" t="s">
        <v>1</v>
      </c>
      <c r="B58" s="9" t="s">
        <v>2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2">
        <f>SUM(C58:N58)</f>
        <v>0</v>
      </c>
      <c r="P58" s="30"/>
      <c r="Q58" s="22"/>
    </row>
    <row r="59" spans="1:17" s="3" customFormat="1" x14ac:dyDescent="0.25">
      <c r="A59" s="115"/>
      <c r="B59" s="9" t="s">
        <v>3</v>
      </c>
      <c r="C59" s="51">
        <v>0</v>
      </c>
      <c r="D59" s="51">
        <v>8945.9164600000004</v>
      </c>
      <c r="E59" s="51">
        <v>0</v>
      </c>
      <c r="F59" s="51">
        <v>0</v>
      </c>
      <c r="G59" s="51">
        <f>9072082.99/1000</f>
        <v>9072.0829900000008</v>
      </c>
      <c r="H59" s="51">
        <v>0</v>
      </c>
      <c r="I59" s="51">
        <v>0</v>
      </c>
      <c r="J59" s="51">
        <v>11601.340279999999</v>
      </c>
      <c r="K59" s="51">
        <v>0</v>
      </c>
      <c r="L59" s="51">
        <v>0</v>
      </c>
      <c r="M59" s="51">
        <v>14911.98554</v>
      </c>
      <c r="N59" s="51">
        <v>0</v>
      </c>
      <c r="O59" s="52">
        <f t="shared" ref="O59:O66" si="15">SUM(C59:N59)</f>
        <v>44531.325270000001</v>
      </c>
      <c r="P59" s="30"/>
      <c r="Q59" s="22"/>
    </row>
    <row r="60" spans="1:17" s="3" customFormat="1" x14ac:dyDescent="0.25">
      <c r="A60" s="115"/>
      <c r="B60" s="9" t="s">
        <v>4</v>
      </c>
      <c r="C60" s="51">
        <v>0</v>
      </c>
      <c r="D60" s="51">
        <v>2337.2124499999995</v>
      </c>
      <c r="E60" s="51">
        <v>0</v>
      </c>
      <c r="F60" s="51">
        <v>0</v>
      </c>
      <c r="G60" s="51">
        <f>1347191.72/1000</f>
        <v>1347.19172</v>
      </c>
      <c r="H60" s="51">
        <v>0</v>
      </c>
      <c r="I60" s="51">
        <v>0</v>
      </c>
      <c r="J60" s="51">
        <v>1274.8144</v>
      </c>
      <c r="K60" s="51">
        <v>0</v>
      </c>
      <c r="L60" s="51">
        <v>0</v>
      </c>
      <c r="M60" s="51">
        <v>2024.3579499999998</v>
      </c>
      <c r="N60" s="51">
        <v>0</v>
      </c>
      <c r="O60" s="52">
        <f t="shared" si="15"/>
        <v>6983.5765199999996</v>
      </c>
      <c r="P60" s="30"/>
      <c r="Q60" s="22"/>
    </row>
    <row r="61" spans="1:17" s="3" customFormat="1" x14ac:dyDescent="0.25">
      <c r="A61" s="115"/>
      <c r="B61" s="9" t="s">
        <v>6</v>
      </c>
      <c r="C61" s="51">
        <v>0</v>
      </c>
      <c r="D61" s="51">
        <v>208922.43585000004</v>
      </c>
      <c r="E61" s="51">
        <v>909.67779000000007</v>
      </c>
      <c r="F61" s="51">
        <v>0</v>
      </c>
      <c r="G61" s="51">
        <f>243700411.79/1000</f>
        <v>243700.41178999998</v>
      </c>
      <c r="H61" s="51">
        <v>0</v>
      </c>
      <c r="I61" s="51">
        <v>0</v>
      </c>
      <c r="J61" s="51">
        <v>322233.80051999999</v>
      </c>
      <c r="K61" s="51">
        <v>0</v>
      </c>
      <c r="L61" s="51">
        <v>0</v>
      </c>
      <c r="M61" s="51">
        <v>306964.42285999999</v>
      </c>
      <c r="N61" s="51">
        <v>0</v>
      </c>
      <c r="O61" s="52">
        <f t="shared" si="15"/>
        <v>1082730.74881</v>
      </c>
      <c r="P61" s="30"/>
      <c r="Q61" s="22"/>
    </row>
    <row r="62" spans="1:17" s="3" customFormat="1" x14ac:dyDescent="0.25">
      <c r="A62" s="115"/>
      <c r="B62" s="9" t="s">
        <v>46</v>
      </c>
      <c r="C62" s="51">
        <v>0</v>
      </c>
      <c r="D62" s="51">
        <v>0</v>
      </c>
      <c r="E62" s="51">
        <v>0</v>
      </c>
      <c r="F62" s="51">
        <v>0</v>
      </c>
      <c r="G62" s="51">
        <f>9000.05/1000</f>
        <v>9.0000499999999999</v>
      </c>
      <c r="H62" s="51">
        <v>0</v>
      </c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2">
        <f t="shared" si="15"/>
        <v>9.0000499999999999</v>
      </c>
      <c r="P62" s="30"/>
      <c r="Q62" s="22"/>
    </row>
    <row r="63" spans="1:17" s="3" customFormat="1" ht="10" x14ac:dyDescent="0.2">
      <c r="A63" s="115"/>
      <c r="B63" s="9" t="s">
        <v>8</v>
      </c>
      <c r="C63" s="51">
        <v>0</v>
      </c>
      <c r="D63" s="51">
        <v>1635118.7564000001</v>
      </c>
      <c r="E63" s="51">
        <v>201077.52651</v>
      </c>
      <c r="F63" s="51">
        <v>0</v>
      </c>
      <c r="G63" s="51">
        <f>2008408674/1000</f>
        <v>2008408.6740000001</v>
      </c>
      <c r="H63" s="51">
        <v>0</v>
      </c>
      <c r="I63" s="51">
        <f>6449.13/1000</f>
        <v>6.4491300000000003</v>
      </c>
      <c r="J63" s="51">
        <v>2558832.7926100004</v>
      </c>
      <c r="K63" s="51">
        <v>0</v>
      </c>
      <c r="L63" s="51">
        <v>0</v>
      </c>
      <c r="M63" s="51">
        <v>2708344.3235599999</v>
      </c>
      <c r="N63" s="51">
        <v>0</v>
      </c>
      <c r="O63" s="52">
        <f t="shared" si="15"/>
        <v>9111788.5222100001</v>
      </c>
      <c r="Q63" s="22"/>
    </row>
    <row r="64" spans="1:17" s="3" customFormat="1" ht="10" x14ac:dyDescent="0.2">
      <c r="A64" s="115"/>
      <c r="B64" s="9" t="s">
        <v>9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2">
        <f t="shared" si="15"/>
        <v>0</v>
      </c>
      <c r="Q64" s="22"/>
    </row>
    <row r="65" spans="1:17" s="3" customFormat="1" ht="10" x14ac:dyDescent="0.2">
      <c r="A65" s="115"/>
      <c r="B65" s="9" t="s">
        <v>11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2">
        <f t="shared" si="15"/>
        <v>0</v>
      </c>
      <c r="Q65" s="22"/>
    </row>
    <row r="66" spans="1:17" s="3" customFormat="1" ht="10.5" thickBot="1" x14ac:dyDescent="0.25">
      <c r="A66" s="116"/>
      <c r="B66" s="9" t="s">
        <v>10</v>
      </c>
      <c r="C66" s="51">
        <v>0</v>
      </c>
      <c r="D66" s="51">
        <v>307062.85177999997</v>
      </c>
      <c r="E66" s="51">
        <v>0</v>
      </c>
      <c r="F66" s="51">
        <v>0</v>
      </c>
      <c r="G66" s="51">
        <f>355104219.34/1000</f>
        <v>355104.21933999995</v>
      </c>
      <c r="H66" s="51">
        <v>0</v>
      </c>
      <c r="I66" s="51">
        <v>0</v>
      </c>
      <c r="J66" s="51">
        <v>404032.19438999996</v>
      </c>
      <c r="K66" s="51">
        <v>0</v>
      </c>
      <c r="L66" s="51">
        <v>0</v>
      </c>
      <c r="M66" s="51">
        <v>514594.43355000002</v>
      </c>
      <c r="N66" s="51">
        <v>0</v>
      </c>
      <c r="O66" s="52">
        <f t="shared" si="15"/>
        <v>1580793.6990599998</v>
      </c>
      <c r="Q66" s="22"/>
    </row>
    <row r="67" spans="1:17" s="3" customFormat="1" ht="13.5" customHeight="1" thickBot="1" x14ac:dyDescent="0.25">
      <c r="A67" s="118" t="s">
        <v>12</v>
      </c>
      <c r="B67" s="119"/>
      <c r="C67" s="66">
        <f t="shared" ref="C67:G67" si="16">SUM(C58:C66)</f>
        <v>0</v>
      </c>
      <c r="D67" s="66">
        <f t="shared" si="16"/>
        <v>2162387.17294</v>
      </c>
      <c r="E67" s="66">
        <f t="shared" si="16"/>
        <v>201987.20429999998</v>
      </c>
      <c r="F67" s="66">
        <f t="shared" si="16"/>
        <v>0</v>
      </c>
      <c r="G67" s="66">
        <f t="shared" si="16"/>
        <v>2617641.5798900002</v>
      </c>
      <c r="H67" s="66">
        <f t="shared" ref="H67:J67" si="17">SUM(H58:H66)</f>
        <v>0</v>
      </c>
      <c r="I67" s="66">
        <f t="shared" si="17"/>
        <v>6.4491300000000003</v>
      </c>
      <c r="J67" s="66">
        <f t="shared" si="17"/>
        <v>3297974.9422000004</v>
      </c>
      <c r="K67" s="66">
        <f t="shared" ref="K67:N67" si="18">SUM(K58:K66)</f>
        <v>0</v>
      </c>
      <c r="L67" s="66">
        <f t="shared" si="18"/>
        <v>0</v>
      </c>
      <c r="M67" s="66">
        <f t="shared" si="18"/>
        <v>3546839.5234600003</v>
      </c>
      <c r="N67" s="66">
        <f t="shared" si="18"/>
        <v>0</v>
      </c>
      <c r="O67" s="67">
        <f>SUM(C67:N67)</f>
        <v>11826836.871920001</v>
      </c>
      <c r="Q67" s="22"/>
    </row>
    <row r="68" spans="1:17" s="3" customFormat="1" ht="10" x14ac:dyDescent="0.2">
      <c r="A68" s="117" t="s">
        <v>13</v>
      </c>
      <c r="B68" s="9" t="s">
        <v>2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2">
        <f>SUM(C68:N68)</f>
        <v>0</v>
      </c>
      <c r="Q68" s="22"/>
    </row>
    <row r="69" spans="1:17" s="3" customFormat="1" ht="10" x14ac:dyDescent="0.2">
      <c r="A69" s="115"/>
      <c r="B69" s="9" t="s">
        <v>3</v>
      </c>
      <c r="C69" s="53">
        <v>0</v>
      </c>
      <c r="D69" s="53">
        <v>2236.4791099999998</v>
      </c>
      <c r="E69" s="53">
        <v>0</v>
      </c>
      <c r="F69" s="53">
        <v>0</v>
      </c>
      <c r="G69" s="53">
        <f>2268020.75/1000</f>
        <v>2268.0207500000001</v>
      </c>
      <c r="H69" s="53">
        <v>0</v>
      </c>
      <c r="I69" s="53">
        <v>0</v>
      </c>
      <c r="J69" s="53">
        <v>2900.3350799999998</v>
      </c>
      <c r="K69" s="53">
        <v>0</v>
      </c>
      <c r="L69" s="53">
        <v>0</v>
      </c>
      <c r="M69" s="53">
        <v>3727.99638</v>
      </c>
      <c r="N69" s="53">
        <v>0</v>
      </c>
      <c r="O69" s="52">
        <f t="shared" ref="O69:O76" si="19">SUM(C69:N69)</f>
        <v>11132.831319999999</v>
      </c>
      <c r="Q69" s="22"/>
    </row>
    <row r="70" spans="1:17" s="3" customFormat="1" ht="10" x14ac:dyDescent="0.2">
      <c r="A70" s="115"/>
      <c r="B70" s="9" t="s">
        <v>4</v>
      </c>
      <c r="C70" s="53">
        <v>0</v>
      </c>
      <c r="D70" s="53">
        <v>584.30310999999995</v>
      </c>
      <c r="E70" s="53">
        <v>0</v>
      </c>
      <c r="F70" s="53">
        <v>0</v>
      </c>
      <c r="G70" s="53">
        <f>336797.92/1000</f>
        <v>336.79791999999998</v>
      </c>
      <c r="H70" s="53">
        <v>0</v>
      </c>
      <c r="I70" s="53">
        <v>0</v>
      </c>
      <c r="J70" s="53">
        <v>318.70360999999997</v>
      </c>
      <c r="K70" s="53">
        <v>0</v>
      </c>
      <c r="L70" s="53">
        <v>0</v>
      </c>
      <c r="M70" s="53">
        <v>506.08949000000001</v>
      </c>
      <c r="N70" s="53">
        <v>0</v>
      </c>
      <c r="O70" s="52">
        <f t="shared" si="19"/>
        <v>1745.8941299999999</v>
      </c>
      <c r="Q70" s="22"/>
    </row>
    <row r="71" spans="1:17" s="3" customFormat="1" ht="10" x14ac:dyDescent="0.2">
      <c r="A71" s="115"/>
      <c r="B71" s="11" t="s">
        <v>6</v>
      </c>
      <c r="C71" s="53">
        <v>0</v>
      </c>
      <c r="D71" s="53">
        <v>52230.608939999998</v>
      </c>
      <c r="E71" s="53">
        <v>227.41945000000001</v>
      </c>
      <c r="F71" s="53">
        <v>0</v>
      </c>
      <c r="G71" s="53">
        <f>60925102.92/1000</f>
        <v>60925.102920000005</v>
      </c>
      <c r="H71" s="53">
        <v>0</v>
      </c>
      <c r="I71" s="53">
        <v>0</v>
      </c>
      <c r="J71" s="53">
        <v>80558.450129999997</v>
      </c>
      <c r="K71" s="53">
        <v>0</v>
      </c>
      <c r="L71" s="53">
        <v>0</v>
      </c>
      <c r="M71" s="53">
        <v>76741.105719999992</v>
      </c>
      <c r="N71" s="53">
        <v>0</v>
      </c>
      <c r="O71" s="52">
        <f t="shared" si="19"/>
        <v>270682.68715999997</v>
      </c>
      <c r="Q71" s="22"/>
    </row>
    <row r="72" spans="1:17" s="3" customFormat="1" ht="10" x14ac:dyDescent="0.2">
      <c r="A72" s="115"/>
      <c r="B72" s="11" t="s">
        <v>46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2">
        <f t="shared" si="19"/>
        <v>0</v>
      </c>
      <c r="Q72" s="22"/>
    </row>
    <row r="73" spans="1:17" s="3" customFormat="1" ht="10" x14ac:dyDescent="0.2">
      <c r="A73" s="115"/>
      <c r="B73" s="11" t="s">
        <v>8</v>
      </c>
      <c r="C73" s="53">
        <v>0</v>
      </c>
      <c r="D73" s="53">
        <v>408779.68910000002</v>
      </c>
      <c r="E73" s="53">
        <v>50269.381620000007</v>
      </c>
      <c r="F73" s="53">
        <v>0</v>
      </c>
      <c r="G73" s="53">
        <f>502104418.53/1000</f>
        <v>502104.41852999997</v>
      </c>
      <c r="H73" s="53">
        <v>0</v>
      </c>
      <c r="I73" s="53">
        <f>1612.28/1000</f>
        <v>1.6122799999999999</v>
      </c>
      <c r="J73" s="53">
        <v>639708.19817000011</v>
      </c>
      <c r="K73" s="53">
        <v>0</v>
      </c>
      <c r="L73" s="53">
        <v>0</v>
      </c>
      <c r="M73" s="53">
        <v>677086.08089999994</v>
      </c>
      <c r="N73" s="53">
        <v>0</v>
      </c>
      <c r="O73" s="52">
        <f t="shared" si="19"/>
        <v>2277949.3805999998</v>
      </c>
      <c r="Q73" s="22"/>
    </row>
    <row r="74" spans="1:17" s="3" customFormat="1" ht="10" x14ac:dyDescent="0.2">
      <c r="A74" s="115"/>
      <c r="B74" s="11" t="s">
        <v>9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2">
        <f t="shared" si="19"/>
        <v>0</v>
      </c>
      <c r="Q74" s="22"/>
    </row>
    <row r="75" spans="1:17" s="3" customFormat="1" ht="10" x14ac:dyDescent="0.2">
      <c r="A75" s="115"/>
      <c r="B75" s="11" t="s">
        <v>11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3">
        <v>0</v>
      </c>
      <c r="N75" s="53">
        <v>0</v>
      </c>
      <c r="O75" s="52">
        <f t="shared" si="19"/>
        <v>0</v>
      </c>
      <c r="Q75" s="22"/>
    </row>
    <row r="76" spans="1:17" s="3" customFormat="1" ht="10.5" thickBot="1" x14ac:dyDescent="0.25">
      <c r="A76" s="116"/>
      <c r="B76" s="11" t="s">
        <v>10</v>
      </c>
      <c r="C76" s="53">
        <v>0</v>
      </c>
      <c r="D76" s="53">
        <v>76765.712949999986</v>
      </c>
      <c r="E76" s="53">
        <v>0</v>
      </c>
      <c r="F76" s="53">
        <v>0</v>
      </c>
      <c r="G76" s="53">
        <f>88776054.84/1000</f>
        <v>88776.054839999997</v>
      </c>
      <c r="H76" s="53">
        <v>0</v>
      </c>
      <c r="I76" s="53">
        <v>0</v>
      </c>
      <c r="J76" s="53">
        <v>101008.04856999998</v>
      </c>
      <c r="K76" s="53">
        <v>0</v>
      </c>
      <c r="L76" s="53">
        <v>0</v>
      </c>
      <c r="M76" s="53">
        <v>128648.60837999999</v>
      </c>
      <c r="N76" s="53">
        <v>0</v>
      </c>
      <c r="O76" s="52">
        <f t="shared" si="19"/>
        <v>395198.42473999993</v>
      </c>
      <c r="Q76" s="22"/>
    </row>
    <row r="77" spans="1:17" s="3" customFormat="1" ht="13.5" customHeight="1" thickBot="1" x14ac:dyDescent="0.25">
      <c r="A77" s="118" t="s">
        <v>21</v>
      </c>
      <c r="B77" s="119"/>
      <c r="C77" s="68">
        <f t="shared" ref="C77:G77" si="20">SUM(C68:C76)</f>
        <v>0</v>
      </c>
      <c r="D77" s="68">
        <f t="shared" si="20"/>
        <v>540596.79321000003</v>
      </c>
      <c r="E77" s="68">
        <f t="shared" si="20"/>
        <v>50496.801070000009</v>
      </c>
      <c r="F77" s="68">
        <f t="shared" si="20"/>
        <v>0</v>
      </c>
      <c r="G77" s="68">
        <f t="shared" si="20"/>
        <v>654410.39495999995</v>
      </c>
      <c r="H77" s="68">
        <f t="shared" ref="H77:J77" si="21">SUM(H68:H76)</f>
        <v>0</v>
      </c>
      <c r="I77" s="68">
        <f t="shared" si="21"/>
        <v>1.6122799999999999</v>
      </c>
      <c r="J77" s="68">
        <f t="shared" si="21"/>
        <v>824493.73556000006</v>
      </c>
      <c r="K77" s="68">
        <f t="shared" ref="K77:N77" si="22">SUM(K68:K76)</f>
        <v>0</v>
      </c>
      <c r="L77" s="68">
        <f t="shared" si="22"/>
        <v>0</v>
      </c>
      <c r="M77" s="68">
        <f t="shared" si="22"/>
        <v>886709.88086999988</v>
      </c>
      <c r="N77" s="68">
        <f t="shared" si="22"/>
        <v>0</v>
      </c>
      <c r="O77" s="67">
        <f t="shared" ref="O77:O83" si="23">SUM(C77:N77)</f>
        <v>2956709.21795</v>
      </c>
      <c r="P77" s="23"/>
      <c r="Q77" s="22"/>
    </row>
    <row r="78" spans="1:17" s="3" customFormat="1" ht="12.75" customHeight="1" thickBot="1" x14ac:dyDescent="0.25">
      <c r="A78" s="118" t="s">
        <v>43</v>
      </c>
      <c r="B78" s="119"/>
      <c r="C78" s="71">
        <v>0</v>
      </c>
      <c r="D78" s="71">
        <v>15415.679619999999</v>
      </c>
      <c r="E78" s="71">
        <v>0</v>
      </c>
      <c r="F78" s="71">
        <v>0</v>
      </c>
      <c r="G78" s="71">
        <f>13124312.02/1000</f>
        <v>13124.312019999999</v>
      </c>
      <c r="H78" s="71">
        <v>0</v>
      </c>
      <c r="I78" s="71">
        <v>0</v>
      </c>
      <c r="J78" s="72">
        <f>18972403.58/1000</f>
        <v>18972.403579999998</v>
      </c>
      <c r="K78" s="71">
        <v>0</v>
      </c>
      <c r="L78" s="71">
        <v>0</v>
      </c>
      <c r="M78" s="71">
        <f>12188713.48/1000</f>
        <v>12188.71348</v>
      </c>
      <c r="N78" s="72">
        <v>0</v>
      </c>
      <c r="O78" s="73">
        <f t="shared" si="23"/>
        <v>59701.108699999997</v>
      </c>
      <c r="Q78" s="22"/>
    </row>
    <row r="79" spans="1:17" s="3" customFormat="1" ht="13.5" customHeight="1" thickBot="1" x14ac:dyDescent="0.25">
      <c r="A79" s="120" t="s">
        <v>55</v>
      </c>
      <c r="B79" s="121"/>
      <c r="C79" s="69">
        <f t="shared" ref="C79" si="24">C67+C77+C78</f>
        <v>0</v>
      </c>
      <c r="D79" s="69">
        <f t="shared" ref="D79:G79" si="25">D67+D77+D78</f>
        <v>2718399.6457699998</v>
      </c>
      <c r="E79" s="69">
        <f t="shared" si="25"/>
        <v>252484.00537</v>
      </c>
      <c r="F79" s="69">
        <f t="shared" si="25"/>
        <v>0</v>
      </c>
      <c r="G79" s="69">
        <f t="shared" si="25"/>
        <v>3285176.28687</v>
      </c>
      <c r="H79" s="69">
        <f t="shared" ref="H79:J79" si="26">H67+H77+H78</f>
        <v>0</v>
      </c>
      <c r="I79" s="69">
        <f t="shared" si="26"/>
        <v>8.0614100000000004</v>
      </c>
      <c r="J79" s="69">
        <f t="shared" si="26"/>
        <v>4141441.0813400005</v>
      </c>
      <c r="K79" s="69">
        <f t="shared" ref="K79:N79" si="27">K67+K77+K78</f>
        <v>0</v>
      </c>
      <c r="L79" s="69">
        <f t="shared" si="27"/>
        <v>0</v>
      </c>
      <c r="M79" s="69">
        <f t="shared" si="27"/>
        <v>4445738.1178100007</v>
      </c>
      <c r="N79" s="69">
        <f t="shared" si="27"/>
        <v>0</v>
      </c>
      <c r="O79" s="70">
        <f t="shared" si="23"/>
        <v>14843247.198570002</v>
      </c>
      <c r="Q79" s="22"/>
    </row>
    <row r="80" spans="1:17" s="3" customFormat="1" ht="10" x14ac:dyDescent="0.2">
      <c r="A80" s="25" t="s">
        <v>29</v>
      </c>
      <c r="B80" s="11"/>
      <c r="C80" s="54">
        <v>0</v>
      </c>
      <c r="D80" s="54">
        <v>94843.197880000007</v>
      </c>
      <c r="E80" s="54">
        <v>50496.801079999997</v>
      </c>
      <c r="F80" s="54">
        <v>0</v>
      </c>
      <c r="G80" s="54">
        <f>127288183.66/1000</f>
        <v>127288.18366</v>
      </c>
      <c r="H80" s="54">
        <v>0</v>
      </c>
      <c r="I80" s="54">
        <f>1591.48/1000</f>
        <v>1.59148</v>
      </c>
      <c r="J80" s="53">
        <v>146962.46289</v>
      </c>
      <c r="K80" s="54">
        <v>0</v>
      </c>
      <c r="L80" s="54">
        <v>0</v>
      </c>
      <c r="M80" s="54">
        <f>VLOOKUP(A80,'[1]Caixa 2018'!$A$8:$J$10,10,0)/1000</f>
        <v>131426.45206000001</v>
      </c>
      <c r="N80" s="54">
        <v>0</v>
      </c>
      <c r="O80" s="52">
        <f t="shared" si="23"/>
        <v>551018.68905000004</v>
      </c>
      <c r="Q80" s="22"/>
    </row>
    <row r="81" spans="1:17" s="3" customFormat="1" ht="10" x14ac:dyDescent="0.2">
      <c r="A81" s="25" t="s">
        <v>28</v>
      </c>
      <c r="B81" s="11"/>
      <c r="C81" s="54">
        <v>0</v>
      </c>
      <c r="D81" s="54">
        <v>379372.79148000001</v>
      </c>
      <c r="E81" s="54">
        <v>201987.20428999999</v>
      </c>
      <c r="F81" s="54">
        <v>0</v>
      </c>
      <c r="G81" s="54">
        <f>509152734.65/1000</f>
        <v>509152.73465</v>
      </c>
      <c r="H81" s="54">
        <v>0</v>
      </c>
      <c r="I81" s="54">
        <f>6365.94/1000</f>
        <v>6.3659399999999993</v>
      </c>
      <c r="J81" s="53">
        <v>587849.85153999995</v>
      </c>
      <c r="K81" s="54">
        <v>0</v>
      </c>
      <c r="L81" s="54">
        <v>0</v>
      </c>
      <c r="M81" s="54">
        <f>VLOOKUP(A81,'[1]Caixa 2018'!$A$8:$J$10,10,0)/1000</f>
        <v>525705.80825</v>
      </c>
      <c r="N81" s="54">
        <v>0</v>
      </c>
      <c r="O81" s="52">
        <f t="shared" si="23"/>
        <v>2204074.7561499998</v>
      </c>
      <c r="Q81" s="22"/>
    </row>
    <row r="82" spans="1:17" s="3" customFormat="1" ht="10.5" thickBot="1" x14ac:dyDescent="0.25">
      <c r="A82" s="25" t="s">
        <v>45</v>
      </c>
      <c r="B82" s="11"/>
      <c r="C82" s="54">
        <v>0</v>
      </c>
      <c r="D82" s="54">
        <v>2228767.97682</v>
      </c>
      <c r="E82" s="54">
        <v>0</v>
      </c>
      <c r="F82" s="54">
        <v>0</v>
      </c>
      <c r="G82" s="54">
        <f>2635611056.53/1000</f>
        <v>2635611.0565300002</v>
      </c>
      <c r="H82" s="54">
        <v>0</v>
      </c>
      <c r="I82" s="54">
        <f>103.99/1000</f>
        <v>0.10399</v>
      </c>
      <c r="J82" s="53">
        <v>3387656.3633300001</v>
      </c>
      <c r="K82" s="54">
        <v>0</v>
      </c>
      <c r="L82" s="54">
        <v>0</v>
      </c>
      <c r="M82" s="54">
        <f>VLOOKUP(A82,'[1]Caixa 2018'!$A$8:$J$10,10,0)/1000</f>
        <v>3776417.14402</v>
      </c>
      <c r="N82" s="54">
        <v>0</v>
      </c>
      <c r="O82" s="52">
        <f t="shared" si="23"/>
        <v>12028452.64469</v>
      </c>
      <c r="Q82" s="22"/>
    </row>
    <row r="83" spans="1:17" s="3" customFormat="1" ht="13.5" customHeight="1" thickBot="1" x14ac:dyDescent="0.25">
      <c r="A83" s="118" t="s">
        <v>26</v>
      </c>
      <c r="B83" s="119"/>
      <c r="C83" s="68">
        <f t="shared" ref="C83:F83" si="28">SUM(C80:C82)</f>
        <v>0</v>
      </c>
      <c r="D83" s="68">
        <f t="shared" si="28"/>
        <v>2702983.96618</v>
      </c>
      <c r="E83" s="68">
        <f t="shared" si="28"/>
        <v>252484.00537</v>
      </c>
      <c r="F83" s="68">
        <f t="shared" si="28"/>
        <v>0</v>
      </c>
      <c r="G83" s="68">
        <f>SUM(G80:G82)</f>
        <v>3272051.9748400003</v>
      </c>
      <c r="H83" s="68">
        <f t="shared" ref="H83:I83" si="29">SUM(H80:H82)</f>
        <v>0</v>
      </c>
      <c r="I83" s="68">
        <f t="shared" si="29"/>
        <v>8.0614099999999986</v>
      </c>
      <c r="J83" s="68">
        <f>SUM(J80:J82)</f>
        <v>4122468.6777599999</v>
      </c>
      <c r="K83" s="68">
        <f t="shared" ref="K83:L83" si="30">SUM(K80:K82)</f>
        <v>0</v>
      </c>
      <c r="L83" s="68">
        <f t="shared" si="30"/>
        <v>0</v>
      </c>
      <c r="M83" s="68">
        <f>SUM(M80:M82)</f>
        <v>4433549.4043300003</v>
      </c>
      <c r="N83" s="68">
        <f>SUM(N80:N82)</f>
        <v>0</v>
      </c>
      <c r="O83" s="67">
        <f t="shared" si="23"/>
        <v>14783546.089889999</v>
      </c>
      <c r="Q83" s="22"/>
    </row>
    <row r="84" spans="1:17" s="3" customFormat="1" ht="13.5" customHeight="1" thickBot="1" x14ac:dyDescent="0.25">
      <c r="A84" s="111" t="s">
        <v>54</v>
      </c>
      <c r="B84" s="112"/>
      <c r="C84" s="74">
        <f t="shared" ref="C84" si="31">C79+C83</f>
        <v>0</v>
      </c>
      <c r="D84" s="74">
        <f>D79+D83</f>
        <v>5421383.6119499998</v>
      </c>
      <c r="E84" s="74">
        <f t="shared" ref="E84:O84" si="32">E79+E83</f>
        <v>504968.01074</v>
      </c>
      <c r="F84" s="74">
        <f t="shared" si="32"/>
        <v>0</v>
      </c>
      <c r="G84" s="74">
        <f t="shared" si="32"/>
        <v>6557228.2617100002</v>
      </c>
      <c r="H84" s="74">
        <f t="shared" si="32"/>
        <v>0</v>
      </c>
      <c r="I84" s="74">
        <f t="shared" si="32"/>
        <v>16.122819999999997</v>
      </c>
      <c r="J84" s="74">
        <f t="shared" si="32"/>
        <v>8263909.7591000004</v>
      </c>
      <c r="K84" s="74">
        <f t="shared" ref="K84:N84" si="33">K79+K83</f>
        <v>0</v>
      </c>
      <c r="L84" s="74">
        <f t="shared" si="33"/>
        <v>0</v>
      </c>
      <c r="M84" s="74">
        <f t="shared" si="33"/>
        <v>8879287.52214</v>
      </c>
      <c r="N84" s="74">
        <f t="shared" si="33"/>
        <v>0</v>
      </c>
      <c r="O84" s="75">
        <f t="shared" si="32"/>
        <v>29626793.288460001</v>
      </c>
      <c r="P84" s="22"/>
      <c r="Q84" s="22"/>
    </row>
    <row r="85" spans="1:17" s="3" customFormat="1" ht="13.5" customHeight="1" thickBot="1" x14ac:dyDescent="0.25">
      <c r="A85" s="89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2"/>
      <c r="Q85" s="22"/>
    </row>
    <row r="86" spans="1:17" s="3" customFormat="1" ht="11" thickBot="1" x14ac:dyDescent="0.25">
      <c r="A86" s="123" t="s">
        <v>57</v>
      </c>
      <c r="B86" s="124"/>
      <c r="C86" s="78">
        <v>249747.53637000002</v>
      </c>
      <c r="D86" s="78">
        <v>225.26718000000017</v>
      </c>
      <c r="E86" s="78">
        <v>161.1293</v>
      </c>
      <c r="F86" s="78">
        <v>54.393799999999999</v>
      </c>
      <c r="G86" s="74">
        <v>0</v>
      </c>
      <c r="H86" s="74">
        <v>0</v>
      </c>
      <c r="I86" s="74">
        <v>0</v>
      </c>
      <c r="J86" s="74">
        <v>196.01115000000001</v>
      </c>
      <c r="K86" s="105">
        <v>1388.7919099999999</v>
      </c>
      <c r="L86" s="105">
        <v>40.683670000000006</v>
      </c>
      <c r="M86" s="105">
        <v>8.7620199999999997</v>
      </c>
      <c r="N86" s="105">
        <v>6233.1081599999998</v>
      </c>
      <c r="O86" s="79">
        <f>SUM(C86:N86)</f>
        <v>258055.68356</v>
      </c>
      <c r="Q86" s="22"/>
    </row>
    <row r="87" spans="1:17" s="3" customFormat="1" ht="11" thickBot="1" x14ac:dyDescent="0.25">
      <c r="A87" s="125" t="s">
        <v>59</v>
      </c>
      <c r="B87" s="126"/>
      <c r="C87" s="101">
        <f>0.1331*1000</f>
        <v>133.1</v>
      </c>
      <c r="D87" s="101">
        <v>0</v>
      </c>
      <c r="E87" s="101">
        <v>0</v>
      </c>
      <c r="F87" s="101">
        <v>0</v>
      </c>
      <c r="G87" s="101">
        <v>0</v>
      </c>
      <c r="H87" s="101">
        <v>0</v>
      </c>
      <c r="I87" s="101">
        <v>0</v>
      </c>
      <c r="J87" s="103">
        <f>7038.44*1000</f>
        <v>7038440</v>
      </c>
      <c r="K87" s="107">
        <f>(3150+976.1073)*1000</f>
        <v>4126107.3</v>
      </c>
      <c r="L87" s="106">
        <f>100*1000</f>
        <v>100000</v>
      </c>
      <c r="M87" s="106">
        <f>6720*1000</f>
        <v>6720000</v>
      </c>
      <c r="N87" s="106">
        <v>0</v>
      </c>
      <c r="O87" s="102">
        <f>SUM(C87:N87)</f>
        <v>17984680.399999999</v>
      </c>
      <c r="Q87" s="22"/>
    </row>
    <row r="88" spans="1:17" s="3" customFormat="1" ht="14.25" customHeight="1" thickTop="1" thickBot="1" x14ac:dyDescent="0.25">
      <c r="A88" s="113" t="s">
        <v>56</v>
      </c>
      <c r="B88" s="114"/>
      <c r="C88" s="98">
        <f>SUM(C56+C86+C87)+C84</f>
        <v>1803369.7104500004</v>
      </c>
      <c r="D88" s="98">
        <f>SUM(D56+D86+D87)+D84</f>
        <v>7061468.2474399991</v>
      </c>
      <c r="E88" s="98">
        <f>SUM(E56+E86+E87)+E84</f>
        <v>2239474.8872099998</v>
      </c>
      <c r="F88" s="98">
        <f>SUM(F56+F86+F87)+F84</f>
        <v>1474566.7725899999</v>
      </c>
      <c r="G88" s="98">
        <f t="shared" ref="G88:I88" si="34">SUM(G56+G86+G87)+G84</f>
        <v>8174480.3186600003</v>
      </c>
      <c r="H88" s="98">
        <f t="shared" si="34"/>
        <v>1777056.2244499996</v>
      </c>
      <c r="I88" s="98">
        <f t="shared" si="34"/>
        <v>2132731.5995999998</v>
      </c>
      <c r="J88" s="98">
        <f>SUM(J56+J86+J87)+J84</f>
        <v>17384231.319639999</v>
      </c>
      <c r="K88" s="98">
        <f t="shared" ref="K88:N88" si="35">SUM(K56+K86+K87)+K84</f>
        <v>6311228.6829400007</v>
      </c>
      <c r="L88" s="98">
        <f t="shared" si="35"/>
        <v>2200318.0933599998</v>
      </c>
      <c r="M88" s="98">
        <f t="shared" si="35"/>
        <v>18251655.848949999</v>
      </c>
      <c r="N88" s="98">
        <f t="shared" si="35"/>
        <v>2435723.3708899999</v>
      </c>
      <c r="O88" s="99">
        <f>SUM(C88:N88)</f>
        <v>71246305.076179996</v>
      </c>
      <c r="Q88" s="22"/>
    </row>
    <row r="89" spans="1:17" s="3" customFormat="1" ht="14.25" customHeight="1" thickTop="1" thickBot="1" x14ac:dyDescent="0.25">
      <c r="A89" s="93"/>
      <c r="B89" s="93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5"/>
      <c r="Q89" s="22"/>
    </row>
    <row r="90" spans="1:17" s="3" customFormat="1" ht="13.5" customHeight="1" x14ac:dyDescent="0.2">
      <c r="A90" s="127" t="s">
        <v>58</v>
      </c>
      <c r="B90" s="128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7"/>
      <c r="Q90" s="22"/>
    </row>
    <row r="91" spans="1:17" s="3" customFormat="1" ht="10" x14ac:dyDescent="0.2">
      <c r="A91" s="115" t="s">
        <v>1</v>
      </c>
      <c r="B91" s="11" t="s">
        <v>2</v>
      </c>
      <c r="C91" s="55">
        <v>322.50693999999993</v>
      </c>
      <c r="D91" s="55">
        <v>263.14503000000002</v>
      </c>
      <c r="E91" s="55">
        <f>339420.82/1000</f>
        <v>339.42081999999999</v>
      </c>
      <c r="F91" s="55">
        <v>285.57258000000007</v>
      </c>
      <c r="G91" s="55">
        <v>289.15210999999999</v>
      </c>
      <c r="H91" s="63">
        <v>317.61511000000007</v>
      </c>
      <c r="I91" s="63">
        <v>320.58531000000005</v>
      </c>
      <c r="J91" s="63">
        <v>348.86897999999997</v>
      </c>
      <c r="K91" s="63">
        <v>351.51395999999994</v>
      </c>
      <c r="L91" s="63">
        <v>409.73257000000001</v>
      </c>
      <c r="M91" s="63">
        <v>409.08326</v>
      </c>
      <c r="N91" s="63">
        <v>399.56358999999998</v>
      </c>
      <c r="O91" s="59">
        <f>SUM(C91:N91)</f>
        <v>4056.7602599999991</v>
      </c>
      <c r="Q91" s="22">
        <f t="shared" ref="Q91:Q98" si="36">P91/1000</f>
        <v>0</v>
      </c>
    </row>
    <row r="92" spans="1:17" s="3" customFormat="1" ht="10" x14ac:dyDescent="0.2">
      <c r="A92" s="115"/>
      <c r="B92" s="11" t="s">
        <v>3</v>
      </c>
      <c r="C92" s="55">
        <v>2525.5874100000001</v>
      </c>
      <c r="D92" s="55">
        <v>2548.7120099999997</v>
      </c>
      <c r="E92" s="55">
        <f>2723379.6/1000</f>
        <v>2723.3796000000002</v>
      </c>
      <c r="F92" s="55">
        <v>2444.35329</v>
      </c>
      <c r="G92" s="55">
        <v>2666.9785099999999</v>
      </c>
      <c r="H92" s="63">
        <v>2908.4528700000001</v>
      </c>
      <c r="I92" s="63">
        <v>3376.9726600000004</v>
      </c>
      <c r="J92" s="63">
        <v>3264.5797799999996</v>
      </c>
      <c r="K92" s="63">
        <v>3365.8939300000002</v>
      </c>
      <c r="L92" s="63">
        <v>3644.2401400000003</v>
      </c>
      <c r="M92" s="63">
        <v>3893.9157200000004</v>
      </c>
      <c r="N92" s="63">
        <v>3605.5313200000001</v>
      </c>
      <c r="O92" s="59">
        <f t="shared" ref="O92:O98" si="37">SUM(C92:N92)</f>
        <v>36968.597240000003</v>
      </c>
      <c r="Q92" s="22">
        <f t="shared" si="36"/>
        <v>0</v>
      </c>
    </row>
    <row r="93" spans="1:17" s="3" customFormat="1" ht="10" x14ac:dyDescent="0.2">
      <c r="A93" s="115"/>
      <c r="B93" s="11" t="s">
        <v>4</v>
      </c>
      <c r="C93" s="55">
        <v>1384.86724</v>
      </c>
      <c r="D93" s="55">
        <v>1468.2645</v>
      </c>
      <c r="E93" s="55">
        <f>1569135.88/1000</f>
        <v>1569.1358799999998</v>
      </c>
      <c r="F93" s="55">
        <v>1302.7541099999999</v>
      </c>
      <c r="G93" s="55">
        <v>1423.6889799999999</v>
      </c>
      <c r="H93" s="63">
        <v>1487.9598000000001</v>
      </c>
      <c r="I93" s="63">
        <v>1674.7809900000002</v>
      </c>
      <c r="J93" s="63">
        <v>1694.4139599999999</v>
      </c>
      <c r="K93" s="63">
        <v>1737.6655499999997</v>
      </c>
      <c r="L93" s="63">
        <v>1768.2329100000002</v>
      </c>
      <c r="M93" s="63">
        <v>1941.2178000000001</v>
      </c>
      <c r="N93" s="63">
        <v>1993.04846</v>
      </c>
      <c r="O93" s="59">
        <f t="shared" si="37"/>
        <v>19446.030180000002</v>
      </c>
      <c r="Q93" s="22">
        <f t="shared" si="36"/>
        <v>0</v>
      </c>
    </row>
    <row r="94" spans="1:17" s="3" customFormat="1" ht="10" x14ac:dyDescent="0.2">
      <c r="A94" s="115"/>
      <c r="B94" s="11" t="s">
        <v>5</v>
      </c>
      <c r="C94" s="55">
        <v>56.503709999999998</v>
      </c>
      <c r="D94" s="55">
        <v>60.028369999999995</v>
      </c>
      <c r="E94" s="55">
        <f>55309.18/1000</f>
        <v>55.309179999999998</v>
      </c>
      <c r="F94" s="55">
        <v>47.876369999999994</v>
      </c>
      <c r="G94" s="55">
        <v>53.885309999999997</v>
      </c>
      <c r="H94" s="63">
        <v>59.939089999999993</v>
      </c>
      <c r="I94" s="63">
        <v>59.794479999999993</v>
      </c>
      <c r="J94" s="63">
        <v>86.021230000000003</v>
      </c>
      <c r="K94" s="63">
        <v>79.209409999999991</v>
      </c>
      <c r="L94" s="63">
        <v>77.776429999999991</v>
      </c>
      <c r="M94" s="63">
        <v>86.348349999999996</v>
      </c>
      <c r="N94" s="63">
        <v>83.02928</v>
      </c>
      <c r="O94" s="59">
        <f t="shared" si="37"/>
        <v>805.72120999999993</v>
      </c>
      <c r="Q94" s="22">
        <f t="shared" si="36"/>
        <v>0</v>
      </c>
    </row>
    <row r="95" spans="1:17" s="3" customFormat="1" ht="10" x14ac:dyDescent="0.2">
      <c r="A95" s="115"/>
      <c r="B95" s="11" t="s">
        <v>6</v>
      </c>
      <c r="C95" s="55">
        <v>570.24718000000007</v>
      </c>
      <c r="D95" s="55">
        <v>592.34988999999996</v>
      </c>
      <c r="E95" s="55">
        <f>626219.9/1000</f>
        <v>626.21990000000005</v>
      </c>
      <c r="F95" s="55">
        <v>536.82289000000003</v>
      </c>
      <c r="G95" s="55">
        <v>574.45586000000003</v>
      </c>
      <c r="H95" s="63">
        <v>639.18378000000007</v>
      </c>
      <c r="I95" s="63">
        <v>745.84404000000006</v>
      </c>
      <c r="J95" s="63">
        <v>703.99685000000011</v>
      </c>
      <c r="K95" s="63">
        <v>737.55794000000003</v>
      </c>
      <c r="L95" s="63">
        <v>691.54007999999999</v>
      </c>
      <c r="M95" s="63">
        <v>751.75585000000001</v>
      </c>
      <c r="N95" s="63">
        <v>743.28670000000011</v>
      </c>
      <c r="O95" s="59">
        <f t="shared" si="37"/>
        <v>7913.2609600000014</v>
      </c>
      <c r="Q95" s="22">
        <f t="shared" si="36"/>
        <v>0</v>
      </c>
    </row>
    <row r="96" spans="1:17" s="3" customFormat="1" ht="10" x14ac:dyDescent="0.2">
      <c r="A96" s="115"/>
      <c r="B96" s="11" t="s">
        <v>9</v>
      </c>
      <c r="C96" s="55">
        <v>2195.8591299999998</v>
      </c>
      <c r="D96" s="55">
        <v>2272.4411599999999</v>
      </c>
      <c r="E96" s="55">
        <f>2436264.173/1000</f>
        <v>2436.264173</v>
      </c>
      <c r="F96" s="55">
        <v>2050.5338099999999</v>
      </c>
      <c r="G96" s="55">
        <v>2281.7051499999998</v>
      </c>
      <c r="H96" s="63">
        <v>4023.5875700000001</v>
      </c>
      <c r="I96" s="63">
        <v>3018.9086000000002</v>
      </c>
      <c r="J96" s="63">
        <v>3005.0539699999995</v>
      </c>
      <c r="K96" s="63">
        <v>3092.14842</v>
      </c>
      <c r="L96" s="63">
        <v>2781.6186600000001</v>
      </c>
      <c r="M96" s="63">
        <v>3585.6826500000002</v>
      </c>
      <c r="N96" s="63">
        <v>3331.1799300000002</v>
      </c>
      <c r="O96" s="59">
        <f t="shared" si="37"/>
        <v>34074.983223000003</v>
      </c>
      <c r="Q96" s="22">
        <f t="shared" si="36"/>
        <v>0</v>
      </c>
    </row>
    <row r="97" spans="1:17" s="3" customFormat="1" ht="10" x14ac:dyDescent="0.2">
      <c r="A97" s="115"/>
      <c r="B97" s="11" t="s">
        <v>11</v>
      </c>
      <c r="C97" s="55">
        <v>650.51358000000005</v>
      </c>
      <c r="D97" s="55">
        <v>695.38990000000001</v>
      </c>
      <c r="E97" s="55">
        <f>735658.86/1000</f>
        <v>735.65886</v>
      </c>
      <c r="F97" s="55">
        <v>598.63690999999994</v>
      </c>
      <c r="G97" s="55">
        <v>613.38471000000004</v>
      </c>
      <c r="H97" s="63">
        <v>636.36605999999995</v>
      </c>
      <c r="I97" s="63">
        <v>728.05841999999996</v>
      </c>
      <c r="J97" s="63">
        <v>715.17755</v>
      </c>
      <c r="K97" s="63">
        <v>721.91509000000008</v>
      </c>
      <c r="L97" s="63">
        <v>691.94227000000012</v>
      </c>
      <c r="M97" s="63">
        <v>751.52479000000005</v>
      </c>
      <c r="N97" s="63">
        <v>736.45500000000004</v>
      </c>
      <c r="O97" s="59">
        <f t="shared" si="37"/>
        <v>8275.0231400000011</v>
      </c>
      <c r="Q97" s="22">
        <f t="shared" si="36"/>
        <v>0</v>
      </c>
    </row>
    <row r="98" spans="1:17" s="3" customFormat="1" ht="10.5" thickBot="1" x14ac:dyDescent="0.25">
      <c r="A98" s="115"/>
      <c r="B98" s="11" t="s">
        <v>46</v>
      </c>
      <c r="C98" s="55">
        <v>894.91013999999984</v>
      </c>
      <c r="D98" s="55">
        <v>891.72534000000007</v>
      </c>
      <c r="E98" s="55">
        <f>916182.48/1000</f>
        <v>916.18247999999994</v>
      </c>
      <c r="F98" s="55">
        <v>17.571210000000001</v>
      </c>
      <c r="G98" s="55">
        <v>0.74573999999999996</v>
      </c>
      <c r="H98" s="63">
        <v>61.713599999999992</v>
      </c>
      <c r="I98" s="63">
        <v>10.10783</v>
      </c>
      <c r="J98" s="63">
        <v>819.37101999999993</v>
      </c>
      <c r="K98" s="63">
        <v>1119.48731</v>
      </c>
      <c r="L98" s="63">
        <v>1163.61149</v>
      </c>
      <c r="M98" s="63">
        <v>1223.9593400000003</v>
      </c>
      <c r="N98" s="63">
        <v>1134.58096</v>
      </c>
      <c r="O98" s="59">
        <f t="shared" si="37"/>
        <v>8253.9664599999996</v>
      </c>
      <c r="Q98" s="22">
        <f t="shared" si="36"/>
        <v>0</v>
      </c>
    </row>
    <row r="99" spans="1:17" s="3" customFormat="1" ht="11" thickBot="1" x14ac:dyDescent="0.25">
      <c r="A99" s="111" t="s">
        <v>30</v>
      </c>
      <c r="B99" s="122"/>
      <c r="C99" s="82">
        <f t="shared" ref="C99:D99" si="38">SUM(C91:C98)</f>
        <v>8600.9953299999997</v>
      </c>
      <c r="D99" s="82">
        <f t="shared" si="38"/>
        <v>8792.0562000000009</v>
      </c>
      <c r="E99" s="82">
        <f>SUM(E91:E98)</f>
        <v>9401.5708929999983</v>
      </c>
      <c r="F99" s="82">
        <f t="shared" ref="F99:N99" si="39">SUM(F91:F98)</f>
        <v>7284.1211700000003</v>
      </c>
      <c r="G99" s="82">
        <f t="shared" si="39"/>
        <v>7903.9963699999998</v>
      </c>
      <c r="H99" s="82">
        <f t="shared" si="39"/>
        <v>10134.817880000001</v>
      </c>
      <c r="I99" s="82">
        <f t="shared" si="39"/>
        <v>9935.0523300000004</v>
      </c>
      <c r="J99" s="82">
        <f t="shared" si="39"/>
        <v>10637.483340000001</v>
      </c>
      <c r="K99" s="82">
        <f t="shared" si="39"/>
        <v>11205.391610000001</v>
      </c>
      <c r="L99" s="82">
        <f t="shared" si="39"/>
        <v>11228.69455</v>
      </c>
      <c r="M99" s="82">
        <f t="shared" si="39"/>
        <v>12643.48776</v>
      </c>
      <c r="N99" s="82">
        <f t="shared" si="39"/>
        <v>12026.675239999999</v>
      </c>
      <c r="O99" s="83">
        <f>SUM(C99:N99)</f>
        <v>119794.34267300001</v>
      </c>
      <c r="P99" s="20"/>
    </row>
    <row r="100" spans="1:17" s="3" customFormat="1" ht="10.5" hidden="1" x14ac:dyDescent="0.2">
      <c r="A100" s="80" t="s">
        <v>48</v>
      </c>
      <c r="B100" s="81"/>
      <c r="C100" s="24">
        <v>42736</v>
      </c>
      <c r="D100" s="24"/>
      <c r="E100" s="24"/>
      <c r="F100" s="37"/>
      <c r="G100" s="37"/>
      <c r="H100" s="64"/>
      <c r="I100" s="64"/>
      <c r="J100" s="64"/>
      <c r="K100" s="64"/>
      <c r="L100" s="64"/>
      <c r="M100" s="64"/>
      <c r="N100" s="64"/>
      <c r="O100" s="42" t="s">
        <v>31</v>
      </c>
    </row>
    <row r="101" spans="1:17" s="3" customFormat="1" ht="10" hidden="1" x14ac:dyDescent="0.2">
      <c r="A101" s="25" t="s">
        <v>32</v>
      </c>
      <c r="B101" s="9" t="s">
        <v>33</v>
      </c>
      <c r="C101" s="16">
        <v>1139.526209674952</v>
      </c>
      <c r="D101" s="16">
        <v>1177.3148462538404</v>
      </c>
      <c r="E101" s="16">
        <v>1245.5712972633553</v>
      </c>
      <c r="F101" s="38">
        <v>1186.1568152910552</v>
      </c>
      <c r="G101" s="38">
        <v>1207.6934319493769</v>
      </c>
      <c r="H101" s="38"/>
      <c r="I101" s="38"/>
      <c r="J101" s="38"/>
      <c r="K101" s="38"/>
      <c r="L101" s="38"/>
      <c r="M101" s="38"/>
      <c r="N101" s="38"/>
      <c r="O101" s="56">
        <f>AVERAGE(C101:F101)</f>
        <v>1187.1422921208007</v>
      </c>
    </row>
    <row r="102" spans="1:17" s="3" customFormat="1" ht="10" hidden="1" x14ac:dyDescent="0.2">
      <c r="A102" s="25" t="s">
        <v>32</v>
      </c>
      <c r="B102" s="9" t="s">
        <v>34</v>
      </c>
      <c r="C102" s="17">
        <v>55.595744774784912</v>
      </c>
      <c r="D102" s="17">
        <v>56.870463179096191</v>
      </c>
      <c r="E102" s="17">
        <v>61.693399743920075</v>
      </c>
      <c r="F102" s="38">
        <v>58.188624639044392</v>
      </c>
      <c r="G102" s="38">
        <v>58.563885702841326</v>
      </c>
      <c r="H102" s="38"/>
      <c r="I102" s="38"/>
      <c r="J102" s="38"/>
      <c r="K102" s="38"/>
      <c r="L102" s="38"/>
      <c r="M102" s="38"/>
      <c r="N102" s="38"/>
      <c r="O102" s="56">
        <f t="shared" ref="O102:O107" si="40">AVERAGE(C102:F102)</f>
        <v>58.087058084211392</v>
      </c>
    </row>
    <row r="103" spans="1:17" s="3" customFormat="1" ht="10" hidden="1" x14ac:dyDescent="0.2">
      <c r="A103" s="25" t="s">
        <v>35</v>
      </c>
      <c r="B103" s="9" t="s">
        <v>34</v>
      </c>
      <c r="C103" s="17">
        <v>62.615400000000001</v>
      </c>
      <c r="D103" s="17">
        <v>64.191500000000005</v>
      </c>
      <c r="E103" s="17">
        <v>69.176299999999998</v>
      </c>
      <c r="F103" s="38">
        <v>65.190700000000007</v>
      </c>
      <c r="G103" s="38">
        <v>65.902600000000007</v>
      </c>
      <c r="H103" s="38"/>
      <c r="I103" s="38"/>
      <c r="J103" s="38"/>
      <c r="K103" s="38"/>
      <c r="L103" s="38"/>
      <c r="M103" s="38"/>
      <c r="N103" s="38"/>
      <c r="O103" s="56">
        <f t="shared" si="40"/>
        <v>65.293475000000001</v>
      </c>
    </row>
    <row r="104" spans="1:17" s="3" customFormat="1" ht="10" hidden="1" x14ac:dyDescent="0.2">
      <c r="A104" s="12" t="s">
        <v>36</v>
      </c>
      <c r="B104" s="9" t="s">
        <v>44</v>
      </c>
      <c r="C104" s="17">
        <v>600.48001792905245</v>
      </c>
      <c r="D104" s="17">
        <v>581.31198449992019</v>
      </c>
      <c r="E104" s="17">
        <v>653.16683149000562</v>
      </c>
      <c r="F104" s="38">
        <v>542.72873342247908</v>
      </c>
      <c r="G104" s="38">
        <v>560.39332363428741</v>
      </c>
      <c r="H104" s="38"/>
      <c r="I104" s="38"/>
      <c r="J104" s="38"/>
      <c r="K104" s="38"/>
      <c r="L104" s="38"/>
      <c r="M104" s="38"/>
      <c r="N104" s="38"/>
      <c r="O104" s="56">
        <f t="shared" si="40"/>
        <v>594.42189183536425</v>
      </c>
    </row>
    <row r="105" spans="1:17" s="3" customFormat="1" ht="10" hidden="1" x14ac:dyDescent="0.2">
      <c r="A105" s="25" t="s">
        <v>37</v>
      </c>
      <c r="B105" s="9" t="s">
        <v>38</v>
      </c>
      <c r="C105" s="18">
        <v>3.2587000000000002</v>
      </c>
      <c r="D105" s="18">
        <v>3.2913000000000001</v>
      </c>
      <c r="E105" s="18">
        <v>3.2099000000000002</v>
      </c>
      <c r="F105" s="39">
        <v>3.2408999999999999</v>
      </c>
      <c r="G105" s="39">
        <v>3.2786</v>
      </c>
      <c r="H105" s="39"/>
      <c r="I105" s="39"/>
      <c r="J105" s="39"/>
      <c r="K105" s="39"/>
      <c r="L105" s="39"/>
      <c r="M105" s="39"/>
      <c r="N105" s="39"/>
      <c r="O105" s="57">
        <f t="shared" si="40"/>
        <v>3.2502000000000004</v>
      </c>
    </row>
    <row r="106" spans="1:17" s="3" customFormat="1" ht="10" hidden="1" x14ac:dyDescent="0.2">
      <c r="A106" s="25" t="s">
        <v>39</v>
      </c>
      <c r="B106" s="9" t="s">
        <v>40</v>
      </c>
      <c r="C106" s="17">
        <v>2596067.0703852074</v>
      </c>
      <c r="D106" s="17">
        <v>2604768.7693718914</v>
      </c>
      <c r="E106" s="17">
        <v>2604768.7693718914</v>
      </c>
      <c r="F106" s="38">
        <v>2603981.2805314716</v>
      </c>
      <c r="G106" s="38">
        <v>2534377.1423551175</v>
      </c>
      <c r="H106" s="38"/>
      <c r="I106" s="38"/>
      <c r="J106" s="38"/>
      <c r="K106" s="38"/>
      <c r="L106" s="38"/>
      <c r="M106" s="38"/>
      <c r="N106" s="38"/>
      <c r="O106" s="56">
        <f>AVERAGE(C106:F106)</f>
        <v>2602396.4724151157</v>
      </c>
    </row>
    <row r="107" spans="1:17" s="3" customFormat="1" ht="10.5" hidden="1" thickBot="1" x14ac:dyDescent="0.25">
      <c r="A107" s="13" t="s">
        <v>41</v>
      </c>
      <c r="B107" s="10" t="s">
        <v>42</v>
      </c>
      <c r="C107" s="19">
        <v>86.4213114876666</v>
      </c>
      <c r="D107" s="31">
        <v>85.921273577741985</v>
      </c>
      <c r="E107" s="31">
        <v>85.921273577741985</v>
      </c>
      <c r="F107" s="31">
        <v>76.221613953928582</v>
      </c>
      <c r="G107" s="31">
        <v>73.220117750645088</v>
      </c>
      <c r="H107" s="31"/>
      <c r="I107" s="31"/>
      <c r="J107" s="31"/>
      <c r="K107" s="31"/>
      <c r="L107" s="31"/>
      <c r="M107" s="31"/>
      <c r="N107" s="31"/>
      <c r="O107" s="58">
        <f t="shared" si="40"/>
        <v>83.621368149269784</v>
      </c>
    </row>
    <row r="108" spans="1:17" x14ac:dyDescent="0.25">
      <c r="A108" s="88"/>
    </row>
    <row r="110" spans="1:17" x14ac:dyDescent="0.25">
      <c r="O110" s="21"/>
    </row>
    <row r="112" spans="1:17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1:19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 spans="1:19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8"/>
      <c r="P114" s="28"/>
      <c r="Q114" s="28"/>
      <c r="R114" s="28"/>
      <c r="S114" s="28"/>
    </row>
    <row r="115" spans="1:19" x14ac:dyDescent="0.2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</row>
    <row r="116" spans="1:19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</row>
    <row r="117" spans="1:19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</row>
    <row r="118" spans="1:19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</row>
    <row r="119" spans="1:19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</row>
    <row r="120" spans="1:19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</row>
    <row r="121" spans="1:19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 spans="1:19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</row>
    <row r="123" spans="1:19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</row>
    <row r="124" spans="1:19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</row>
    <row r="125" spans="1:19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</row>
    <row r="126" spans="1:19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19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</row>
    <row r="128" spans="1:19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</row>
    <row r="129" spans="1:19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</row>
    <row r="130" spans="1:19" x14ac:dyDescent="0.2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</row>
    <row r="131" spans="1:19" x14ac:dyDescent="0.2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</row>
    <row r="132" spans="1:19" x14ac:dyDescent="0.2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</row>
    <row r="133" spans="1:19" x14ac:dyDescent="0.2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</row>
    <row r="134" spans="1:19" x14ac:dyDescent="0.2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</row>
    <row r="135" spans="1:19" x14ac:dyDescent="0.2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1:19" x14ac:dyDescent="0.2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</row>
    <row r="137" spans="1:19" x14ac:dyDescent="0.2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</row>
  </sheetData>
  <mergeCells count="26">
    <mergeCell ref="A49:B49"/>
    <mergeCell ref="A53:B53"/>
    <mergeCell ref="A56:B56"/>
    <mergeCell ref="A2:O2"/>
    <mergeCell ref="A20:B20"/>
    <mergeCell ref="A39:B39"/>
    <mergeCell ref="A48:B48"/>
    <mergeCell ref="A40:A47"/>
    <mergeCell ref="A5:C5"/>
    <mergeCell ref="A7:B7"/>
    <mergeCell ref="A9:A19"/>
    <mergeCell ref="A21:A38"/>
    <mergeCell ref="A99:B99"/>
    <mergeCell ref="A86:B86"/>
    <mergeCell ref="A87:B87"/>
    <mergeCell ref="A90:B90"/>
    <mergeCell ref="A91:A98"/>
    <mergeCell ref="A84:B84"/>
    <mergeCell ref="A88:B88"/>
    <mergeCell ref="A58:A66"/>
    <mergeCell ref="A68:A76"/>
    <mergeCell ref="A67:B67"/>
    <mergeCell ref="A77:B77"/>
    <mergeCell ref="A79:B79"/>
    <mergeCell ref="A78:B78"/>
    <mergeCell ref="A83:B83"/>
  </mergeCells>
  <printOptions horizontalCentered="1" verticalCentered="1"/>
  <pageMargins left="0.19685039370078741" right="0.19685039370078741" top="7.874015748031496E-2" bottom="7.874015748031496E-2" header="0.31496062992125984" footer="0.31496062992125984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OB-2018</vt:lpstr>
      <vt:lpstr>'OB-2018'!Area_de_impressao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Luiz Eduardo Paim Varella</cp:lastModifiedBy>
  <cp:lastPrinted>2017-01-13T20:42:57Z</cp:lastPrinted>
  <dcterms:created xsi:type="dcterms:W3CDTF">2008-01-15T17:31:37Z</dcterms:created>
  <dcterms:modified xsi:type="dcterms:W3CDTF">2022-05-12T18:49:40Z</dcterms:modified>
</cp:coreProperties>
</file>