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govanp-my.sharepoint.com/personal/lvarella_anp_gov_br/Documents/Área de Trabalho/PG CONSOLIDADAS/"/>
    </mc:Choice>
  </mc:AlternateContent>
  <xr:revisionPtr revIDLastSave="2" documentId="8_{8404F84F-3B24-4AB1-A33E-489DB16706B2}" xr6:coauthVersionLast="46" xr6:coauthVersionMax="46" xr10:uidLastSave="{407B5DFD-772A-4283-8CB1-3BC6A83AEEF1}"/>
  <bookViews>
    <workbookView xWindow="-110" yWindow="-110" windowWidth="19420" windowHeight="10420" xr2:uid="{00000000-000D-0000-FFFF-FFFF00000000}"/>
  </bookViews>
  <sheets>
    <sheet name="OB-2015" sheetId="8" r:id="rId1"/>
  </sheets>
  <externalReferences>
    <externalReference r:id="rId2"/>
  </externalReferences>
  <definedNames>
    <definedName name="_xlnm.Print_Area" localSheetId="0">'OB-2015'!$A$1:$O$105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8" l="1"/>
  <c r="M20" i="8"/>
  <c r="L66" i="8" l="1"/>
  <c r="L23" i="8"/>
  <c r="L22" i="8"/>
  <c r="L21" i="8"/>
  <c r="L20" i="8"/>
  <c r="J72" i="8" l="1"/>
  <c r="J70" i="8"/>
  <c r="J62" i="8"/>
  <c r="J60" i="8"/>
  <c r="J79" i="8"/>
  <c r="J80" i="8"/>
  <c r="J95" i="8"/>
  <c r="J94" i="8"/>
  <c r="J93" i="8"/>
  <c r="J92" i="8"/>
  <c r="J91" i="8"/>
  <c r="J90" i="8"/>
  <c r="J89" i="8"/>
  <c r="J88" i="8"/>
  <c r="J65" i="8" l="1"/>
  <c r="J64" i="8"/>
  <c r="J63" i="8"/>
  <c r="J61" i="8"/>
  <c r="J59" i="8"/>
  <c r="J58" i="8"/>
  <c r="K54" i="8"/>
  <c r="K53" i="8"/>
  <c r="K51" i="8"/>
  <c r="K50" i="8"/>
  <c r="K49" i="8"/>
  <c r="K46" i="8" l="1"/>
  <c r="K45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19" i="8"/>
  <c r="K18" i="8"/>
  <c r="K17" i="8"/>
  <c r="K16" i="8"/>
  <c r="K15" i="8"/>
  <c r="K14" i="8"/>
  <c r="K13" i="8"/>
  <c r="K12" i="8"/>
  <c r="K11" i="8"/>
  <c r="K10" i="8"/>
  <c r="K9" i="8"/>
  <c r="I95" i="8"/>
  <c r="I94" i="8"/>
  <c r="I93" i="8"/>
  <c r="I92" i="8"/>
  <c r="I91" i="8"/>
  <c r="I90" i="8"/>
  <c r="I89" i="8"/>
  <c r="I88" i="8"/>
  <c r="J81" i="8" l="1"/>
  <c r="J53" i="8" l="1"/>
  <c r="J54" i="8"/>
  <c r="J51" i="8"/>
  <c r="J50" i="8"/>
  <c r="J49" i="8"/>
  <c r="J46" i="8" l="1"/>
  <c r="J45" i="8"/>
  <c r="J38" i="8" l="1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1" i="8"/>
  <c r="J22" i="8"/>
  <c r="H89" i="8" l="1"/>
  <c r="H90" i="8"/>
  <c r="H91" i="8"/>
  <c r="H92" i="8"/>
  <c r="H93" i="8"/>
  <c r="H94" i="8"/>
  <c r="H95" i="8"/>
  <c r="H88" i="8"/>
  <c r="G89" i="8" l="1"/>
  <c r="G90" i="8"/>
  <c r="G91" i="8"/>
  <c r="G92" i="8"/>
  <c r="G93" i="8"/>
  <c r="G94" i="8"/>
  <c r="G95" i="8"/>
  <c r="G88" i="8"/>
  <c r="G76" i="8" l="1"/>
  <c r="O71" i="8" l="1"/>
  <c r="O61" i="8"/>
  <c r="C84" i="8"/>
  <c r="N39" i="8" l="1"/>
  <c r="M39" i="8"/>
  <c r="L39" i="8"/>
  <c r="K39" i="8"/>
  <c r="J39" i="8"/>
  <c r="I39" i="8"/>
  <c r="H39" i="8"/>
  <c r="G39" i="8"/>
  <c r="F39" i="8"/>
  <c r="E39" i="8"/>
  <c r="D39" i="8"/>
  <c r="C42" i="8"/>
  <c r="C39" i="8" l="1"/>
  <c r="O88" i="8" l="1"/>
  <c r="O94" i="8"/>
  <c r="O90" i="8"/>
  <c r="O89" i="8"/>
  <c r="O104" i="8"/>
  <c r="O103" i="8"/>
  <c r="O102" i="8"/>
  <c r="O101" i="8"/>
  <c r="O100" i="8"/>
  <c r="O99" i="8"/>
  <c r="O98" i="8"/>
  <c r="N96" i="8"/>
  <c r="M96" i="8"/>
  <c r="K96" i="8"/>
  <c r="J96" i="8"/>
  <c r="I96" i="8"/>
  <c r="H96" i="8"/>
  <c r="G96" i="8"/>
  <c r="F96" i="8"/>
  <c r="E96" i="8"/>
  <c r="D96" i="8"/>
  <c r="O95" i="8"/>
  <c r="O93" i="8"/>
  <c r="O92" i="8"/>
  <c r="O91" i="8"/>
  <c r="L96" i="8"/>
  <c r="O85" i="8"/>
  <c r="O84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O80" i="8"/>
  <c r="O79" i="8"/>
  <c r="O77" i="8"/>
  <c r="N76" i="8"/>
  <c r="M76" i="8"/>
  <c r="L76" i="8"/>
  <c r="K76" i="8"/>
  <c r="J76" i="8"/>
  <c r="I76" i="8"/>
  <c r="H76" i="8"/>
  <c r="F76" i="8"/>
  <c r="E76" i="8"/>
  <c r="D76" i="8"/>
  <c r="C76" i="8"/>
  <c r="O75" i="8"/>
  <c r="O74" i="8"/>
  <c r="O73" i="8"/>
  <c r="O72" i="8"/>
  <c r="O70" i="8"/>
  <c r="O69" i="8"/>
  <c r="O68" i="8"/>
  <c r="O67" i="8"/>
  <c r="N66" i="8"/>
  <c r="M66" i="8"/>
  <c r="K66" i="8"/>
  <c r="J66" i="8"/>
  <c r="I66" i="8"/>
  <c r="H66" i="8"/>
  <c r="G66" i="8"/>
  <c r="F66" i="8"/>
  <c r="E66" i="8"/>
  <c r="D66" i="8"/>
  <c r="C66" i="8"/>
  <c r="O65" i="8"/>
  <c r="O64" i="8"/>
  <c r="O63" i="8"/>
  <c r="O62" i="8"/>
  <c r="O60" i="8"/>
  <c r="O59" i="8"/>
  <c r="O58" i="8"/>
  <c r="O57" i="8"/>
  <c r="O54" i="8"/>
  <c r="O53" i="8"/>
  <c r="N52" i="8"/>
  <c r="M52" i="8"/>
  <c r="L52" i="8"/>
  <c r="K52" i="8"/>
  <c r="J52" i="8"/>
  <c r="I52" i="8"/>
  <c r="H52" i="8"/>
  <c r="G52" i="8"/>
  <c r="F52" i="8"/>
  <c r="E52" i="8"/>
  <c r="D52" i="8"/>
  <c r="C52" i="8"/>
  <c r="O51" i="8"/>
  <c r="O50" i="8"/>
  <c r="O49" i="8"/>
  <c r="N47" i="8"/>
  <c r="M47" i="8"/>
  <c r="L47" i="8"/>
  <c r="K47" i="8"/>
  <c r="J47" i="8"/>
  <c r="G47" i="8"/>
  <c r="F47" i="8"/>
  <c r="E47" i="8"/>
  <c r="D47" i="8"/>
  <c r="C47" i="8"/>
  <c r="H47" i="8"/>
  <c r="O45" i="8"/>
  <c r="O44" i="8"/>
  <c r="O43" i="8"/>
  <c r="O42" i="8"/>
  <c r="I47" i="8"/>
  <c r="O40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N20" i="8"/>
  <c r="K20" i="8"/>
  <c r="J20" i="8"/>
  <c r="I20" i="8"/>
  <c r="H20" i="8"/>
  <c r="G20" i="8"/>
  <c r="F20" i="8"/>
  <c r="E20" i="8"/>
  <c r="D20" i="8"/>
  <c r="C20" i="8"/>
  <c r="O19" i="8"/>
  <c r="O18" i="8"/>
  <c r="O17" i="8"/>
  <c r="O16" i="8"/>
  <c r="O15" i="8"/>
  <c r="O14" i="8"/>
  <c r="O13" i="8"/>
  <c r="O12" i="8"/>
  <c r="O11" i="8"/>
  <c r="O10" i="8"/>
  <c r="O9" i="8"/>
  <c r="C78" i="8" l="1"/>
  <c r="C83" i="8" s="1"/>
  <c r="M78" i="8"/>
  <c r="M83" i="8" s="1"/>
  <c r="E78" i="8"/>
  <c r="E83" i="8" s="1"/>
  <c r="N78" i="8"/>
  <c r="N83" i="8" s="1"/>
  <c r="C48" i="8"/>
  <c r="C55" i="8" s="1"/>
  <c r="F78" i="8"/>
  <c r="H78" i="8"/>
  <c r="H83" i="8" s="1"/>
  <c r="H48" i="8"/>
  <c r="H55" i="8" s="1"/>
  <c r="G78" i="8"/>
  <c r="G83" i="8" s="1"/>
  <c r="L48" i="8"/>
  <c r="L55" i="8" s="1"/>
  <c r="D78" i="8"/>
  <c r="D83" i="8" s="1"/>
  <c r="L78" i="8"/>
  <c r="L83" i="8" s="1"/>
  <c r="K78" i="8"/>
  <c r="K83" i="8" s="1"/>
  <c r="J78" i="8"/>
  <c r="J83" i="8" s="1"/>
  <c r="I78" i="8"/>
  <c r="I83" i="8" s="1"/>
  <c r="O52" i="8"/>
  <c r="K48" i="8"/>
  <c r="K55" i="8" s="1"/>
  <c r="F83" i="8"/>
  <c r="O82" i="8"/>
  <c r="C96" i="8"/>
  <c r="O96" i="8" s="1"/>
  <c r="D48" i="8"/>
  <c r="D55" i="8" s="1"/>
  <c r="G48" i="8"/>
  <c r="G55" i="8" s="1"/>
  <c r="F48" i="8"/>
  <c r="F55" i="8" s="1"/>
  <c r="J48" i="8"/>
  <c r="J55" i="8" s="1"/>
  <c r="N48" i="8"/>
  <c r="N55" i="8" s="1"/>
  <c r="E48" i="8"/>
  <c r="E55" i="8" s="1"/>
  <c r="M48" i="8"/>
  <c r="M55" i="8" s="1"/>
  <c r="O39" i="8"/>
  <c r="O20" i="8"/>
  <c r="O76" i="8"/>
  <c r="O66" i="8"/>
  <c r="I48" i="8"/>
  <c r="I55" i="8" s="1"/>
  <c r="O46" i="8"/>
  <c r="O47" i="8" s="1"/>
  <c r="N86" i="8" l="1"/>
  <c r="F86" i="8"/>
  <c r="L86" i="8"/>
  <c r="J86" i="8"/>
  <c r="M86" i="8"/>
  <c r="I86" i="8"/>
  <c r="H86" i="8"/>
  <c r="G86" i="8"/>
  <c r="O78" i="8"/>
  <c r="C86" i="8"/>
  <c r="O83" i="8"/>
  <c r="E86" i="8"/>
  <c r="K86" i="8"/>
  <c r="O48" i="8"/>
  <c r="O55" i="8"/>
  <c r="D86" i="8"/>
  <c r="O86" i="8" l="1"/>
</calcChain>
</file>

<file path=xl/sharedStrings.xml><?xml version="1.0" encoding="utf-8"?>
<sst xmlns="http://schemas.openxmlformats.org/spreadsheetml/2006/main" count="118" uniqueCount="62">
  <si>
    <t>Item de Receita</t>
  </si>
  <si>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</si>
  <si>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</si>
  <si>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</si>
  <si>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</si>
  <si>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</si>
  <si>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</si>
  <si>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</si>
  <si>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</si>
  <si>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</si>
  <si>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</si>
  <si>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</si>
  <si>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</si>
  <si>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</si>
  <si>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</si>
  <si>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</si>
  <si>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</si>
  <si>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</si>
  <si>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</si>
  <si>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</si>
  <si>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</si>
  <si>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</si>
  <si>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</si>
  <si>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de Depósitos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</si>
  <si>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</si>
  <si>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</si>
  <si>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</si>
  <si>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</si>
  <si>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</si>
  <si>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Total Brasil</t>
  </si>
  <si>
    <t>Total Estados e Municípios</t>
  </si>
  <si>
    <t>Ministério de Minas e Energia</t>
  </si>
  <si>
    <t>Ministério do Meio Ambiente</t>
  </si>
  <si>
    <t>TOTAL DAS PARTICIPAÇÕES</t>
  </si>
  <si>
    <t>Total do Pagamento aos Proprietários de Terra</t>
  </si>
  <si>
    <t>Variáveis Mensais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</si>
  <si>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</si>
  <si>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</si>
  <si>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</si>
  <si>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</si>
  <si>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</si>
  <si>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</si>
  <si>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</si>
  <si>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</si>
  <si>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</si>
  <si>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</si>
  <si>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</si>
  <si>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</si>
  <si>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SUPERINTENDÊNCIA DE CONTROLE DAS PARTICIPAÇÕES GOVERNAMENTAIS</t>
  </si>
  <si>
    <t xml:space="preserve">      Mês de Crédito (R$ 1000).</t>
  </si>
  <si>
    <t>Depósitos Judiciais</t>
  </si>
  <si>
    <t>TAXA DE OCUPAÇÃO OU RETENÇÃO DE ÁREA (*)</t>
  </si>
  <si>
    <t>PAGAMENTO AOS PROPRIETÁRIOS DE TERRA (*)</t>
  </si>
  <si>
    <t>BÔNUS DE ASSINATURA (*)</t>
  </si>
  <si>
    <t>R$/1.000m3</t>
  </si>
  <si>
    <t>Fundo Social</t>
  </si>
  <si>
    <t>PARTICIPAÇÃO ESPECIAL (*)</t>
  </si>
  <si>
    <t>MA</t>
  </si>
  <si>
    <t>Educação e Saúde</t>
  </si>
  <si>
    <t>Total - 2015</t>
  </si>
  <si>
    <t>* Os dados serão atualizados quando encerrar o mês de julho de 2015.</t>
  </si>
  <si>
    <t xml:space="preserve">      Consolidação das Participações Governamentais e de Terceiros no ano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</si>
</sst>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8">
    <xf numFmtId="0" fontId="0" fillId="0" borderId="0" xfId="0"/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166" fontId="3" fillId="3" borderId="7" xfId="0" applyNumberFormat="1" applyFont="1" applyFill="1" applyBorder="1" applyAlignment="1">
      <alignment horizontal="left" vertical="center"/>
    </xf>
    <xf numFmtId="166" fontId="3" fillId="3" borderId="6" xfId="0" applyNumberFormat="1" applyFont="1" applyFill="1" applyBorder="1" applyAlignment="1">
      <alignment horizontal="left" vertical="center"/>
    </xf>
    <xf numFmtId="166" fontId="3" fillId="3" borderId="8" xfId="0" applyNumberFormat="1" applyFont="1" applyFill="1" applyBorder="1" applyAlignment="1">
      <alignment horizontal="left" vertical="center"/>
    </xf>
    <xf numFmtId="4" fontId="3" fillId="3" borderId="0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right" vertical="center"/>
    </xf>
    <xf numFmtId="166" fontId="3" fillId="3" borderId="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166" fontId="3" fillId="3" borderId="0" xfId="1" applyNumberFormat="1" applyFont="1" applyFill="1" applyBorder="1" applyAlignment="1">
      <alignment horizontal="right" vertical="center"/>
    </xf>
    <xf numFmtId="166" fontId="3" fillId="3" borderId="13" xfId="1" applyNumberFormat="1" applyFont="1" applyFill="1" applyBorder="1" applyAlignment="1">
      <alignment horizontal="right" vertical="center"/>
    </xf>
    <xf numFmtId="166" fontId="3" fillId="3" borderId="10" xfId="1" applyNumberFormat="1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6" fontId="4" fillId="3" borderId="15" xfId="1" applyNumberFormat="1" applyFont="1" applyFill="1" applyBorder="1" applyAlignment="1">
      <alignment horizontal="center" vertical="center"/>
    </xf>
    <xf numFmtId="166" fontId="4" fillId="3" borderId="16" xfId="1" applyNumberFormat="1" applyFont="1" applyFill="1" applyBorder="1" applyAlignment="1">
      <alignment horizontal="center" vertical="center"/>
    </xf>
    <xf numFmtId="166" fontId="4" fillId="3" borderId="18" xfId="0" applyNumberFormat="1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left" vertical="center"/>
    </xf>
    <xf numFmtId="166" fontId="4" fillId="3" borderId="10" xfId="0" applyNumberFormat="1" applyFont="1" applyFill="1" applyBorder="1" applyAlignment="1">
      <alignment horizontal="left" vertical="center"/>
    </xf>
    <xf numFmtId="164" fontId="4" fillId="3" borderId="10" xfId="1" applyNumberFormat="1" applyFont="1" applyFill="1" applyBorder="1" applyAlignment="1">
      <alignment horizontal="right" vertical="center"/>
    </xf>
    <xf numFmtId="164" fontId="3" fillId="3" borderId="0" xfId="1" applyFont="1" applyFill="1" applyAlignment="1">
      <alignment horizontal="center"/>
    </xf>
    <xf numFmtId="0" fontId="5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164" fontId="4" fillId="3" borderId="19" xfId="1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167" fontId="4" fillId="2" borderId="22" xfId="1" applyNumberFormat="1" applyFont="1" applyFill="1" applyBorder="1" applyAlignment="1">
      <alignment horizontal="right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right" vertical="center"/>
    </xf>
    <xf numFmtId="168" fontId="3" fillId="3" borderId="0" xfId="0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/>
    <xf numFmtId="164" fontId="3" fillId="3" borderId="0" xfId="1" applyNumberFormat="1" applyFont="1" applyFill="1" applyBorder="1" applyAlignment="1">
      <alignment horizontal="center" vertical="center"/>
    </xf>
    <xf numFmtId="164" fontId="4" fillId="3" borderId="18" xfId="1" applyNumberFormat="1" applyFont="1" applyFill="1" applyBorder="1"/>
    <xf numFmtId="164" fontId="4" fillId="3" borderId="0" xfId="0" applyNumberFormat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 applyAlignment="1">
      <alignment horizontal="center"/>
    </xf>
    <xf numFmtId="164" fontId="4" fillId="3" borderId="18" xfId="1" applyNumberFormat="1" applyFont="1" applyFill="1" applyBorder="1" applyAlignment="1">
      <alignment horizontal="center"/>
    </xf>
    <xf numFmtId="164" fontId="4" fillId="3" borderId="18" xfId="0" applyNumberFormat="1" applyFont="1" applyFill="1" applyBorder="1" applyAlignment="1">
      <alignment horizontal="right" vertical="center"/>
    </xf>
    <xf numFmtId="164" fontId="4" fillId="3" borderId="24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 applyAlignment="1">
      <alignment horizontal="center" vertical="center"/>
    </xf>
    <xf numFmtId="164" fontId="4" fillId="3" borderId="18" xfId="1" applyNumberFormat="1" applyFont="1" applyFill="1" applyBorder="1" applyAlignment="1">
      <alignment horizontal="center" vertical="center"/>
    </xf>
    <xf numFmtId="164" fontId="4" fillId="3" borderId="12" xfId="1" applyFont="1" applyFill="1" applyBorder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164" fontId="3" fillId="3" borderId="0" xfId="1" applyFont="1" applyFill="1" applyBorder="1" applyAlignment="1">
      <alignment horizontal="center" vertical="center"/>
    </xf>
    <xf numFmtId="164" fontId="3" fillId="3" borderId="10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right" vertical="center"/>
    </xf>
    <xf numFmtId="164" fontId="4" fillId="3" borderId="19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left" vertical="center"/>
    </xf>
    <xf numFmtId="0" fontId="6" fillId="3" borderId="0" xfId="0" applyFont="1" applyFill="1"/>
    <xf numFmtId="164" fontId="3" fillId="3" borderId="14" xfId="0" applyNumberFormat="1" applyFont="1" applyFill="1" applyBorder="1" applyAlignment="1">
      <alignment horizontal="center" vertical="center"/>
    </xf>
    <xf numFmtId="166" fontId="3" fillId="3" borderId="25" xfId="0" applyNumberFormat="1" applyFont="1" applyFill="1" applyBorder="1" applyAlignment="1">
      <alignment horizontal="left" vertical="center"/>
    </xf>
    <xf numFmtId="164" fontId="3" fillId="3" borderId="26" xfId="1" applyNumberFormat="1" applyFont="1" applyFill="1" applyBorder="1" applyAlignment="1">
      <alignment horizontal="center" vertical="center"/>
    </xf>
    <xf numFmtId="164" fontId="3" fillId="4" borderId="26" xfId="1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6" xfId="1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3" fillId="3" borderId="26" xfId="1" applyNumberFormat="1" applyFont="1" applyFill="1" applyBorder="1" applyAlignment="1">
      <alignment horizontal="right" vertical="center"/>
    </xf>
    <xf numFmtId="164" fontId="3" fillId="3" borderId="26" xfId="0" applyNumberFormat="1" applyFont="1" applyFill="1" applyBorder="1" applyAlignment="1">
      <alignment horizontal="center" vertical="center"/>
    </xf>
    <xf numFmtId="166" fontId="4" fillId="3" borderId="28" xfId="1" applyNumberFormat="1" applyFont="1" applyFill="1" applyBorder="1" applyAlignment="1">
      <alignment horizontal="center" vertical="center"/>
    </xf>
    <xf numFmtId="169" fontId="4" fillId="2" borderId="29" xfId="0" applyNumberFormat="1" applyFont="1" applyFill="1" applyBorder="1" applyAlignment="1">
      <alignment horizontal="center" vertical="center"/>
    </xf>
    <xf numFmtId="166" fontId="4" fillId="3" borderId="26" xfId="0" applyNumberFormat="1" applyFont="1" applyFill="1" applyBorder="1" applyAlignment="1">
      <alignment horizontal="left" vertical="center"/>
    </xf>
    <xf numFmtId="168" fontId="3" fillId="3" borderId="26" xfId="0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/>
    </xf>
    <xf numFmtId="164" fontId="3" fillId="3" borderId="27" xfId="1" applyNumberFormat="1" applyFont="1" applyFill="1" applyBorder="1" applyAlignment="1">
      <alignment horizontal="center"/>
    </xf>
    <xf numFmtId="168" fontId="3" fillId="3" borderId="25" xfId="1" applyNumberFormat="1" applyFont="1" applyFill="1" applyBorder="1" applyAlignment="1">
      <alignment horizontal="right" vertical="center"/>
    </xf>
    <xf numFmtId="168" fontId="3" fillId="3" borderId="25" xfId="1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right" vertical="center"/>
    </xf>
    <xf numFmtId="164" fontId="3" fillId="3" borderId="26" xfId="1" applyFont="1" applyFill="1" applyBorder="1" applyAlignment="1">
      <alignment horizontal="right" vertical="center"/>
    </xf>
    <xf numFmtId="168" fontId="3" fillId="3" borderId="27" xfId="1" applyNumberFormat="1" applyFont="1" applyFill="1" applyBorder="1" applyAlignment="1">
      <alignment horizontal="right" vertical="center"/>
    </xf>
    <xf numFmtId="168" fontId="4" fillId="3" borderId="26" xfId="0" applyNumberFormat="1" applyFont="1" applyFill="1" applyBorder="1" applyAlignment="1">
      <alignment horizontal="center" vertical="center"/>
    </xf>
    <xf numFmtId="164" fontId="4" fillId="3" borderId="30" xfId="1" applyFont="1" applyFill="1" applyBorder="1" applyAlignment="1">
      <alignment horizontal="center" vertical="center"/>
    </xf>
    <xf numFmtId="164" fontId="4" fillId="3" borderId="31" xfId="1" applyFont="1" applyFill="1" applyBorder="1" applyAlignment="1">
      <alignment horizontal="center" vertical="center"/>
    </xf>
    <xf numFmtId="164" fontId="4" fillId="3" borderId="30" xfId="1" applyFont="1" applyFill="1" applyBorder="1" applyAlignment="1">
      <alignment horizontal="right" vertical="center"/>
    </xf>
    <xf numFmtId="164" fontId="4" fillId="3" borderId="32" xfId="1" applyFont="1" applyFill="1" applyBorder="1" applyAlignment="1">
      <alignment horizontal="center" vertical="center"/>
    </xf>
    <xf numFmtId="164" fontId="4" fillId="3" borderId="31" xfId="1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64" fontId="0" fillId="3" borderId="0" xfId="0" applyNumberFormat="1" applyFill="1"/>
    <xf numFmtId="0" fontId="4" fillId="3" borderId="9" xfId="0" applyFont="1" applyFill="1" applyBorder="1" applyAlignment="1">
      <alignment vertical="center"/>
    </xf>
    <xf numFmtId="43" fontId="3" fillId="3" borderId="0" xfId="0" applyNumberFormat="1" applyFont="1" applyFill="1"/>
    <xf numFmtId="169" fontId="3" fillId="3" borderId="0" xfId="0" applyNumberFormat="1" applyFont="1" applyFill="1"/>
    <xf numFmtId="168" fontId="0" fillId="3" borderId="0" xfId="0" applyNumberFormat="1" applyFill="1"/>
    <xf numFmtId="164" fontId="4" fillId="3" borderId="0" xfId="1" applyNumberFormat="1" applyFont="1" applyFill="1" applyBorder="1" applyAlignment="1">
      <alignment horizontal="center"/>
    </xf>
    <xf numFmtId="4" fontId="0" fillId="3" borderId="0" xfId="0" applyNumberFormat="1" applyFill="1"/>
    <xf numFmtId="164" fontId="3" fillId="3" borderId="0" xfId="0" applyNumberFormat="1" applyFont="1" applyFill="1" applyBorder="1" applyAlignment="1">
      <alignment horizontal="center" vertical="center"/>
    </xf>
    <xf numFmtId="164" fontId="4" fillId="3" borderId="15" xfId="1" applyFont="1" applyFill="1" applyBorder="1" applyAlignment="1">
      <alignment horizontal="center" vertical="center"/>
    </xf>
    <xf numFmtId="168" fontId="4" fillId="3" borderId="17" xfId="1" applyNumberFormat="1" applyFont="1" applyFill="1" applyBorder="1" applyAlignment="1">
      <alignment horizontal="center" vertical="center"/>
    </xf>
    <xf numFmtId="166" fontId="4" fillId="2" borderId="41" xfId="0" applyNumberFormat="1" applyFont="1" applyFill="1" applyBorder="1" applyAlignment="1">
      <alignment horizontal="center" vertical="center"/>
    </xf>
    <xf numFmtId="165" fontId="4" fillId="2" borderId="43" xfId="0" applyNumberFormat="1" applyFont="1" applyFill="1" applyBorder="1" applyAlignment="1">
      <alignment horizontal="center" vertical="center"/>
    </xf>
    <xf numFmtId="168" fontId="4" fillId="3" borderId="44" xfId="0" applyNumberFormat="1" applyFont="1" applyFill="1" applyBorder="1" applyAlignment="1">
      <alignment horizontal="center" vertical="center"/>
    </xf>
    <xf numFmtId="168" fontId="4" fillId="3" borderId="45" xfId="0" applyNumberFormat="1" applyFont="1" applyFill="1" applyBorder="1" applyAlignment="1">
      <alignment horizontal="center" vertical="center"/>
    </xf>
    <xf numFmtId="164" fontId="4" fillId="3" borderId="46" xfId="1" applyFont="1" applyFill="1" applyBorder="1" applyAlignment="1">
      <alignment horizontal="center" vertical="center"/>
    </xf>
    <xf numFmtId="166" fontId="4" fillId="3" borderId="46" xfId="0" applyNumberFormat="1" applyFont="1" applyFill="1" applyBorder="1" applyAlignment="1">
      <alignment horizontal="center" vertical="center"/>
    </xf>
    <xf numFmtId="164" fontId="4" fillId="3" borderId="42" xfId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168" fontId="3" fillId="3" borderId="0" xfId="1" applyNumberFormat="1" applyFont="1" applyFill="1" applyBorder="1" applyAlignment="1">
      <alignment horizontal="center" vertical="center"/>
    </xf>
    <xf numFmtId="168" fontId="4" fillId="3" borderId="0" xfId="1" applyNumberFormat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0" xfId="0" applyFont="1" applyFill="1" applyAlignment="1"/>
    <xf numFmtId="0" fontId="2" fillId="0" borderId="0" xfId="0" applyFont="1"/>
    <xf numFmtId="0" fontId="4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vertical="center"/>
    </xf>
    <xf numFmtId="0" fontId="4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8" fillId="3" borderId="0" xfId="0" applyFont="1" applyFill="1" applyAlignment="1"/>
  </cellXfs>
  <cellStyles count="3">
    <cellStyle name="Normal" xfId="0" builtinId="0"/>
    <cellStyle name="Separador de milhares 2" xfId="2" xr:uid="{00000000-0005-0000-0000-000001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933450</xdr:colOff>
      <xdr:row>3</xdr:row>
      <xdr:rowOff>155223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38100"/>
          <a:ext cx="742950" cy="603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priet&#225;rio%20de%20Terras\Propriet&#225;rio%20de%20Terra\Proprietarios%20de%20Terra%202005%20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NOV"/>
      <sheetName val="FEV_DEZ"/>
      <sheetName val="MAR_JAN"/>
      <sheetName val="ABR_FEV"/>
      <sheetName val="MAI_MAR"/>
      <sheetName val="JUN_ABR"/>
      <sheetName val="JUL_MAI"/>
      <sheetName val="AGO_JUN"/>
      <sheetName val="SET_JUL"/>
      <sheetName val="OUT_AGO"/>
      <sheetName val="NOV_SET"/>
      <sheetName val="DEZ_OUT"/>
      <sheetName val="JAN06_NOV"/>
      <sheetName val="FEV06_DEZ"/>
      <sheetName val="MAR06_JAN"/>
      <sheetName val="ABR06_FEV"/>
      <sheetName val="MAI06_MAR"/>
      <sheetName val="JUN06_ABR"/>
      <sheetName val="JUL06_MAI"/>
      <sheetName val="AGO06_JUN "/>
      <sheetName val="SET06_JUL"/>
      <sheetName val="OUT06_AGO"/>
      <sheetName val="NOV06_SET"/>
      <sheetName val="DEZ06_OUT"/>
      <sheetName val="JAN07_NOV"/>
      <sheetName val="FEV07_DEZ "/>
      <sheetName val="MAR07_JAN"/>
      <sheetName val="ABR07_FEV"/>
      <sheetName val="MAI07_MAR"/>
      <sheetName val="JUN07_ABR"/>
      <sheetName val="JUL07_MAI"/>
      <sheetName val="AGO07_JUN"/>
      <sheetName val="SET07_JUL"/>
      <sheetName val="OUT07_AGO"/>
      <sheetName val="NOV07_SET"/>
      <sheetName val="DEZ07_OUT"/>
      <sheetName val="JAN08_NOV"/>
      <sheetName val="FEV08_DEZ"/>
      <sheetName val="MAR08_JAN"/>
      <sheetName val="ABR08_FEV"/>
      <sheetName val="MAI08_MAR"/>
      <sheetName val="JUN08_ABR"/>
      <sheetName val="JUL08_MAI"/>
      <sheetName val="AGO08_JUN "/>
      <sheetName val="SET08-JUL"/>
      <sheetName val="OUT08-AGO"/>
      <sheetName val="NOV08-SET"/>
      <sheetName val="DEZ08-OUT"/>
      <sheetName val="JAN09-NOV"/>
      <sheetName val="FEV09-DEZ"/>
      <sheetName val="MAR09-JAN"/>
      <sheetName val="ABR09-FEV"/>
      <sheetName val="MAI09-MAR"/>
      <sheetName val="JUN09-ABR"/>
      <sheetName val="JUL09-MAI"/>
      <sheetName val="AGO09-JUN"/>
      <sheetName val="SET09-JUL"/>
      <sheetName val="OUT09-AGO"/>
      <sheetName val="NOV09-SET"/>
      <sheetName val="DEZ09-OUT"/>
      <sheetName val="JAN10-NOV"/>
      <sheetName val="FEV10-DEZ"/>
      <sheetName val="MAR10-JAN"/>
      <sheetName val="ABR10-FEV"/>
      <sheetName val="MAI10-MAR"/>
      <sheetName val="JUN10-ABR"/>
      <sheetName val="JUL10-MAI"/>
      <sheetName val="AGO10-JUN"/>
      <sheetName val="SET10-JUL"/>
      <sheetName val="OUT10-AGO"/>
      <sheetName val="NOV10-SET"/>
      <sheetName val="DEZ10-OUT"/>
      <sheetName val="JAN11-NOV"/>
      <sheetName val="FEV11-DEZ"/>
      <sheetName val="MAR11-JAN"/>
      <sheetName val="ABR11-FEV"/>
      <sheetName val="MAI11-MAR"/>
      <sheetName val="JUN11-ABR"/>
      <sheetName val="JUL11-MAI"/>
      <sheetName val="AGO11-JUN"/>
      <sheetName val="SET11-JUL"/>
      <sheetName val="OUT11-AGO"/>
      <sheetName val="NOV11-SET"/>
      <sheetName val="DEZ-11-OUT"/>
      <sheetName val="JAN-12-NOV"/>
      <sheetName val="FEV-12-DEZ"/>
      <sheetName val="MAR-12-JAN"/>
      <sheetName val="ABR-12-FEV"/>
      <sheetName val="MAI-12-MAR"/>
      <sheetName val="JUN-12-ABR"/>
      <sheetName val="JUL-12-MAI"/>
      <sheetName val="AGO-12-JUN"/>
      <sheetName val="SET-12-JUL"/>
      <sheetName val="OUT-12-AGO"/>
      <sheetName val="NOV-12-SET"/>
      <sheetName val="DEZ-12-OUT"/>
      <sheetName val="JAN-13-NOV"/>
      <sheetName val="FEV-13-DEZ"/>
      <sheetName val="MAR-13-JAN"/>
      <sheetName val="ABR-13-FEV"/>
      <sheetName val="MAI-13-MAR"/>
      <sheetName val="JUN-13-ABR"/>
      <sheetName val="JUL-13-MAI"/>
      <sheetName val="AGO-13-JUN"/>
      <sheetName val="SET-13-JUL"/>
      <sheetName val="OUT-13-AGO"/>
      <sheetName val="NOV-13-SET"/>
      <sheetName val="DEZ-13-OUT"/>
      <sheetName val="JAN-14-NOV"/>
      <sheetName val="FEV-14-DEZ"/>
      <sheetName val="MAR-14-JAN"/>
      <sheetName val="ABR-14-FEV"/>
      <sheetName val="MAI-14-MAR"/>
      <sheetName val="JUN-14-ABR"/>
      <sheetName val="JUL-14-MAI"/>
      <sheetName val="AGO-14-JUN"/>
      <sheetName val="SET-14-JUL"/>
      <sheetName val="OUT-14-AGO"/>
      <sheetName val="NOV-14-SET"/>
      <sheetName val="DEZ-14-OUT"/>
      <sheetName val="JAN-15-NOV"/>
      <sheetName val="FEV-15-DEZ"/>
      <sheetName val="MAR-15-JAN"/>
      <sheetName val="ABR-15-FEV"/>
      <sheetName val="MAI-15-MAR"/>
      <sheetName val="JUN-15-ABR"/>
      <sheetName val="JUL-15-MAI"/>
      <sheetName val="AGO-15-JUN"/>
      <sheetName val="SET-15-JUL"/>
      <sheetName val="OUT-15-AGO"/>
      <sheetName val="NOV-15-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22">
          <cell r="A22" t="str">
            <v>AL</v>
          </cell>
          <cell r="B22">
            <v>49</v>
          </cell>
          <cell r="C22">
            <v>347899.39999999997</v>
          </cell>
          <cell r="D22">
            <v>29247.760000000002</v>
          </cell>
          <cell r="E22">
            <v>10937.849999999999</v>
          </cell>
          <cell r="F22">
            <v>388085.00999999995</v>
          </cell>
        </row>
        <row r="23">
          <cell r="A23" t="str">
            <v>AM</v>
          </cell>
          <cell r="B23">
            <v>1</v>
          </cell>
          <cell r="C23">
            <v>2337360.15</v>
          </cell>
          <cell r="D23">
            <v>0</v>
          </cell>
          <cell r="E23">
            <v>0</v>
          </cell>
          <cell r="F23">
            <v>2337360.15</v>
          </cell>
        </row>
        <row r="24">
          <cell r="A24" t="str">
            <v>BA</v>
          </cell>
          <cell r="B24">
            <v>485</v>
          </cell>
          <cell r="C24">
            <v>1227429.0799999998</v>
          </cell>
          <cell r="D24">
            <v>136876.56</v>
          </cell>
          <cell r="E24">
            <v>222102.72999999998</v>
          </cell>
          <cell r="F24">
            <v>1586408.3699999999</v>
          </cell>
        </row>
        <row r="25">
          <cell r="A25" t="str">
            <v>CE</v>
          </cell>
          <cell r="B25">
            <v>6</v>
          </cell>
          <cell r="C25">
            <v>52441.78</v>
          </cell>
          <cell r="D25">
            <v>0</v>
          </cell>
          <cell r="E25">
            <v>18.239999999999998</v>
          </cell>
          <cell r="F25">
            <v>52460.02</v>
          </cell>
        </row>
        <row r="26">
          <cell r="A26" t="str">
            <v>ES</v>
          </cell>
          <cell r="B26">
            <v>97</v>
          </cell>
          <cell r="C26">
            <v>377330.45</v>
          </cell>
          <cell r="D26">
            <v>31065.72</v>
          </cell>
          <cell r="E26">
            <v>196893.72</v>
          </cell>
          <cell r="F26">
            <v>605289.89</v>
          </cell>
        </row>
        <row r="27">
          <cell r="A27" t="str">
            <v>RN</v>
          </cell>
          <cell r="B27">
            <v>1228</v>
          </cell>
          <cell r="C27">
            <v>1915324.8800000004</v>
          </cell>
          <cell r="D27">
            <v>146556.70000000001</v>
          </cell>
          <cell r="E27">
            <v>404151.82</v>
          </cell>
          <cell r="F27">
            <v>2466033.4000000004</v>
          </cell>
        </row>
        <row r="28">
          <cell r="A28" t="str">
            <v>SE</v>
          </cell>
          <cell r="B28">
            <v>251</v>
          </cell>
          <cell r="C28">
            <v>678620.19</v>
          </cell>
          <cell r="D28">
            <v>49669.8</v>
          </cell>
          <cell r="E28">
            <v>39350.94</v>
          </cell>
          <cell r="F28">
            <v>767640.92999999993</v>
          </cell>
        </row>
        <row r="29">
          <cell r="A29" t="str">
            <v>MA</v>
          </cell>
          <cell r="B29">
            <v>7</v>
          </cell>
          <cell r="C29">
            <v>364628.84</v>
          </cell>
          <cell r="D29">
            <v>132319.89999999997</v>
          </cell>
          <cell r="E29">
            <v>0</v>
          </cell>
          <cell r="F29">
            <v>496948.74</v>
          </cell>
        </row>
      </sheetData>
      <sheetData sheetId="125">
        <row r="22">
          <cell r="A22" t="str">
            <v>AL</v>
          </cell>
          <cell r="B22">
            <v>50</v>
          </cell>
          <cell r="C22">
            <v>309160.28000000003</v>
          </cell>
          <cell r="D22">
            <v>31164.260000000002</v>
          </cell>
          <cell r="E22">
            <v>11724.33</v>
          </cell>
          <cell r="F22">
            <v>352048.87000000005</v>
          </cell>
        </row>
        <row r="23">
          <cell r="A23" t="str">
            <v>AM</v>
          </cell>
          <cell r="B23">
            <v>1</v>
          </cell>
          <cell r="C23">
            <v>2237924.65</v>
          </cell>
          <cell r="D23">
            <v>0</v>
          </cell>
          <cell r="E23">
            <v>0</v>
          </cell>
          <cell r="F23">
            <v>2237924.65</v>
          </cell>
        </row>
        <row r="24">
          <cell r="A24" t="str">
            <v>BA</v>
          </cell>
          <cell r="B24">
            <v>480</v>
          </cell>
          <cell r="C24">
            <v>1155745.5900000001</v>
          </cell>
          <cell r="D24">
            <v>130132.51</v>
          </cell>
          <cell r="E24">
            <v>201908.06</v>
          </cell>
          <cell r="F24">
            <v>1487786.1600000001</v>
          </cell>
        </row>
        <row r="25">
          <cell r="A25" t="str">
            <v>CE</v>
          </cell>
          <cell r="B25">
            <v>6</v>
          </cell>
          <cell r="C25">
            <v>46677.55</v>
          </cell>
          <cell r="D25">
            <v>0</v>
          </cell>
          <cell r="E25">
            <v>48.38</v>
          </cell>
          <cell r="F25">
            <v>46725.93</v>
          </cell>
        </row>
        <row r="26">
          <cell r="A26" t="str">
            <v>ES</v>
          </cell>
          <cell r="B26">
            <v>96</v>
          </cell>
          <cell r="C26">
            <v>2309388.09</v>
          </cell>
          <cell r="D26">
            <v>30532.25</v>
          </cell>
          <cell r="E26">
            <v>22629.59</v>
          </cell>
          <cell r="F26">
            <v>2362549.9299999997</v>
          </cell>
        </row>
        <row r="27">
          <cell r="A27" t="str">
            <v>RN</v>
          </cell>
          <cell r="B27">
            <v>1237</v>
          </cell>
          <cell r="C27">
            <v>2018041.05</v>
          </cell>
          <cell r="D27">
            <v>154843.67000000001</v>
          </cell>
          <cell r="E27">
            <v>407354.24</v>
          </cell>
          <cell r="F27">
            <v>2580238.96</v>
          </cell>
        </row>
        <row r="28">
          <cell r="A28" t="str">
            <v>SE</v>
          </cell>
          <cell r="B28">
            <v>250</v>
          </cell>
          <cell r="C28">
            <v>707393.5</v>
          </cell>
          <cell r="D28">
            <v>52767.09</v>
          </cell>
          <cell r="E28">
            <v>41131.29</v>
          </cell>
          <cell r="F28">
            <v>801291.88</v>
          </cell>
        </row>
        <row r="29">
          <cell r="A29" t="str">
            <v>MA</v>
          </cell>
          <cell r="B29">
            <v>7</v>
          </cell>
          <cell r="C29">
            <v>239821.21</v>
          </cell>
          <cell r="D29">
            <v>87790.720000000001</v>
          </cell>
          <cell r="E29">
            <v>0</v>
          </cell>
          <cell r="F29">
            <v>327611.93</v>
          </cell>
        </row>
      </sheetData>
      <sheetData sheetId="126">
        <row r="22">
          <cell r="A22" t="str">
            <v>AL</v>
          </cell>
          <cell r="B22">
            <v>48</v>
          </cell>
          <cell r="C22">
            <v>348141.99</v>
          </cell>
          <cell r="D22">
            <v>36614.5</v>
          </cell>
          <cell r="E22">
            <v>13290.53</v>
          </cell>
          <cell r="F22">
            <v>398047.02</v>
          </cell>
        </row>
        <row r="23">
          <cell r="A23" t="str">
            <v>AM</v>
          </cell>
          <cell r="B23">
            <v>1</v>
          </cell>
          <cell r="C23">
            <v>2474808.06</v>
          </cell>
          <cell r="D23">
            <v>0</v>
          </cell>
          <cell r="E23">
            <v>0</v>
          </cell>
          <cell r="F23">
            <v>2474808.06</v>
          </cell>
        </row>
        <row r="24">
          <cell r="A24" t="str">
            <v>BA</v>
          </cell>
          <cell r="B24">
            <v>483</v>
          </cell>
          <cell r="C24">
            <v>1277864.31</v>
          </cell>
          <cell r="D24">
            <v>145882.97</v>
          </cell>
          <cell r="E24">
            <v>221875.22</v>
          </cell>
          <cell r="F24">
            <v>1645622.5</v>
          </cell>
        </row>
        <row r="25">
          <cell r="A25" t="str">
            <v>CE</v>
          </cell>
          <cell r="B25">
            <v>5</v>
          </cell>
          <cell r="C25">
            <v>53901.74</v>
          </cell>
          <cell r="D25">
            <v>0</v>
          </cell>
          <cell r="E25">
            <v>0</v>
          </cell>
          <cell r="F25">
            <v>53901.74</v>
          </cell>
        </row>
        <row r="26">
          <cell r="A26" t="str">
            <v>ES</v>
          </cell>
          <cell r="B26">
            <v>98</v>
          </cell>
          <cell r="C26">
            <v>615584.17999999993</v>
          </cell>
          <cell r="D26">
            <v>34634.93</v>
          </cell>
          <cell r="E26">
            <v>26559.09</v>
          </cell>
          <cell r="F26">
            <v>676778.2</v>
          </cell>
        </row>
        <row r="27">
          <cell r="A27" t="str">
            <v>RN</v>
          </cell>
          <cell r="B27">
            <v>1263</v>
          </cell>
          <cell r="C27">
            <v>2165341.4099999997</v>
          </cell>
          <cell r="D27">
            <v>179727.15999999997</v>
          </cell>
          <cell r="E27">
            <v>466121.25</v>
          </cell>
          <cell r="F27">
            <v>2811189.82</v>
          </cell>
        </row>
        <row r="28">
          <cell r="A28" t="str">
            <v>SE</v>
          </cell>
          <cell r="B28">
            <v>253</v>
          </cell>
          <cell r="C28">
            <v>801797.88</v>
          </cell>
          <cell r="D28">
            <v>66783.930000000008</v>
          </cell>
          <cell r="E28">
            <v>138959.62</v>
          </cell>
          <cell r="F28">
            <v>1007541.43</v>
          </cell>
        </row>
        <row r="29">
          <cell r="A29" t="str">
            <v>MA</v>
          </cell>
          <cell r="B29">
            <v>7</v>
          </cell>
          <cell r="C29">
            <v>200998.12</v>
          </cell>
          <cell r="D29">
            <v>70245.08</v>
          </cell>
          <cell r="E29">
            <v>0</v>
          </cell>
          <cell r="F29">
            <v>271243.2</v>
          </cell>
        </row>
      </sheetData>
      <sheetData sheetId="127" refreshError="1"/>
      <sheetData sheetId="128" refreshError="1"/>
      <sheetData sheetId="129" refreshError="1"/>
      <sheetData sheetId="13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11"/>
  <sheetViews>
    <sheetView tabSelected="1" zoomScale="90" zoomScaleNormal="90" workbookViewId="0">
      <selection activeCell="A5" sqref="A5:E5"/>
    </sheetView>
  </sheetViews>
  <sheetFormatPr defaultColWidth="9.1796875" defaultRowHeight="12.5" x14ac:dyDescent="0.25"/>
  <cols>
    <col min="1" max="1" width="16.26953125" style="5" customWidth="1"/>
    <col min="2" max="2" width="21.7265625" style="5" customWidth="1"/>
    <col min="3" max="3" width="14" style="5" bestFit="1" customWidth="1"/>
    <col min="4" max="4" width="14.26953125" style="5" bestFit="1" customWidth="1"/>
    <col min="5" max="6" width="14.54296875" style="5" bestFit="1" customWidth="1"/>
    <col min="7" max="7" width="13.54296875" style="5" bestFit="1" customWidth="1"/>
    <col min="8" max="9" width="14.26953125" style="5" bestFit="1" customWidth="1"/>
    <col min="10" max="10" width="17" style="5" bestFit="1" customWidth="1"/>
    <col min="11" max="11" width="16.7265625" style="5" bestFit="1" customWidth="1"/>
    <col min="12" max="12" width="15.54296875" style="5" bestFit="1" customWidth="1"/>
    <col min="13" max="13" width="15.26953125" style="5" bestFit="1" customWidth="1"/>
    <col min="14" max="14" width="13.54296875" style="5" bestFit="1" customWidth="1"/>
    <col min="15" max="15" width="16.7265625" style="5" bestFit="1" customWidth="1"/>
    <col min="16" max="16" width="9.1796875" style="5"/>
    <col min="17" max="17" width="22" style="5" customWidth="1"/>
    <col min="18" max="18" width="11.1796875" style="5" bestFit="1" customWidth="1"/>
    <col min="19" max="20" width="9.1796875" style="5"/>
    <col min="21" max="21" width="8.453125" style="5" customWidth="1"/>
    <col min="22" max="16384" width="9.1796875" style="5"/>
  </cols>
  <sheetData>
    <row r="2" spans="1:18" x14ac:dyDescent="0.25">
      <c r="C2" s="116" t="s">
        <v>48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8" x14ac:dyDescent="0.25">
      <c r="C3" s="8"/>
      <c r="D3" s="8"/>
      <c r="E3" s="8"/>
      <c r="F3" s="8"/>
      <c r="G3" s="8"/>
      <c r="H3" s="8"/>
      <c r="I3" s="8"/>
      <c r="K3" s="93"/>
    </row>
    <row r="4" spans="1:18" x14ac:dyDescent="0.25">
      <c r="G4" s="99"/>
      <c r="I4" s="98"/>
      <c r="L4" s="93"/>
      <c r="M4" s="93"/>
    </row>
    <row r="5" spans="1:18" x14ac:dyDescent="0.25">
      <c r="A5" s="127" t="s">
        <v>61</v>
      </c>
      <c r="B5" s="127"/>
      <c r="C5" s="127"/>
      <c r="D5" s="127"/>
      <c r="E5" s="127"/>
      <c r="J5" s="93"/>
      <c r="L5" s="93"/>
      <c r="M5" s="93"/>
    </row>
    <row r="6" spans="1:18" ht="13" thickBot="1" x14ac:dyDescent="0.3">
      <c r="A6" s="7" t="s">
        <v>49</v>
      </c>
      <c r="B6" s="7"/>
      <c r="C6" s="6"/>
      <c r="D6" s="6"/>
      <c r="E6" s="6"/>
    </row>
    <row r="7" spans="1:18" s="7" customFormat="1" ht="10.5" x14ac:dyDescent="0.2">
      <c r="A7" s="118" t="s">
        <v>0</v>
      </c>
      <c r="B7" s="119"/>
      <c r="C7" s="1">
        <v>42005</v>
      </c>
      <c r="D7" s="1">
        <v>42037</v>
      </c>
      <c r="E7" s="1">
        <v>42069</v>
      </c>
      <c r="F7" s="1">
        <v>42101</v>
      </c>
      <c r="G7" s="1">
        <v>42133</v>
      </c>
      <c r="H7" s="1">
        <v>42165</v>
      </c>
      <c r="I7" s="1">
        <v>42197</v>
      </c>
      <c r="J7" s="1">
        <v>42229</v>
      </c>
      <c r="K7" s="1">
        <v>42261</v>
      </c>
      <c r="L7" s="1">
        <v>42293</v>
      </c>
      <c r="M7" s="1">
        <v>42325</v>
      </c>
      <c r="N7" s="1">
        <v>42357</v>
      </c>
      <c r="O7" s="2" t="s">
        <v>59</v>
      </c>
    </row>
    <row r="8" spans="1:18" s="7" customFormat="1" ht="10.5" x14ac:dyDescent="0.2">
      <c r="A8" s="9" t="s">
        <v>1</v>
      </c>
      <c r="B8" s="10"/>
      <c r="C8" s="11"/>
      <c r="D8" s="66"/>
      <c r="E8" s="66"/>
      <c r="F8" s="66"/>
      <c r="G8" s="66"/>
      <c r="H8" s="66"/>
      <c r="I8" s="12"/>
      <c r="J8" s="66"/>
      <c r="K8" s="66"/>
      <c r="L8" s="66"/>
      <c r="M8" s="66"/>
      <c r="N8" s="12"/>
      <c r="O8" s="13"/>
    </row>
    <row r="9" spans="1:18" s="7" customFormat="1" ht="10" x14ac:dyDescent="0.2">
      <c r="A9" s="120" t="s">
        <v>2</v>
      </c>
      <c r="B9" s="14" t="s">
        <v>3</v>
      </c>
      <c r="C9" s="43">
        <v>2382.3076900000001</v>
      </c>
      <c r="D9" s="67">
        <v>1957.3393100000001</v>
      </c>
      <c r="E9" s="67">
        <v>1637.0736800000002</v>
      </c>
      <c r="F9" s="67">
        <v>2022.99701</v>
      </c>
      <c r="G9" s="67">
        <v>2338.0762599999998</v>
      </c>
      <c r="H9" s="67">
        <v>2120.7521399999996</v>
      </c>
      <c r="I9" s="59">
        <v>2395.5489600000001</v>
      </c>
      <c r="J9" s="67">
        <v>2075.4402700000001</v>
      </c>
      <c r="K9" s="67">
        <f>2707341.56/1000</f>
        <v>2707.3415599999998</v>
      </c>
      <c r="L9" s="67">
        <v>2563.6214100000002</v>
      </c>
      <c r="M9" s="67">
        <v>2718.4760000000001</v>
      </c>
      <c r="N9" s="59">
        <v>2628.56952</v>
      </c>
      <c r="O9" s="60">
        <f>SUM(C9:N9)</f>
        <v>27547.543809999999</v>
      </c>
      <c r="P9" s="92"/>
      <c r="Q9" s="92"/>
      <c r="R9" s="92"/>
    </row>
    <row r="10" spans="1:18" s="7" customFormat="1" ht="10" x14ac:dyDescent="0.2">
      <c r="A10" s="120"/>
      <c r="B10" s="14" t="s">
        <v>4</v>
      </c>
      <c r="C10" s="43">
        <v>15778.204009999999</v>
      </c>
      <c r="D10" s="67">
        <v>12773.213309999999</v>
      </c>
      <c r="E10" s="67">
        <v>10731.103760000002</v>
      </c>
      <c r="F10" s="67">
        <v>11871.27655</v>
      </c>
      <c r="G10" s="67">
        <v>13880.563460000001</v>
      </c>
      <c r="H10" s="67">
        <v>13297.360500000001</v>
      </c>
      <c r="I10" s="59">
        <v>14693.935960000001</v>
      </c>
      <c r="J10" s="67">
        <v>14245.482840000001</v>
      </c>
      <c r="K10" s="67">
        <f>14689643.45/1000</f>
        <v>14689.64345</v>
      </c>
      <c r="L10" s="67">
        <v>13792.74841</v>
      </c>
      <c r="M10" s="67">
        <v>14936.213810000001</v>
      </c>
      <c r="N10" s="59">
        <v>13638.582719999999</v>
      </c>
      <c r="O10" s="60">
        <f>SUM(C10:N10)</f>
        <v>164328.32877999998</v>
      </c>
      <c r="P10" s="92"/>
      <c r="Q10" s="92"/>
      <c r="R10" s="92"/>
    </row>
    <row r="11" spans="1:18" s="7" customFormat="1" ht="10" x14ac:dyDescent="0.2">
      <c r="A11" s="120"/>
      <c r="B11" s="14" t="s">
        <v>5</v>
      </c>
      <c r="C11" s="43">
        <v>17844.110789999999</v>
      </c>
      <c r="D11" s="67">
        <v>15412.23242</v>
      </c>
      <c r="E11" s="67">
        <v>11790.037469999999</v>
      </c>
      <c r="F11" s="67">
        <v>13138.916050000002</v>
      </c>
      <c r="G11" s="67">
        <v>15118.803719999998</v>
      </c>
      <c r="H11" s="67">
        <v>14553.989440000001</v>
      </c>
      <c r="I11" s="59">
        <v>16160.345859999999</v>
      </c>
      <c r="J11" s="67">
        <v>15112.75186</v>
      </c>
      <c r="K11" s="67">
        <f>14251939.5/1000</f>
        <v>14251.9395</v>
      </c>
      <c r="L11" s="67">
        <v>12690.595630000002</v>
      </c>
      <c r="M11" s="67">
        <v>14780.242719999998</v>
      </c>
      <c r="N11" s="59">
        <v>15440.25668</v>
      </c>
      <c r="O11" s="60">
        <f t="shared" ref="O11:O46" si="0">SUM(C11:N11)</f>
        <v>176294.22214</v>
      </c>
      <c r="P11" s="92"/>
      <c r="Q11" s="92"/>
      <c r="R11" s="92"/>
    </row>
    <row r="12" spans="1:18" s="7" customFormat="1" ht="10" x14ac:dyDescent="0.2">
      <c r="A12" s="120"/>
      <c r="B12" s="14" t="s">
        <v>6</v>
      </c>
      <c r="C12" s="43">
        <v>1232.72327</v>
      </c>
      <c r="D12" s="67">
        <v>1048.6789199999998</v>
      </c>
      <c r="E12" s="67">
        <v>725.5233199999999</v>
      </c>
      <c r="F12" s="67">
        <v>770.15714999999989</v>
      </c>
      <c r="G12" s="67">
        <v>951.55512999999985</v>
      </c>
      <c r="H12" s="67">
        <v>991.14602000000002</v>
      </c>
      <c r="I12" s="59">
        <v>1133.1408799999999</v>
      </c>
      <c r="J12" s="67">
        <v>1022.65913</v>
      </c>
      <c r="K12" s="67">
        <f>970605.31/1000</f>
        <v>970.60531000000003</v>
      </c>
      <c r="L12" s="67">
        <v>825.70397000000003</v>
      </c>
      <c r="M12" s="67">
        <v>920.70064000000002</v>
      </c>
      <c r="N12" s="59">
        <v>936.70808000000011</v>
      </c>
      <c r="O12" s="60">
        <f t="shared" si="0"/>
        <v>11529.301820000001</v>
      </c>
      <c r="P12" s="92"/>
      <c r="Q12" s="92"/>
      <c r="R12" s="92"/>
    </row>
    <row r="13" spans="1:18" s="7" customFormat="1" ht="10" x14ac:dyDescent="0.2">
      <c r="A13" s="120"/>
      <c r="B13" s="14" t="s">
        <v>7</v>
      </c>
      <c r="C13" s="43">
        <v>67824.221229999996</v>
      </c>
      <c r="D13" s="67">
        <v>58057.158480000006</v>
      </c>
      <c r="E13" s="67">
        <v>41475.954700000002</v>
      </c>
      <c r="F13" s="67">
        <v>45376.183549999994</v>
      </c>
      <c r="G13" s="67">
        <v>47293.35254</v>
      </c>
      <c r="H13" s="67">
        <v>46883.787150000004</v>
      </c>
      <c r="I13" s="59">
        <v>57148.721229999996</v>
      </c>
      <c r="J13" s="67">
        <v>53519.891759999999</v>
      </c>
      <c r="K13" s="67">
        <f>57636441.53/1000</f>
        <v>57636.441530000004</v>
      </c>
      <c r="L13" s="67">
        <v>50159.786999999997</v>
      </c>
      <c r="M13" s="67">
        <v>49416.55442</v>
      </c>
      <c r="N13" s="59">
        <v>49990.36578</v>
      </c>
      <c r="O13" s="60">
        <f t="shared" si="0"/>
        <v>624782.4193699999</v>
      </c>
      <c r="P13" s="92"/>
      <c r="Q13" s="92"/>
      <c r="R13" s="92"/>
    </row>
    <row r="14" spans="1:18" s="7" customFormat="1" ht="10" x14ac:dyDescent="0.2">
      <c r="A14" s="120"/>
      <c r="B14" s="14" t="s">
        <v>57</v>
      </c>
      <c r="C14" s="43">
        <v>3999.2473999999997</v>
      </c>
      <c r="D14" s="67">
        <v>3088.6638499999999</v>
      </c>
      <c r="E14" s="67">
        <v>2672.9465099999998</v>
      </c>
      <c r="F14" s="67">
        <v>2467.9270999999999</v>
      </c>
      <c r="G14" s="67">
        <v>3045.20415</v>
      </c>
      <c r="H14" s="67">
        <v>2004.9870499999997</v>
      </c>
      <c r="I14" s="59">
        <v>1659.5785299999998</v>
      </c>
      <c r="J14" s="67">
        <v>2675.5920899999996</v>
      </c>
      <c r="K14" s="67">
        <f>2408481.37/1000</f>
        <v>2408.48137</v>
      </c>
      <c r="L14" s="67">
        <v>2866.7841100000005</v>
      </c>
      <c r="M14" s="67">
        <v>2830.47055</v>
      </c>
      <c r="N14" s="59">
        <v>3085.9099699999997</v>
      </c>
      <c r="O14" s="60">
        <f t="shared" si="0"/>
        <v>32805.792679999999</v>
      </c>
      <c r="P14" s="92"/>
      <c r="Q14" s="92"/>
      <c r="R14" s="92"/>
    </row>
    <row r="15" spans="1:18" s="7" customFormat="1" ht="10" x14ac:dyDescent="0.2">
      <c r="A15" s="120"/>
      <c r="B15" s="14" t="s">
        <v>8</v>
      </c>
      <c r="C15" s="43">
        <v>525.5880699999999</v>
      </c>
      <c r="D15" s="67">
        <v>480.79834999999997</v>
      </c>
      <c r="E15" s="67">
        <v>349.94371000000001</v>
      </c>
      <c r="F15" s="67">
        <v>417.71946000000003</v>
      </c>
      <c r="G15" s="67">
        <v>484.77190000000002</v>
      </c>
      <c r="H15" s="67">
        <v>485.02627000000001</v>
      </c>
      <c r="I15" s="59">
        <v>551.62576999999999</v>
      </c>
      <c r="J15" s="67">
        <v>463.44702000000001</v>
      </c>
      <c r="K15" s="67">
        <f>462789.49/1000</f>
        <v>462.78949</v>
      </c>
      <c r="L15" s="67">
        <v>393.45458000000002</v>
      </c>
      <c r="M15" s="67">
        <v>312.33234000000004</v>
      </c>
      <c r="N15" s="59">
        <v>477.57253000000003</v>
      </c>
      <c r="O15" s="60">
        <f t="shared" si="0"/>
        <v>5405.0694899999999</v>
      </c>
      <c r="P15" s="92"/>
      <c r="Q15" s="92"/>
      <c r="R15" s="92"/>
    </row>
    <row r="16" spans="1:18" s="7" customFormat="1" ht="10" x14ac:dyDescent="0.2">
      <c r="A16" s="120"/>
      <c r="B16" s="14" t="s">
        <v>9</v>
      </c>
      <c r="C16" s="43">
        <v>214566.21104000002</v>
      </c>
      <c r="D16" s="67">
        <v>197207.40780000002</v>
      </c>
      <c r="E16" s="67">
        <v>144346.88826999997</v>
      </c>
      <c r="F16" s="67">
        <v>167323.90384000001</v>
      </c>
      <c r="G16" s="67">
        <v>199252.38274999999</v>
      </c>
      <c r="H16" s="67">
        <v>195107.31604000001</v>
      </c>
      <c r="I16" s="59">
        <v>219503.52958</v>
      </c>
      <c r="J16" s="67">
        <v>200417.81868999999</v>
      </c>
      <c r="K16" s="67">
        <f>201102880.48/1000</f>
        <v>201102.88047999999</v>
      </c>
      <c r="L16" s="67">
        <v>183616.83300000001</v>
      </c>
      <c r="M16" s="67">
        <v>184776.99131000001</v>
      </c>
      <c r="N16" s="59">
        <v>201541.31357999999</v>
      </c>
      <c r="O16" s="60">
        <f t="shared" si="0"/>
        <v>2308763.4763800004</v>
      </c>
      <c r="P16" s="92"/>
      <c r="Q16" s="92"/>
      <c r="R16" s="92"/>
    </row>
    <row r="17" spans="1:18" s="7" customFormat="1" ht="10" x14ac:dyDescent="0.2">
      <c r="A17" s="120"/>
      <c r="B17" s="14" t="s">
        <v>10</v>
      </c>
      <c r="C17" s="43">
        <v>17678.712909999998</v>
      </c>
      <c r="D17" s="67">
        <v>14931.541039999998</v>
      </c>
      <c r="E17" s="67">
        <v>11397.047929999999</v>
      </c>
      <c r="F17" s="67">
        <v>13355.652050000001</v>
      </c>
      <c r="G17" s="67">
        <v>15564.2556</v>
      </c>
      <c r="H17" s="67">
        <v>15568.289409999999</v>
      </c>
      <c r="I17" s="59">
        <v>17460.786829999997</v>
      </c>
      <c r="J17" s="67">
        <v>16395.061320000001</v>
      </c>
      <c r="K17" s="67">
        <f>14129466.88/1000</f>
        <v>14129.46688</v>
      </c>
      <c r="L17" s="67">
        <v>11917.317889999998</v>
      </c>
      <c r="M17" s="67">
        <v>13170.121509999999</v>
      </c>
      <c r="N17" s="59">
        <v>14370.838299999999</v>
      </c>
      <c r="O17" s="60">
        <f t="shared" si="0"/>
        <v>175939.09166999999</v>
      </c>
      <c r="P17" s="92"/>
      <c r="Q17" s="92"/>
      <c r="R17" s="92"/>
    </row>
    <row r="18" spans="1:18" s="7" customFormat="1" ht="10" x14ac:dyDescent="0.2">
      <c r="A18" s="120"/>
      <c r="B18" s="14" t="s">
        <v>12</v>
      </c>
      <c r="C18" s="43">
        <v>10405.690430000001</v>
      </c>
      <c r="D18" s="67">
        <v>8727.9739599999994</v>
      </c>
      <c r="E18" s="67">
        <v>6283.1976699999996</v>
      </c>
      <c r="F18" s="67">
        <v>7319.5117399999999</v>
      </c>
      <c r="G18" s="67">
        <v>8520.5395200000003</v>
      </c>
      <c r="H18" s="67">
        <v>8722.9996099999989</v>
      </c>
      <c r="I18" s="59">
        <v>9539.8421799999996</v>
      </c>
      <c r="J18" s="67">
        <v>8451.6231399999997</v>
      </c>
      <c r="K18" s="67">
        <f>7218061.59/1000</f>
        <v>7218.0615900000003</v>
      </c>
      <c r="L18" s="67">
        <v>6616.9038099999998</v>
      </c>
      <c r="M18" s="67">
        <v>7670.9161899999999</v>
      </c>
      <c r="N18" s="59">
        <v>8247.2744299999995</v>
      </c>
      <c r="O18" s="60">
        <f t="shared" si="0"/>
        <v>97724.534270000004</v>
      </c>
      <c r="P18" s="92"/>
      <c r="Q18" s="92"/>
      <c r="R18" s="92"/>
    </row>
    <row r="19" spans="1:18" s="7" customFormat="1" ht="10" x14ac:dyDescent="0.2">
      <c r="A19" s="120"/>
      <c r="B19" s="14" t="s">
        <v>11</v>
      </c>
      <c r="C19" s="43">
        <v>33415.001979999994</v>
      </c>
      <c r="D19" s="67">
        <v>30657.230810000001</v>
      </c>
      <c r="E19" s="67">
        <v>24184.768969999997</v>
      </c>
      <c r="F19" s="67">
        <v>26042.207369999996</v>
      </c>
      <c r="G19" s="67">
        <v>30212.607189999999</v>
      </c>
      <c r="H19" s="67">
        <v>35437.431510000002</v>
      </c>
      <c r="I19" s="59">
        <v>39091.267610000003</v>
      </c>
      <c r="J19" s="67">
        <v>38941.896160000004</v>
      </c>
      <c r="K19" s="67">
        <f>38251933.97/1000</f>
        <v>38251.933969999998</v>
      </c>
      <c r="L19" s="67">
        <v>34160.945019999999</v>
      </c>
      <c r="M19" s="67">
        <v>36956.578710000002</v>
      </c>
      <c r="N19" s="59">
        <v>38171.774230000003</v>
      </c>
      <c r="O19" s="60">
        <f t="shared" si="0"/>
        <v>405523.64353</v>
      </c>
      <c r="P19" s="92"/>
      <c r="R19" s="92"/>
    </row>
    <row r="20" spans="1:18" s="7" customFormat="1" ht="10.5" x14ac:dyDescent="0.25">
      <c r="A20" s="15" t="s">
        <v>13</v>
      </c>
      <c r="B20" s="16"/>
      <c r="C20" s="45">
        <f>SUM(C9:C19)</f>
        <v>385652.01882</v>
      </c>
      <c r="D20" s="69">
        <f t="shared" ref="D20:K20" si="1">SUM(D9:D19)</f>
        <v>344342.23824999994</v>
      </c>
      <c r="E20" s="69">
        <f t="shared" si="1"/>
        <v>255594.48598999996</v>
      </c>
      <c r="F20" s="69">
        <f t="shared" si="1"/>
        <v>290106.45187000005</v>
      </c>
      <c r="G20" s="69">
        <f t="shared" si="1"/>
        <v>336662.11221999995</v>
      </c>
      <c r="H20" s="69">
        <f t="shared" si="1"/>
        <v>335173.08514000004</v>
      </c>
      <c r="I20" s="58">
        <f t="shared" si="1"/>
        <v>379338.32338999998</v>
      </c>
      <c r="J20" s="69">
        <f t="shared" si="1"/>
        <v>353321.66427999997</v>
      </c>
      <c r="K20" s="69">
        <f t="shared" si="1"/>
        <v>353829.58513000002</v>
      </c>
      <c r="L20" s="69">
        <f>SUM(L9:L19)</f>
        <v>319604.69482999999</v>
      </c>
      <c r="M20" s="69">
        <f>SUM(M9:M19)</f>
        <v>328489.59820000001</v>
      </c>
      <c r="N20" s="58">
        <f>SUM(N9:N19)</f>
        <v>348529.16581999994</v>
      </c>
      <c r="O20" s="61">
        <f t="shared" si="0"/>
        <v>4030643.4239399997</v>
      </c>
      <c r="Q20" s="92"/>
      <c r="R20" s="92"/>
    </row>
    <row r="21" spans="1:18" s="7" customFormat="1" ht="10" x14ac:dyDescent="0.2">
      <c r="A21" s="120" t="s">
        <v>14</v>
      </c>
      <c r="B21" s="14" t="s">
        <v>3</v>
      </c>
      <c r="C21" s="43">
        <v>6335.0717100000002</v>
      </c>
      <c r="D21" s="68">
        <v>5084.2348500000016</v>
      </c>
      <c r="E21" s="68">
        <v>3843.2165600000012</v>
      </c>
      <c r="F21" s="68">
        <v>4721.0397999999996</v>
      </c>
      <c r="G21" s="68">
        <v>5490.1988400000009</v>
      </c>
      <c r="H21" s="67">
        <v>6512.8945199999998</v>
      </c>
      <c r="I21" s="33">
        <v>6998.8135299999994</v>
      </c>
      <c r="J21" s="68">
        <f>5568040.94/1000</f>
        <v>5568.0409400000008</v>
      </c>
      <c r="K21" s="68">
        <f>6586554.54/1000</f>
        <v>6586.5545400000001</v>
      </c>
      <c r="L21" s="68">
        <f>5986863.55/1000</f>
        <v>5986.86355</v>
      </c>
      <c r="M21" s="68">
        <v>6042.7455199999995</v>
      </c>
      <c r="N21" s="33">
        <v>6279.3217400000012</v>
      </c>
      <c r="O21" s="60">
        <f t="shared" si="0"/>
        <v>69448.996100000004</v>
      </c>
      <c r="Q21" s="92"/>
      <c r="R21" s="92"/>
    </row>
    <row r="22" spans="1:18" s="7" customFormat="1" ht="10" x14ac:dyDescent="0.2">
      <c r="A22" s="120"/>
      <c r="B22" s="14" t="s">
        <v>4</v>
      </c>
      <c r="C22" s="43">
        <v>5952.3063300000013</v>
      </c>
      <c r="D22" s="68">
        <v>4868.3861900000002</v>
      </c>
      <c r="E22" s="68">
        <v>4049.5762299999997</v>
      </c>
      <c r="F22" s="68">
        <v>4427.5983200000019</v>
      </c>
      <c r="G22" s="68">
        <v>5135.4228999999987</v>
      </c>
      <c r="H22" s="67">
        <v>4984.0999600000005</v>
      </c>
      <c r="I22" s="33">
        <v>5562.7725900000005</v>
      </c>
      <c r="J22" s="68">
        <f>5408579.23/1000</f>
        <v>5408.5792300000003</v>
      </c>
      <c r="K22" s="68">
        <f>5375959.79/1000</f>
        <v>5375.9597899999999</v>
      </c>
      <c r="L22" s="68">
        <f>5103072.49/1000</f>
        <v>5103.0724900000005</v>
      </c>
      <c r="M22" s="68">
        <v>5491.96425</v>
      </c>
      <c r="N22" s="33">
        <v>5117.1633500000007</v>
      </c>
      <c r="O22" s="60">
        <f t="shared" si="0"/>
        <v>61476.90163</v>
      </c>
      <c r="Q22" s="92"/>
    </row>
    <row r="23" spans="1:18" s="7" customFormat="1" ht="10" x14ac:dyDescent="0.2">
      <c r="A23" s="120"/>
      <c r="B23" s="14" t="s">
        <v>15</v>
      </c>
      <c r="C23" s="43">
        <v>24.120480000000001</v>
      </c>
      <c r="D23" s="68">
        <v>20.63148</v>
      </c>
      <c r="E23" s="68">
        <v>12.748139999999999</v>
      </c>
      <c r="F23" s="68">
        <v>15.042689999999999</v>
      </c>
      <c r="G23" s="68">
        <v>16.699290000000001</v>
      </c>
      <c r="H23" s="67">
        <v>17.821110000000001</v>
      </c>
      <c r="I23" s="33">
        <v>19.614239999999999</v>
      </c>
      <c r="J23" s="68">
        <f>20735.4/1000</f>
        <v>20.735400000000002</v>
      </c>
      <c r="K23" s="68">
        <f>16331.16/1000</f>
        <v>16.331160000000001</v>
      </c>
      <c r="L23" s="68">
        <f>19384.77/1000</f>
        <v>19.38477</v>
      </c>
      <c r="M23" s="68">
        <v>15.795119999999999</v>
      </c>
      <c r="N23" s="33">
        <v>19.631460000000001</v>
      </c>
      <c r="O23" s="60">
        <f t="shared" si="0"/>
        <v>218.55534000000003</v>
      </c>
      <c r="Q23" s="92"/>
    </row>
    <row r="24" spans="1:18" s="7" customFormat="1" ht="10" x14ac:dyDescent="0.2">
      <c r="A24" s="120"/>
      <c r="B24" s="14" t="s">
        <v>5</v>
      </c>
      <c r="C24" s="43">
        <v>17523.656749999991</v>
      </c>
      <c r="D24" s="68">
        <v>14891.229829999995</v>
      </c>
      <c r="E24" s="68">
        <v>10719.22811</v>
      </c>
      <c r="F24" s="68">
        <v>10773.618439999986</v>
      </c>
      <c r="G24" s="68">
        <v>14701.41468</v>
      </c>
      <c r="H24" s="67">
        <v>14154.341639999982</v>
      </c>
      <c r="I24" s="33">
        <v>15939.580370000011</v>
      </c>
      <c r="J24" s="68">
        <f>14668910.35/1000</f>
        <v>14668.91035</v>
      </c>
      <c r="K24" s="68">
        <f>14718006.15/1000</f>
        <v>14718.006150000001</v>
      </c>
      <c r="L24" s="68">
        <v>13812.461549999993</v>
      </c>
      <c r="M24" s="68">
        <v>13574.379339999994</v>
      </c>
      <c r="N24" s="33">
        <v>15488.858729999994</v>
      </c>
      <c r="O24" s="60">
        <f t="shared" si="0"/>
        <v>170965.68593999997</v>
      </c>
      <c r="Q24" s="92"/>
    </row>
    <row r="25" spans="1:18" s="7" customFormat="1" ht="10" x14ac:dyDescent="0.2">
      <c r="A25" s="120"/>
      <c r="B25" s="14" t="s">
        <v>6</v>
      </c>
      <c r="C25" s="43">
        <v>3811.5940800000021</v>
      </c>
      <c r="D25" s="68">
        <v>2237.8846200000003</v>
      </c>
      <c r="E25" s="68">
        <v>2636.4845999999993</v>
      </c>
      <c r="F25" s="68">
        <v>2340.5949300000007</v>
      </c>
      <c r="G25" s="68">
        <v>2886.5826599999964</v>
      </c>
      <c r="H25" s="67">
        <v>3025.1177000000012</v>
      </c>
      <c r="I25" s="33">
        <v>3413.9895399999996</v>
      </c>
      <c r="J25" s="68">
        <f>3522691.23/1000</f>
        <v>3522.6912299999999</v>
      </c>
      <c r="K25" s="68">
        <f>2994039.03/1000</f>
        <v>2994.0390299999999</v>
      </c>
      <c r="L25" s="68">
        <v>1848.9516199999996</v>
      </c>
      <c r="M25" s="68">
        <v>1445.1451000000002</v>
      </c>
      <c r="N25" s="33">
        <v>1448.5508499999994</v>
      </c>
      <c r="O25" s="60">
        <f t="shared" si="0"/>
        <v>31611.625960000001</v>
      </c>
      <c r="Q25" s="92"/>
    </row>
    <row r="26" spans="1:18" s="7" customFormat="1" ht="10" x14ac:dyDescent="0.2">
      <c r="A26" s="120"/>
      <c r="B26" s="14" t="s">
        <v>7</v>
      </c>
      <c r="C26" s="43">
        <v>70458.721789999967</v>
      </c>
      <c r="D26" s="68">
        <v>60237.603189999987</v>
      </c>
      <c r="E26" s="68">
        <v>43510.536589999996</v>
      </c>
      <c r="F26" s="68">
        <v>47067.317689999996</v>
      </c>
      <c r="G26" s="68">
        <v>49237.802910000013</v>
      </c>
      <c r="H26" s="67">
        <v>48721.576930000003</v>
      </c>
      <c r="I26" s="33">
        <v>59079.399649999999</v>
      </c>
      <c r="J26" s="68">
        <f>55476230.75/1000</f>
        <v>55476.230750000002</v>
      </c>
      <c r="K26" s="68">
        <f>59807770.82/1000</f>
        <v>59807.770819999998</v>
      </c>
      <c r="L26" s="68">
        <v>52297.419229999985</v>
      </c>
      <c r="M26" s="68">
        <v>52313.443600000021</v>
      </c>
      <c r="N26" s="33">
        <v>52776.384190000004</v>
      </c>
      <c r="O26" s="60">
        <f t="shared" si="0"/>
        <v>650984.20733999985</v>
      </c>
      <c r="Q26" s="92"/>
    </row>
    <row r="27" spans="1:18" s="7" customFormat="1" ht="10" x14ac:dyDescent="0.2">
      <c r="A27" s="120"/>
      <c r="B27" s="14" t="s">
        <v>57</v>
      </c>
      <c r="C27" s="43">
        <v>1519.1612600000001</v>
      </c>
      <c r="D27" s="68">
        <v>1159.9113399999999</v>
      </c>
      <c r="E27" s="68">
        <v>1020.754</v>
      </c>
      <c r="F27" s="68">
        <v>962.61096999999995</v>
      </c>
      <c r="G27" s="68">
        <v>1154.6878200000001</v>
      </c>
      <c r="H27" s="67">
        <v>797.37738000000002</v>
      </c>
      <c r="I27" s="33">
        <v>687.19227999999998</v>
      </c>
      <c r="J27" s="68">
        <f>1064815.84/1000</f>
        <v>1064.81584</v>
      </c>
      <c r="K27" s="68">
        <f>922472.02/1000</f>
        <v>922.47202000000004</v>
      </c>
      <c r="L27" s="68">
        <v>1070.41653</v>
      </c>
      <c r="M27" s="68">
        <v>1076.91147</v>
      </c>
      <c r="N27" s="33">
        <v>1177.1152299999999</v>
      </c>
      <c r="O27" s="60">
        <f t="shared" si="0"/>
        <v>12613.42614</v>
      </c>
      <c r="Q27" s="92"/>
    </row>
    <row r="28" spans="1:18" s="7" customFormat="1" ht="10" x14ac:dyDescent="0.2">
      <c r="A28" s="120"/>
      <c r="B28" s="14" t="s">
        <v>16</v>
      </c>
      <c r="C28" s="43">
        <v>1657.7841300000002</v>
      </c>
      <c r="D28" s="68">
        <v>1555.8039100000001</v>
      </c>
      <c r="E28" s="68">
        <v>1348.6387300000001</v>
      </c>
      <c r="F28" s="68">
        <v>1110.14932</v>
      </c>
      <c r="G28" s="68">
        <v>1369.7654200000002</v>
      </c>
      <c r="H28" s="67">
        <v>1358.33952</v>
      </c>
      <c r="I28" s="33">
        <v>1463.1358199999997</v>
      </c>
      <c r="J28" s="68">
        <f>1692896.65/1000</f>
        <v>1692.8966499999999</v>
      </c>
      <c r="K28" s="68">
        <f>1296371.95/1000</f>
        <v>1296.37195</v>
      </c>
      <c r="L28" s="68">
        <v>1289.8927099999999</v>
      </c>
      <c r="M28" s="68">
        <v>1363.58124</v>
      </c>
      <c r="N28" s="33">
        <v>1332.1640400000001</v>
      </c>
      <c r="O28" s="60">
        <f t="shared" si="0"/>
        <v>16838.523440000001</v>
      </c>
      <c r="Q28" s="92"/>
    </row>
    <row r="29" spans="1:18" s="7" customFormat="1" ht="10" x14ac:dyDescent="0.2">
      <c r="A29" s="120"/>
      <c r="B29" s="14" t="s">
        <v>17</v>
      </c>
      <c r="C29" s="43">
        <v>136.68272000000002</v>
      </c>
      <c r="D29" s="68">
        <v>116.91172000000005</v>
      </c>
      <c r="E29" s="68">
        <v>72.239459999999994</v>
      </c>
      <c r="F29" s="68">
        <v>85.241909999999962</v>
      </c>
      <c r="G29" s="68">
        <v>94.629309999999975</v>
      </c>
      <c r="H29" s="67">
        <v>100.98629</v>
      </c>
      <c r="I29" s="33">
        <v>111.14736000000002</v>
      </c>
      <c r="J29" s="68">
        <f>117500.6/1000</f>
        <v>117.50060000000001</v>
      </c>
      <c r="K29" s="68">
        <f>92543.24/1000</f>
        <v>92.543240000000011</v>
      </c>
      <c r="L29" s="68">
        <v>109.84702999999998</v>
      </c>
      <c r="M29" s="68">
        <v>89.505679999999984</v>
      </c>
      <c r="N29" s="33">
        <v>111.24494000000003</v>
      </c>
      <c r="O29" s="60">
        <f t="shared" si="0"/>
        <v>1238.48026</v>
      </c>
      <c r="Q29" s="92"/>
    </row>
    <row r="30" spans="1:18" s="7" customFormat="1" ht="10" x14ac:dyDescent="0.2">
      <c r="A30" s="120"/>
      <c r="B30" s="14" t="s">
        <v>18</v>
      </c>
      <c r="C30" s="43">
        <v>2170.6304799999998</v>
      </c>
      <c r="D30" s="68">
        <v>2922.00038</v>
      </c>
      <c r="E30" s="68">
        <v>1100.4787599999997</v>
      </c>
      <c r="F30" s="68">
        <v>1750.2260200000001</v>
      </c>
      <c r="G30" s="68">
        <v>2092.8444100000002</v>
      </c>
      <c r="H30" s="67">
        <v>2105.12048</v>
      </c>
      <c r="I30" s="33">
        <v>2307.40742</v>
      </c>
      <c r="J30" s="68">
        <f>2125335.22/1000</f>
        <v>2125.3352200000004</v>
      </c>
      <c r="K30" s="68">
        <f>2118163.93/1000</f>
        <v>2118.1639300000002</v>
      </c>
      <c r="L30" s="68">
        <v>2259.0730900000003</v>
      </c>
      <c r="M30" s="68">
        <v>2363.30474</v>
      </c>
      <c r="N30" s="33">
        <v>2368.9039099999995</v>
      </c>
      <c r="O30" s="60">
        <f t="shared" si="0"/>
        <v>25683.488839999998</v>
      </c>
      <c r="Q30" s="92"/>
    </row>
    <row r="31" spans="1:18" s="7" customFormat="1" ht="10" x14ac:dyDescent="0.2">
      <c r="A31" s="120"/>
      <c r="B31" s="14" t="s">
        <v>19</v>
      </c>
      <c r="C31" s="43">
        <v>4313.5331699999997</v>
      </c>
      <c r="D31" s="68">
        <v>4380.5540300000002</v>
      </c>
      <c r="E31" s="68">
        <v>2207.9051800000002</v>
      </c>
      <c r="F31" s="68">
        <v>3246.7593400000005</v>
      </c>
      <c r="G31" s="68">
        <v>4147.6139300000004</v>
      </c>
      <c r="H31" s="67">
        <v>4351.4033199999994</v>
      </c>
      <c r="I31" s="33">
        <v>5733.3740399999997</v>
      </c>
      <c r="J31" s="68">
        <f>4429321.68/1000</f>
        <v>4429.32168</v>
      </c>
      <c r="K31" s="68">
        <f>4105798.46/1000</f>
        <v>4105.79846</v>
      </c>
      <c r="L31" s="68">
        <v>3922.9411500000006</v>
      </c>
      <c r="M31" s="68">
        <v>4357.1633400000001</v>
      </c>
      <c r="N31" s="33">
        <v>4204.097600000001</v>
      </c>
      <c r="O31" s="60">
        <f t="shared" si="0"/>
        <v>49400.46523999999</v>
      </c>
      <c r="Q31" s="92"/>
    </row>
    <row r="32" spans="1:18" s="7" customFormat="1" ht="10" x14ac:dyDescent="0.2">
      <c r="A32" s="120"/>
      <c r="B32" s="14" t="s">
        <v>8</v>
      </c>
      <c r="C32" s="43">
        <v>150.16801999999998</v>
      </c>
      <c r="D32" s="68">
        <v>137.37095000000002</v>
      </c>
      <c r="E32" s="68">
        <v>99.983910000000009</v>
      </c>
      <c r="F32" s="68">
        <v>119.34841</v>
      </c>
      <c r="G32" s="68">
        <v>138.50624999999999</v>
      </c>
      <c r="H32" s="67">
        <v>138.57892999999999</v>
      </c>
      <c r="I32" s="33">
        <v>157.60736</v>
      </c>
      <c r="J32" s="68">
        <f>132413.43/1000</f>
        <v>132.41343000000001</v>
      </c>
      <c r="K32" s="68">
        <f>132225.56/1000</f>
        <v>132.22556</v>
      </c>
      <c r="L32" s="68">
        <v>112.41558999999999</v>
      </c>
      <c r="M32" s="68">
        <v>89.237809999999996</v>
      </c>
      <c r="N32" s="33">
        <v>136.44929000000002</v>
      </c>
      <c r="O32" s="60">
        <f t="shared" si="0"/>
        <v>1544.3055100000001</v>
      </c>
      <c r="Q32" s="92"/>
    </row>
    <row r="33" spans="1:18" s="7" customFormat="1" ht="10" x14ac:dyDescent="0.2">
      <c r="A33" s="120"/>
      <c r="B33" s="14" t="s">
        <v>9</v>
      </c>
      <c r="C33" s="43">
        <v>226993.56596999994</v>
      </c>
      <c r="D33" s="68">
        <v>209379.41584000006</v>
      </c>
      <c r="E33" s="68">
        <v>154498.63970000009</v>
      </c>
      <c r="F33" s="68">
        <v>177645.61631000001</v>
      </c>
      <c r="G33" s="68">
        <v>210345.20318999997</v>
      </c>
      <c r="H33" s="67">
        <v>211921.52245000002</v>
      </c>
      <c r="I33" s="33">
        <v>236316.12855999995</v>
      </c>
      <c r="J33" s="68">
        <f>215499459.82/1000</f>
        <v>215499.45981999999</v>
      </c>
      <c r="K33" s="68">
        <f>216425026.7/1000</f>
        <v>216425.02669999999</v>
      </c>
      <c r="L33" s="68">
        <v>196554.19537999996</v>
      </c>
      <c r="M33" s="68">
        <v>199171.98405999993</v>
      </c>
      <c r="N33" s="33">
        <v>216077.56293999992</v>
      </c>
      <c r="O33" s="60">
        <f t="shared" si="0"/>
        <v>2470828.3209200003</v>
      </c>
      <c r="Q33" s="92"/>
    </row>
    <row r="34" spans="1:18" s="7" customFormat="1" ht="10" x14ac:dyDescent="0.2">
      <c r="A34" s="120"/>
      <c r="B34" s="14" t="s">
        <v>10</v>
      </c>
      <c r="C34" s="43">
        <v>19723.134109999977</v>
      </c>
      <c r="D34" s="68">
        <v>20446.482520000012</v>
      </c>
      <c r="E34" s="68">
        <v>13459.831219999985</v>
      </c>
      <c r="F34" s="68">
        <v>15985.501175392737</v>
      </c>
      <c r="G34" s="68">
        <v>17169.085780000005</v>
      </c>
      <c r="H34" s="67">
        <v>17342.328300000008</v>
      </c>
      <c r="I34" s="33">
        <v>19135.349299999987</v>
      </c>
      <c r="J34" s="68">
        <f>19678600.3/1000</f>
        <v>19678.600300000002</v>
      </c>
      <c r="K34" s="68">
        <f>18331798.64/1000</f>
        <v>18331.798640000001</v>
      </c>
      <c r="L34" s="68">
        <v>16606.050049999969</v>
      </c>
      <c r="M34" s="68">
        <v>16938.261240000029</v>
      </c>
      <c r="N34" s="33">
        <v>17699.096369999996</v>
      </c>
      <c r="O34" s="60">
        <f t="shared" si="0"/>
        <v>212515.51900539268</v>
      </c>
      <c r="Q34" s="92"/>
    </row>
    <row r="35" spans="1:18" s="7" customFormat="1" ht="10" x14ac:dyDescent="0.2">
      <c r="A35" s="120"/>
      <c r="B35" s="14" t="s">
        <v>20</v>
      </c>
      <c r="C35" s="43">
        <v>8689.7225699999999</v>
      </c>
      <c r="D35" s="68">
        <v>7189.5710300000001</v>
      </c>
      <c r="E35" s="68">
        <v>5827.2921899999992</v>
      </c>
      <c r="F35" s="68">
        <v>6558.2070299999987</v>
      </c>
      <c r="G35" s="68">
        <v>5821.5469199999998</v>
      </c>
      <c r="H35" s="67">
        <v>4984.4078799999997</v>
      </c>
      <c r="I35" s="33">
        <v>7636.4920600000023</v>
      </c>
      <c r="J35" s="68">
        <f>5783087.28/1000</f>
        <v>5783.0872800000006</v>
      </c>
      <c r="K35" s="68">
        <f>6765290.26/1000</f>
        <v>6765.2902599999998</v>
      </c>
      <c r="L35" s="68">
        <v>7005.4219700000003</v>
      </c>
      <c r="M35" s="68">
        <v>5672.493559999999</v>
      </c>
      <c r="N35" s="33">
        <v>5608.5299300000015</v>
      </c>
      <c r="O35" s="60">
        <f t="shared" si="0"/>
        <v>77542.062680000003</v>
      </c>
      <c r="Q35" s="92"/>
    </row>
    <row r="36" spans="1:18" s="7" customFormat="1" ht="10" x14ac:dyDescent="0.2">
      <c r="A36" s="120"/>
      <c r="B36" s="14" t="s">
        <v>21</v>
      </c>
      <c r="C36" s="43">
        <v>4546.1446799999994</v>
      </c>
      <c r="D36" s="68">
        <v>2689.9486599999996</v>
      </c>
      <c r="E36" s="68">
        <v>2827.2929700000004</v>
      </c>
      <c r="F36" s="68">
        <v>3477.0162500000001</v>
      </c>
      <c r="G36" s="68">
        <v>4149.8153999999995</v>
      </c>
      <c r="H36" s="67">
        <v>4249.6503499999999</v>
      </c>
      <c r="I36" s="33">
        <v>4015.0753399999999</v>
      </c>
      <c r="J36" s="68">
        <f>3704211.23/1000</f>
        <v>3704.2112299999999</v>
      </c>
      <c r="K36" s="68">
        <f>3697780.12/1000</f>
        <v>3697.7801199999999</v>
      </c>
      <c r="L36" s="68">
        <v>3551.3755299999998</v>
      </c>
      <c r="M36" s="68">
        <v>3711.7943899999996</v>
      </c>
      <c r="N36" s="33">
        <v>3446.5214999999998</v>
      </c>
      <c r="O36" s="60">
        <f t="shared" si="0"/>
        <v>44066.626420000008</v>
      </c>
      <c r="Q36" s="92"/>
    </row>
    <row r="37" spans="1:18" s="7" customFormat="1" ht="10" x14ac:dyDescent="0.2">
      <c r="A37" s="120"/>
      <c r="B37" s="14" t="s">
        <v>12</v>
      </c>
      <c r="C37" s="43">
        <v>11486.185759999989</v>
      </c>
      <c r="D37" s="68">
        <v>13285.190139999988</v>
      </c>
      <c r="E37" s="68">
        <v>9571.6496999999963</v>
      </c>
      <c r="F37" s="68">
        <v>12749.671890000003</v>
      </c>
      <c r="G37" s="68">
        <v>14565.291689999987</v>
      </c>
      <c r="H37" s="67">
        <v>15332.65083000001</v>
      </c>
      <c r="I37" s="33">
        <v>14467.977460000009</v>
      </c>
      <c r="J37" s="68">
        <f>16149850.26/1000</f>
        <v>16149.850259999999</v>
      </c>
      <c r="K37" s="68">
        <f>13745253.77/1000</f>
        <v>13745.253769999999</v>
      </c>
      <c r="L37" s="68">
        <v>12651.135930000006</v>
      </c>
      <c r="M37" s="68">
        <v>13313.460459999997</v>
      </c>
      <c r="N37" s="33">
        <v>13465.342150000002</v>
      </c>
      <c r="O37" s="60">
        <f t="shared" si="0"/>
        <v>160783.66003999999</v>
      </c>
      <c r="Q37" s="92"/>
    </row>
    <row r="38" spans="1:18" s="7" customFormat="1" ht="10" x14ac:dyDescent="0.2">
      <c r="A38" s="120"/>
      <c r="B38" s="14" t="s">
        <v>11</v>
      </c>
      <c r="C38" s="43">
        <v>58746.208300000028</v>
      </c>
      <c r="D38" s="68">
        <v>53997.053589999952</v>
      </c>
      <c r="E38" s="68">
        <v>43141.823639999988</v>
      </c>
      <c r="F38" s="68">
        <v>47146.38832000002</v>
      </c>
      <c r="G38" s="68">
        <v>53109.097550000079</v>
      </c>
      <c r="H38" s="67">
        <v>58157.067469999995</v>
      </c>
      <c r="I38" s="33">
        <v>62791.564020000027</v>
      </c>
      <c r="J38" s="68">
        <f>61005360.86/1000</f>
        <v>61005.360860000001</v>
      </c>
      <c r="K38" s="68">
        <f>61032413.39/1000</f>
        <v>61032.413390000002</v>
      </c>
      <c r="L38" s="68">
        <v>54537.641879999937</v>
      </c>
      <c r="M38" s="68">
        <v>56433.438700000057</v>
      </c>
      <c r="N38" s="33">
        <v>60776.612920000036</v>
      </c>
      <c r="O38" s="60">
        <f t="shared" si="0"/>
        <v>670874.67064000014</v>
      </c>
      <c r="Q38" s="92"/>
    </row>
    <row r="39" spans="1:18" s="7" customFormat="1" ht="10.5" x14ac:dyDescent="0.25">
      <c r="A39" s="15" t="s">
        <v>22</v>
      </c>
      <c r="B39" s="16"/>
      <c r="C39" s="45">
        <f>SUM(C21:C38)</f>
        <v>444238.39230999979</v>
      </c>
      <c r="D39" s="70">
        <f t="shared" ref="D39:J39" si="2">SUM(D21:D38)</f>
        <v>404600.18426999997</v>
      </c>
      <c r="E39" s="70">
        <f t="shared" si="2"/>
        <v>299948.31969000009</v>
      </c>
      <c r="F39" s="70">
        <f t="shared" si="2"/>
        <v>340181.94881539274</v>
      </c>
      <c r="G39" s="70">
        <f t="shared" si="2"/>
        <v>391626.20895000012</v>
      </c>
      <c r="H39" s="70">
        <f t="shared" si="2"/>
        <v>398255.28506000002</v>
      </c>
      <c r="I39" s="58">
        <f t="shared" si="2"/>
        <v>445836.62094000005</v>
      </c>
      <c r="J39" s="70">
        <f t="shared" si="2"/>
        <v>416048.04106999998</v>
      </c>
      <c r="K39" s="70">
        <f>SUM(K21:K38)</f>
        <v>418163.79953000002</v>
      </c>
      <c r="L39" s="70">
        <f>SUM(L21:L38)</f>
        <v>378738.56004999991</v>
      </c>
      <c r="M39" s="70">
        <f>SUM(M21:M38)</f>
        <v>383464.60962</v>
      </c>
      <c r="N39" s="58">
        <f>SUM(N21:N38)</f>
        <v>407533.55113999994</v>
      </c>
      <c r="O39" s="61">
        <f t="shared" si="0"/>
        <v>4728635.5214453926</v>
      </c>
      <c r="Q39" s="92"/>
    </row>
    <row r="40" spans="1:18" s="7" customFormat="1" ht="10" x14ac:dyDescent="0.2">
      <c r="A40" s="115" t="s">
        <v>50</v>
      </c>
      <c r="B40" s="16" t="s">
        <v>3</v>
      </c>
      <c r="C40" s="48">
        <v>0</v>
      </c>
      <c r="D40" s="48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/>
      <c r="L40" s="67">
        <v>0</v>
      </c>
      <c r="M40" s="68">
        <v>0</v>
      </c>
      <c r="N40" s="59">
        <v>0</v>
      </c>
      <c r="O40" s="60">
        <f t="shared" si="0"/>
        <v>0</v>
      </c>
      <c r="Q40" s="92"/>
    </row>
    <row r="41" spans="1:18" s="7" customFormat="1" ht="10" x14ac:dyDescent="0.2">
      <c r="A41" s="115"/>
      <c r="B41" s="16" t="s">
        <v>5</v>
      </c>
      <c r="C41" s="48">
        <v>0</v>
      </c>
      <c r="D41" s="48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1089.13752</v>
      </c>
      <c r="N41" s="59">
        <v>1084.4504299999999</v>
      </c>
      <c r="O41" s="60">
        <f>SUM(C41:N41)</f>
        <v>2173.5879500000001</v>
      </c>
      <c r="Q41" s="92"/>
    </row>
    <row r="42" spans="1:18" s="7" customFormat="1" ht="10" x14ac:dyDescent="0.2">
      <c r="A42" s="115"/>
      <c r="B42" s="16" t="s">
        <v>6</v>
      </c>
      <c r="C42" s="48">
        <f>1.77066736037962</f>
        <v>1.7706673603796199</v>
      </c>
      <c r="D42" s="48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8"/>
      <c r="L42" s="67">
        <v>0</v>
      </c>
      <c r="M42" s="68">
        <v>0</v>
      </c>
      <c r="N42" s="59">
        <v>0</v>
      </c>
      <c r="O42" s="60">
        <f t="shared" si="0"/>
        <v>1.7706673603796199</v>
      </c>
      <c r="Q42" s="92"/>
    </row>
    <row r="43" spans="1:18" s="7" customFormat="1" ht="10" x14ac:dyDescent="0.2">
      <c r="A43" s="115"/>
      <c r="B43" s="16" t="s">
        <v>18</v>
      </c>
      <c r="C43" s="48">
        <v>0</v>
      </c>
      <c r="D43" s="48">
        <v>0</v>
      </c>
      <c r="E43" s="68">
        <v>0</v>
      </c>
      <c r="F43" s="68">
        <v>0</v>
      </c>
      <c r="G43" s="67">
        <v>0</v>
      </c>
      <c r="H43" s="68">
        <v>0</v>
      </c>
      <c r="I43" s="68">
        <v>0</v>
      </c>
      <c r="J43" s="68">
        <v>0</v>
      </c>
      <c r="K43" s="68"/>
      <c r="L43" s="67">
        <v>0</v>
      </c>
      <c r="M43" s="68">
        <v>0</v>
      </c>
      <c r="N43" s="59">
        <v>0</v>
      </c>
      <c r="O43" s="60">
        <f t="shared" si="0"/>
        <v>0</v>
      </c>
      <c r="Q43" s="92"/>
    </row>
    <row r="44" spans="1:18" s="7" customFormat="1" ht="10" x14ac:dyDescent="0.2">
      <c r="A44" s="115"/>
      <c r="B44" s="16" t="s">
        <v>9</v>
      </c>
      <c r="C44" s="48">
        <v>0</v>
      </c>
      <c r="D44" s="48">
        <v>0</v>
      </c>
      <c r="E44" s="68">
        <v>0</v>
      </c>
      <c r="F44" s="68">
        <v>0</v>
      </c>
      <c r="G44" s="67">
        <v>0</v>
      </c>
      <c r="H44" s="68">
        <v>0</v>
      </c>
      <c r="I44" s="68">
        <v>0</v>
      </c>
      <c r="J44" s="68">
        <v>0</v>
      </c>
      <c r="K44" s="68"/>
      <c r="L44" s="67">
        <v>0</v>
      </c>
      <c r="M44" s="68">
        <v>0</v>
      </c>
      <c r="N44" s="59">
        <v>0</v>
      </c>
      <c r="O44" s="60">
        <f t="shared" si="0"/>
        <v>0</v>
      </c>
      <c r="Q44" s="92"/>
    </row>
    <row r="45" spans="1:18" s="7" customFormat="1" ht="10" x14ac:dyDescent="0.2">
      <c r="A45" s="115"/>
      <c r="B45" s="16" t="s">
        <v>10</v>
      </c>
      <c r="C45" s="48">
        <v>1520.6443400000001</v>
      </c>
      <c r="D45" s="48">
        <v>1082.7831400000002</v>
      </c>
      <c r="E45" s="68">
        <v>988.85027000000002</v>
      </c>
      <c r="F45" s="68">
        <v>1125.1143400000001</v>
      </c>
      <c r="G45" s="67">
        <v>1295.7768399999998</v>
      </c>
      <c r="H45" s="68">
        <v>1299.9825999999998</v>
      </c>
      <c r="I45" s="68">
        <v>1353.8382999999999</v>
      </c>
      <c r="J45" s="68">
        <f>1225765.28/1000</f>
        <v>1225.7652800000001</v>
      </c>
      <c r="K45" s="68">
        <f>(913732.91+37046.82)/1000</f>
        <v>950.77972999999997</v>
      </c>
      <c r="L45" s="67">
        <v>1143.36474</v>
      </c>
      <c r="M45" s="68">
        <v>1130.43616</v>
      </c>
      <c r="N45" s="59">
        <v>1126.28424</v>
      </c>
      <c r="O45" s="60">
        <f t="shared" si="0"/>
        <v>14243.619979999996</v>
      </c>
      <c r="Q45" s="92"/>
    </row>
    <row r="46" spans="1:18" s="7" customFormat="1" ht="10" x14ac:dyDescent="0.2">
      <c r="A46" s="115"/>
      <c r="B46" s="16" t="s">
        <v>12</v>
      </c>
      <c r="C46" s="48">
        <v>27.6027219162508</v>
      </c>
      <c r="D46" s="48">
        <v>0</v>
      </c>
      <c r="E46" s="67">
        <v>0</v>
      </c>
      <c r="F46" s="67">
        <v>0</v>
      </c>
      <c r="G46" s="67">
        <v>0</v>
      </c>
      <c r="H46" s="67">
        <v>1299.9825999999998</v>
      </c>
      <c r="I46" s="67">
        <v>1352.5591499999998</v>
      </c>
      <c r="J46" s="67">
        <f>1226517.23/1000</f>
        <v>1226.5172299999999</v>
      </c>
      <c r="K46" s="67">
        <f>1237956.48/1000</f>
        <v>1237.9564800000001</v>
      </c>
      <c r="L46" s="67">
        <v>0</v>
      </c>
      <c r="M46" s="67">
        <v>1089.13752</v>
      </c>
      <c r="N46" s="59">
        <v>2168.9008599999997</v>
      </c>
      <c r="O46" s="60">
        <f t="shared" si="0"/>
        <v>8402.6565619162502</v>
      </c>
    </row>
    <row r="47" spans="1:18" s="7" customFormat="1" ht="10.5" x14ac:dyDescent="0.25">
      <c r="A47" s="15" t="s">
        <v>23</v>
      </c>
      <c r="B47" s="16"/>
      <c r="C47" s="49">
        <f>SUM(C40:C46)</f>
        <v>1550.0177292766305</v>
      </c>
      <c r="D47" s="70">
        <f t="shared" ref="D47:N47" si="3">SUM(D40:D46)</f>
        <v>1082.7831400000002</v>
      </c>
      <c r="E47" s="70">
        <f t="shared" si="3"/>
        <v>988.85027000000002</v>
      </c>
      <c r="F47" s="70">
        <f>SUM(F40:F46)</f>
        <v>1125.1143400000001</v>
      </c>
      <c r="G47" s="70">
        <f t="shared" si="3"/>
        <v>1295.7768399999998</v>
      </c>
      <c r="H47" s="70">
        <f>SUM(H40:H46)</f>
        <v>2599.9651999999996</v>
      </c>
      <c r="I47" s="58">
        <f t="shared" si="3"/>
        <v>2706.3974499999995</v>
      </c>
      <c r="J47" s="70">
        <f t="shared" si="3"/>
        <v>2452.28251</v>
      </c>
      <c r="K47" s="70">
        <f t="shared" si="3"/>
        <v>2188.73621</v>
      </c>
      <c r="L47" s="70">
        <f t="shared" si="3"/>
        <v>1143.36474</v>
      </c>
      <c r="M47" s="70">
        <f t="shared" si="3"/>
        <v>3308.7111999999997</v>
      </c>
      <c r="N47" s="58">
        <f t="shared" si="3"/>
        <v>4379.6355299999996</v>
      </c>
      <c r="O47" s="61">
        <f>SUM(O40:O46)</f>
        <v>24821.635159276626</v>
      </c>
      <c r="P47" s="92"/>
      <c r="Q47" s="92"/>
    </row>
    <row r="48" spans="1:18" s="7" customFormat="1" ht="10.5" x14ac:dyDescent="0.2">
      <c r="A48" s="15" t="s">
        <v>24</v>
      </c>
      <c r="B48" s="16"/>
      <c r="C48" s="50">
        <f>SUM(C20+C39+C47)</f>
        <v>831440.42885927646</v>
      </c>
      <c r="D48" s="69">
        <f t="shared" ref="D48:I48" si="4">SUM(D20+D39+D47)</f>
        <v>750025.20565999986</v>
      </c>
      <c r="E48" s="69">
        <f t="shared" si="4"/>
        <v>556531.65595000004</v>
      </c>
      <c r="F48" s="69">
        <f t="shared" si="4"/>
        <v>631413.51502539276</v>
      </c>
      <c r="G48" s="69">
        <f t="shared" si="4"/>
        <v>729584.09801000007</v>
      </c>
      <c r="H48" s="69">
        <f t="shared" si="4"/>
        <v>736028.33539999998</v>
      </c>
      <c r="I48" s="46">
        <f t="shared" si="4"/>
        <v>827881.34178000013</v>
      </c>
      <c r="J48" s="69">
        <f>SUM(J20+J39+J47)</f>
        <v>771821.98785999999</v>
      </c>
      <c r="K48" s="69">
        <f>SUM(K20+K39+K47)</f>
        <v>774182.12086999998</v>
      </c>
      <c r="L48" s="69">
        <f>SUM(L20+L39+L47)</f>
        <v>699486.6196199999</v>
      </c>
      <c r="M48" s="69">
        <f>SUM(M20+M39+M47)</f>
        <v>715262.91902000003</v>
      </c>
      <c r="N48" s="58">
        <f>SUM(N20+N39+N47)</f>
        <v>760442.35248999984</v>
      </c>
      <c r="O48" s="61">
        <f>SUM(C48:N48)</f>
        <v>8784100.5805446692</v>
      </c>
      <c r="Q48" s="92"/>
      <c r="R48" s="92"/>
    </row>
    <row r="49" spans="1:17" s="7" customFormat="1" ht="10" x14ac:dyDescent="0.2">
      <c r="A49" s="110" t="s">
        <v>25</v>
      </c>
      <c r="B49" s="16"/>
      <c r="C49" s="43">
        <v>150943.21591</v>
      </c>
      <c r="D49" s="67">
        <v>135519.24559000001</v>
      </c>
      <c r="E49" s="67">
        <v>97057.444270000007</v>
      </c>
      <c r="F49" s="67">
        <v>111473.46675000001</v>
      </c>
      <c r="G49" s="67">
        <v>126610.14724999999</v>
      </c>
      <c r="H49" s="67">
        <v>123980.59759</v>
      </c>
      <c r="I49" s="59">
        <v>140670.84493000002</v>
      </c>
      <c r="J49" s="67">
        <f>128338100.93/1000</f>
        <v>128338.10093</v>
      </c>
      <c r="K49" s="67">
        <f>126305278.86/1000</f>
        <v>126305.27886000001</v>
      </c>
      <c r="L49" s="67">
        <v>112045.87218999999</v>
      </c>
      <c r="M49" s="67">
        <v>110993.42918000001</v>
      </c>
      <c r="N49" s="44">
        <v>121182.62174</v>
      </c>
      <c r="O49" s="60">
        <f>SUM(C49:N49)</f>
        <v>1485120.2651900002</v>
      </c>
      <c r="Q49" s="95"/>
    </row>
    <row r="50" spans="1:17" s="7" customFormat="1" ht="10" x14ac:dyDescent="0.2">
      <c r="A50" s="110" t="s">
        <v>26</v>
      </c>
      <c r="B50" s="16"/>
      <c r="C50" s="43">
        <v>106680.46746</v>
      </c>
      <c r="D50" s="67">
        <v>95702.951280000008</v>
      </c>
      <c r="E50" s="67">
        <v>68400.242419999995</v>
      </c>
      <c r="F50" s="67">
        <v>78606.726159999991</v>
      </c>
      <c r="G50" s="67">
        <v>89304.283739999999</v>
      </c>
      <c r="H50" s="67">
        <v>87555.729149999999</v>
      </c>
      <c r="I50" s="59">
        <v>99368.622090000004</v>
      </c>
      <c r="J50" s="67">
        <f>90597680.37/1000</f>
        <v>90597.680370000002</v>
      </c>
      <c r="K50" s="67">
        <f>89195420.5/1000</f>
        <v>89195.420499999993</v>
      </c>
      <c r="L50" s="67">
        <v>78997.741510000007</v>
      </c>
      <c r="M50" s="67">
        <v>78265.158980000007</v>
      </c>
      <c r="N50" s="44">
        <v>85409.905140000003</v>
      </c>
      <c r="O50" s="60">
        <f>SUM(C50:N50)</f>
        <v>1048084.9288</v>
      </c>
      <c r="Q50" s="95"/>
    </row>
    <row r="51" spans="1:17" s="7" customFormat="1" ht="10" x14ac:dyDescent="0.2">
      <c r="A51" s="110" t="s">
        <v>55</v>
      </c>
      <c r="B51" s="16"/>
      <c r="C51" s="43">
        <v>110313.34168</v>
      </c>
      <c r="D51" s="67">
        <v>102103.38114</v>
      </c>
      <c r="E51" s="67">
        <v>82880.985159999997</v>
      </c>
      <c r="F51" s="67">
        <v>91463.396699999998</v>
      </c>
      <c r="G51" s="67">
        <v>108875.59856</v>
      </c>
      <c r="H51" s="67">
        <v>115719.84874000002</v>
      </c>
      <c r="I51" s="59">
        <v>130238.27684000001</v>
      </c>
      <c r="J51" s="67">
        <f>123243314.02/1000</f>
        <v>123243.31401999999</v>
      </c>
      <c r="K51" s="67">
        <f>129574131.52/1000</f>
        <v>129574.13152</v>
      </c>
      <c r="L51" s="67">
        <v>121984.20122</v>
      </c>
      <c r="M51" s="67">
        <v>128479.06228</v>
      </c>
      <c r="N51" s="44">
        <v>132141.52518</v>
      </c>
      <c r="O51" s="60">
        <f>SUM(C51:N51)</f>
        <v>1377017.0630399999</v>
      </c>
      <c r="Q51" s="95"/>
    </row>
    <row r="52" spans="1:17" s="7" customFormat="1" ht="10.5" x14ac:dyDescent="0.2">
      <c r="A52" s="15" t="s">
        <v>27</v>
      </c>
      <c r="B52" s="16"/>
      <c r="C52" s="50">
        <f>SUM(C49:C51)</f>
        <v>367937.02505</v>
      </c>
      <c r="D52" s="69">
        <f>SUM(D49:D51)</f>
        <v>333325.57801</v>
      </c>
      <c r="E52" s="69">
        <f>SUM(E49:E51)</f>
        <v>248338.67184999998</v>
      </c>
      <c r="F52" s="69">
        <f>SUM(F49:F51)</f>
        <v>281543.58960999997</v>
      </c>
      <c r="G52" s="69">
        <f t="shared" ref="G52:O52" si="5">SUM(G49:G51)</f>
        <v>324790.02954999998</v>
      </c>
      <c r="H52" s="69">
        <f t="shared" si="5"/>
        <v>327256.17547999998</v>
      </c>
      <c r="I52" s="46">
        <f t="shared" si="5"/>
        <v>370277.74386000005</v>
      </c>
      <c r="J52" s="69">
        <f t="shared" si="5"/>
        <v>342179.09531999996</v>
      </c>
      <c r="K52" s="69">
        <f t="shared" si="5"/>
        <v>345074.83088000002</v>
      </c>
      <c r="L52" s="69">
        <f t="shared" si="5"/>
        <v>313027.81491999998</v>
      </c>
      <c r="M52" s="69">
        <f t="shared" si="5"/>
        <v>317737.65044</v>
      </c>
      <c r="N52" s="47">
        <f t="shared" si="5"/>
        <v>338734.05206000002</v>
      </c>
      <c r="O52" s="61">
        <f t="shared" si="5"/>
        <v>3910222.25703</v>
      </c>
    </row>
    <row r="53" spans="1:17" s="7" customFormat="1" ht="10" x14ac:dyDescent="0.2">
      <c r="A53" s="110" t="s">
        <v>28</v>
      </c>
      <c r="B53" s="16"/>
      <c r="C53" s="43">
        <v>106009.51066</v>
      </c>
      <c r="D53" s="67">
        <v>95973.268039999995</v>
      </c>
      <c r="E53" s="67">
        <v>70702.529949999996</v>
      </c>
      <c r="F53" s="67">
        <v>80144.34709000001</v>
      </c>
      <c r="G53" s="67">
        <v>92911.234620000003</v>
      </c>
      <c r="H53" s="67">
        <v>93129.16515999999</v>
      </c>
      <c r="I53" s="59">
        <v>105883.78759000001</v>
      </c>
      <c r="J53" s="67">
        <f>98296174.88/1000</f>
        <v>98296.174879999991</v>
      </c>
      <c r="K53" s="67">
        <f>99360581.15/1000</f>
        <v>99360.581150000013</v>
      </c>
      <c r="L53" s="67">
        <v>89774.239159999997</v>
      </c>
      <c r="M53" s="67">
        <v>91030.691219999993</v>
      </c>
      <c r="N53" s="44">
        <v>97133.786139999997</v>
      </c>
      <c r="O53" s="60">
        <f>SUM(C53:N53)</f>
        <v>1120349.3156600001</v>
      </c>
      <c r="Q53" s="95"/>
    </row>
    <row r="54" spans="1:17" s="7" customFormat="1" ht="10" x14ac:dyDescent="0.2">
      <c r="A54" s="110" t="s">
        <v>58</v>
      </c>
      <c r="B54" s="16"/>
      <c r="C54" s="43">
        <v>7073.8563700000004</v>
      </c>
      <c r="D54" s="67">
        <v>5173.3700799999997</v>
      </c>
      <c r="E54" s="67">
        <v>1285.41048</v>
      </c>
      <c r="F54" s="67">
        <v>1478.3245200000001</v>
      </c>
      <c r="G54" s="67">
        <v>3448.5504999999998</v>
      </c>
      <c r="H54" s="67">
        <v>1442.2255</v>
      </c>
      <c r="I54" s="59">
        <v>3099.3105099999998</v>
      </c>
      <c r="J54" s="67">
        <f>4607373.52/1000</f>
        <v>4607.3735199999992</v>
      </c>
      <c r="K54" s="67">
        <f>4938736.3/1000</f>
        <v>4938.7362999999996</v>
      </c>
      <c r="L54" s="67">
        <v>3170.75902</v>
      </c>
      <c r="M54" s="67">
        <v>3687.3367599999997</v>
      </c>
      <c r="N54" s="44">
        <v>3785.5442200000007</v>
      </c>
      <c r="O54" s="60">
        <f>SUM(C54:N54)</f>
        <v>43190.797780000001</v>
      </c>
      <c r="Q54" s="95"/>
    </row>
    <row r="55" spans="1:17" s="7" customFormat="1" ht="11" thickBot="1" x14ac:dyDescent="0.25">
      <c r="A55" s="19" t="s">
        <v>29</v>
      </c>
      <c r="B55" s="20"/>
      <c r="C55" s="51">
        <f>SUM(C48+C52+C53+C54)</f>
        <v>1312460.8209392764</v>
      </c>
      <c r="D55" s="71">
        <f>SUM(D48+D52+D53+D54)</f>
        <v>1184497.4217899998</v>
      </c>
      <c r="E55" s="71">
        <f>SUM(E48+E52+E53)+E54</f>
        <v>876858.26823000005</v>
      </c>
      <c r="F55" s="71">
        <f>SUM(F48+F52+F53)+F54</f>
        <v>994579.77624539286</v>
      </c>
      <c r="G55" s="71">
        <f>SUM(G48+G52+G53+G54)</f>
        <v>1150733.9126799998</v>
      </c>
      <c r="H55" s="71">
        <f>SUM(H48+H52+H53+H54)</f>
        <v>1157855.90154</v>
      </c>
      <c r="I55" s="52">
        <f>SUM(I48+I52+I53)+I54</f>
        <v>1307142.1837400002</v>
      </c>
      <c r="J55" s="71">
        <f>SUM(J48+J52+J53)+J54</f>
        <v>1216904.63158</v>
      </c>
      <c r="K55" s="71">
        <f>SUM(K48+K52+K53+K54)</f>
        <v>1223556.2692</v>
      </c>
      <c r="L55" s="71">
        <f>SUM(L48+L52+L53+L54)</f>
        <v>1105459.4327199997</v>
      </c>
      <c r="M55" s="71">
        <f>SUM(M48+M52+M53+M54)</f>
        <v>1127718.5974400002</v>
      </c>
      <c r="N55" s="57">
        <f>SUM(N48+N52+N53+N54)</f>
        <v>1200095.7349099999</v>
      </c>
      <c r="O55" s="62">
        <f>SUM(C55:N55)</f>
        <v>13857862.95101467</v>
      </c>
    </row>
    <row r="56" spans="1:17" s="7" customFormat="1" ht="10.5" x14ac:dyDescent="0.2">
      <c r="A56" s="15" t="s">
        <v>56</v>
      </c>
      <c r="B56" s="16"/>
      <c r="C56" s="53"/>
      <c r="D56" s="72"/>
      <c r="E56" s="72"/>
      <c r="F56" s="72"/>
      <c r="G56" s="72"/>
      <c r="H56" s="72"/>
      <c r="I56" s="21"/>
      <c r="J56" s="72"/>
      <c r="K56" s="72"/>
      <c r="L56" s="72"/>
      <c r="M56" s="72"/>
      <c r="N56" s="22"/>
      <c r="O56" s="17"/>
    </row>
    <row r="57" spans="1:17" s="7" customFormat="1" ht="10" x14ac:dyDescent="0.2">
      <c r="A57" s="120" t="s">
        <v>2</v>
      </c>
      <c r="B57" s="16" t="s">
        <v>3</v>
      </c>
      <c r="C57" s="54"/>
      <c r="D57" s="73">
        <v>0</v>
      </c>
      <c r="E57" s="73"/>
      <c r="F57" s="73"/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3">
        <v>0</v>
      </c>
      <c r="M57" s="73">
        <v>0</v>
      </c>
      <c r="N57" s="18">
        <v>0</v>
      </c>
      <c r="O57" s="23">
        <f>SUM(C57:N57)</f>
        <v>0</v>
      </c>
    </row>
    <row r="58" spans="1:17" s="7" customFormat="1" ht="10" x14ac:dyDescent="0.2">
      <c r="A58" s="120"/>
      <c r="B58" s="16" t="s">
        <v>4</v>
      </c>
      <c r="C58" s="54"/>
      <c r="D58" s="73">
        <v>11255.201929999999</v>
      </c>
      <c r="E58" s="73"/>
      <c r="F58" s="73"/>
      <c r="G58" s="73">
        <v>7662.2458799999995</v>
      </c>
      <c r="H58" s="73">
        <v>0</v>
      </c>
      <c r="I58" s="73">
        <v>0</v>
      </c>
      <c r="J58" s="73">
        <f>8953527.56/1000</f>
        <v>8953.5275600000004</v>
      </c>
      <c r="K58" s="73">
        <v>0</v>
      </c>
      <c r="L58" s="73">
        <v>0</v>
      </c>
      <c r="M58" s="73">
        <v>8639.8855600000006</v>
      </c>
      <c r="N58" s="18">
        <v>0</v>
      </c>
      <c r="O58" s="23">
        <f t="shared" ref="O58:O65" si="6">SUM(C58:N58)</f>
        <v>36510.860930000003</v>
      </c>
      <c r="Q58" s="95"/>
    </row>
    <row r="59" spans="1:17" s="7" customFormat="1" ht="10" x14ac:dyDescent="0.2">
      <c r="A59" s="120"/>
      <c r="B59" s="16" t="s">
        <v>5</v>
      </c>
      <c r="C59" s="54"/>
      <c r="D59" s="73">
        <v>2101.9137999999998</v>
      </c>
      <c r="E59" s="73"/>
      <c r="F59" s="73"/>
      <c r="G59" s="73">
        <v>1981.8278799999998</v>
      </c>
      <c r="H59" s="73">
        <v>0</v>
      </c>
      <c r="I59" s="73">
        <v>1.1729000000000001</v>
      </c>
      <c r="J59" s="73">
        <f>2153466.7/1000</f>
        <v>2153.4667000000004</v>
      </c>
      <c r="K59" s="73">
        <v>0</v>
      </c>
      <c r="L59" s="73">
        <v>0</v>
      </c>
      <c r="M59" s="73">
        <v>1563.29285</v>
      </c>
      <c r="N59" s="18">
        <v>0</v>
      </c>
      <c r="O59" s="23">
        <f t="shared" si="6"/>
        <v>7801.6741299999994</v>
      </c>
      <c r="Q59" s="95"/>
    </row>
    <row r="60" spans="1:17" s="7" customFormat="1" ht="10" x14ac:dyDescent="0.2">
      <c r="A60" s="120"/>
      <c r="B60" s="16" t="s">
        <v>7</v>
      </c>
      <c r="C60" s="54"/>
      <c r="D60" s="73">
        <v>238495.85123000003</v>
      </c>
      <c r="E60" s="73"/>
      <c r="F60" s="73"/>
      <c r="G60" s="73">
        <v>135447.36058000001</v>
      </c>
      <c r="H60" s="73">
        <v>0</v>
      </c>
      <c r="I60" s="73">
        <v>0</v>
      </c>
      <c r="J60" s="73">
        <f>(193861615.84+68333.76)/1000</f>
        <v>193929.94959999999</v>
      </c>
      <c r="K60" s="73">
        <v>0</v>
      </c>
      <c r="L60" s="73">
        <v>0</v>
      </c>
      <c r="M60" s="73">
        <v>165912.91706000001</v>
      </c>
      <c r="N60" s="18">
        <v>0</v>
      </c>
      <c r="O60" s="23">
        <f t="shared" si="6"/>
        <v>733786.07846999995</v>
      </c>
      <c r="Q60" s="95"/>
    </row>
    <row r="61" spans="1:17" s="7" customFormat="1" ht="10" x14ac:dyDescent="0.2">
      <c r="A61" s="120"/>
      <c r="B61" s="16" t="s">
        <v>57</v>
      </c>
      <c r="C61" s="54"/>
      <c r="D61" s="73">
        <v>0</v>
      </c>
      <c r="E61" s="73"/>
      <c r="F61" s="73"/>
      <c r="G61" s="73">
        <v>1361.99614</v>
      </c>
      <c r="H61" s="73">
        <v>616.90332999999998</v>
      </c>
      <c r="I61" s="73">
        <v>0</v>
      </c>
      <c r="J61" s="73">
        <f>351055.97/1000</f>
        <v>351.05596999999995</v>
      </c>
      <c r="K61" s="73">
        <v>0</v>
      </c>
      <c r="L61" s="73">
        <v>0</v>
      </c>
      <c r="M61" s="73">
        <v>811.69006999999999</v>
      </c>
      <c r="N61" s="18">
        <v>0</v>
      </c>
      <c r="O61" s="23">
        <f t="shared" si="6"/>
        <v>3141.6455099999998</v>
      </c>
      <c r="Q61" s="95"/>
    </row>
    <row r="62" spans="1:17" s="7" customFormat="1" ht="10" x14ac:dyDescent="0.2">
      <c r="A62" s="120"/>
      <c r="B62" s="16" t="s">
        <v>9</v>
      </c>
      <c r="C62" s="54"/>
      <c r="D62" s="73">
        <v>963481.88563999999</v>
      </c>
      <c r="E62" s="73"/>
      <c r="F62" s="73"/>
      <c r="G62" s="73">
        <v>556494.96823</v>
      </c>
      <c r="H62" s="73">
        <v>853.0127</v>
      </c>
      <c r="I62" s="73">
        <v>2.0928</v>
      </c>
      <c r="J62" s="73">
        <f>(747841864.59+2014026.08)/1000</f>
        <v>749855.89067000011</v>
      </c>
      <c r="K62" s="73">
        <v>0</v>
      </c>
      <c r="L62" s="73">
        <v>0</v>
      </c>
      <c r="M62" s="73">
        <v>712041.35925999994</v>
      </c>
      <c r="N62" s="42">
        <v>3153.8962499999998</v>
      </c>
      <c r="O62" s="23">
        <f t="shared" si="6"/>
        <v>2985883.10555</v>
      </c>
      <c r="Q62" s="95"/>
    </row>
    <row r="63" spans="1:17" s="7" customFormat="1" ht="10" x14ac:dyDescent="0.2">
      <c r="A63" s="120"/>
      <c r="B63" s="16" t="s">
        <v>10</v>
      </c>
      <c r="C63" s="54"/>
      <c r="D63" s="73">
        <v>2001.0515399999999</v>
      </c>
      <c r="E63" s="73"/>
      <c r="F63" s="73"/>
      <c r="G63" s="73">
        <v>747.14738999999997</v>
      </c>
      <c r="H63" s="73">
        <v>0</v>
      </c>
      <c r="I63" s="73">
        <v>0</v>
      </c>
      <c r="J63" s="73">
        <f>1364807.71/1000</f>
        <v>1364.80771</v>
      </c>
      <c r="K63" s="73">
        <v>0</v>
      </c>
      <c r="L63" s="73">
        <v>0</v>
      </c>
      <c r="M63" s="73">
        <v>454.27764000000002</v>
      </c>
      <c r="N63" s="42">
        <v>0</v>
      </c>
      <c r="O63" s="23">
        <f t="shared" si="6"/>
        <v>4567.2842799999999</v>
      </c>
      <c r="Q63" s="95"/>
    </row>
    <row r="64" spans="1:17" s="7" customFormat="1" ht="10" x14ac:dyDescent="0.2">
      <c r="A64" s="120"/>
      <c r="B64" s="16" t="s">
        <v>12</v>
      </c>
      <c r="C64" s="54"/>
      <c r="D64" s="73">
        <v>877.68736999999999</v>
      </c>
      <c r="E64" s="73"/>
      <c r="F64" s="73"/>
      <c r="G64" s="73">
        <v>0</v>
      </c>
      <c r="H64" s="73">
        <v>0</v>
      </c>
      <c r="I64" s="73">
        <v>0</v>
      </c>
      <c r="J64" s="73">
        <f>101402.07/1000</f>
        <v>101.40207000000001</v>
      </c>
      <c r="K64" s="73">
        <v>0</v>
      </c>
      <c r="L64" s="73">
        <v>0</v>
      </c>
      <c r="M64" s="73">
        <v>0</v>
      </c>
      <c r="N64" s="42">
        <v>0</v>
      </c>
      <c r="O64" s="23">
        <f t="shared" si="6"/>
        <v>979.08943999999997</v>
      </c>
      <c r="Q64" s="95"/>
    </row>
    <row r="65" spans="1:18" s="7" customFormat="1" ht="10" x14ac:dyDescent="0.2">
      <c r="A65" s="110"/>
      <c r="B65" s="16" t="s">
        <v>11</v>
      </c>
      <c r="C65" s="54"/>
      <c r="D65" s="73">
        <v>94780.51840999999</v>
      </c>
      <c r="E65" s="54"/>
      <c r="F65" s="54"/>
      <c r="G65" s="73">
        <v>61510.412689999997</v>
      </c>
      <c r="H65" s="73">
        <v>0</v>
      </c>
      <c r="I65" s="54">
        <v>0</v>
      </c>
      <c r="J65" s="73">
        <f>156687746.18/1000</f>
        <v>156687.74618000002</v>
      </c>
      <c r="K65" s="73">
        <v>0</v>
      </c>
      <c r="L65" s="73">
        <v>0</v>
      </c>
      <c r="M65" s="73">
        <v>176891.32281000001</v>
      </c>
      <c r="N65" s="42">
        <v>0</v>
      </c>
      <c r="O65" s="23">
        <f t="shared" si="6"/>
        <v>489870.00008999999</v>
      </c>
      <c r="Q65" s="95"/>
    </row>
    <row r="66" spans="1:18" s="7" customFormat="1" ht="10.5" x14ac:dyDescent="0.2">
      <c r="A66" s="15" t="s">
        <v>13</v>
      </c>
      <c r="B66" s="16"/>
      <c r="C66" s="56">
        <f t="shared" ref="C66:K66" si="7">SUM(C57:C65)</f>
        <v>0</v>
      </c>
      <c r="D66" s="56">
        <f t="shared" si="7"/>
        <v>1312994.10992</v>
      </c>
      <c r="E66" s="56">
        <f t="shared" si="7"/>
        <v>0</v>
      </c>
      <c r="F66" s="56">
        <f t="shared" si="7"/>
        <v>0</v>
      </c>
      <c r="G66" s="56">
        <f t="shared" si="7"/>
        <v>765205.95879000006</v>
      </c>
      <c r="H66" s="56">
        <f t="shared" si="7"/>
        <v>1469.9160299999999</v>
      </c>
      <c r="I66" s="56">
        <f t="shared" si="7"/>
        <v>3.2656999999999998</v>
      </c>
      <c r="J66" s="56">
        <f t="shared" si="7"/>
        <v>1113397.8464600001</v>
      </c>
      <c r="K66" s="56">
        <f t="shared" si="7"/>
        <v>0</v>
      </c>
      <c r="L66" s="56">
        <f>SUM(L57:L65)</f>
        <v>0</v>
      </c>
      <c r="M66" s="56">
        <f>SUM(M57:M65)</f>
        <v>1066314.7452499999</v>
      </c>
      <c r="N66" s="86">
        <f>SUM(N57:N65)</f>
        <v>3153.8962499999998</v>
      </c>
      <c r="O66" s="24">
        <f>SUM(C66:N66)</f>
        <v>4262539.7384000001</v>
      </c>
      <c r="Q66" s="95"/>
      <c r="R66" s="95"/>
    </row>
    <row r="67" spans="1:18" s="7" customFormat="1" ht="10" x14ac:dyDescent="0.2">
      <c r="A67" s="120" t="s">
        <v>14</v>
      </c>
      <c r="B67" s="16" t="s">
        <v>3</v>
      </c>
      <c r="C67" s="55"/>
      <c r="D67" s="73">
        <v>0</v>
      </c>
      <c r="E67" s="67"/>
      <c r="F67" s="67"/>
      <c r="G67" s="67">
        <v>0</v>
      </c>
      <c r="H67" s="73">
        <v>0</v>
      </c>
      <c r="I67" s="73">
        <v>0</v>
      </c>
      <c r="J67" s="67">
        <v>0</v>
      </c>
      <c r="K67" s="67">
        <v>0</v>
      </c>
      <c r="L67" s="73">
        <v>0</v>
      </c>
      <c r="M67" s="67">
        <v>0</v>
      </c>
      <c r="N67" s="42">
        <v>0</v>
      </c>
      <c r="O67" s="23">
        <f>SUM(C67:N67)</f>
        <v>0</v>
      </c>
    </row>
    <row r="68" spans="1:18" s="7" customFormat="1" ht="10" x14ac:dyDescent="0.2">
      <c r="A68" s="120"/>
      <c r="B68" s="16" t="s">
        <v>4</v>
      </c>
      <c r="C68" s="55"/>
      <c r="D68" s="73">
        <v>2813.8004699999997</v>
      </c>
      <c r="E68" s="67"/>
      <c r="F68" s="67"/>
      <c r="G68" s="67">
        <v>1915.5614699999999</v>
      </c>
      <c r="H68" s="73">
        <v>0</v>
      </c>
      <c r="I68" s="73">
        <v>0</v>
      </c>
      <c r="J68" s="67">
        <v>2238.38</v>
      </c>
      <c r="K68" s="67">
        <v>0</v>
      </c>
      <c r="L68" s="73">
        <v>0</v>
      </c>
      <c r="M68" s="67">
        <v>2159.9713900000002</v>
      </c>
      <c r="N68" s="111">
        <v>0</v>
      </c>
      <c r="O68" s="23">
        <f t="shared" ref="O68:O75" si="8">SUM(C68:N68)</f>
        <v>9127.7133300000005</v>
      </c>
      <c r="Q68" s="95"/>
    </row>
    <row r="69" spans="1:18" s="7" customFormat="1" ht="10" x14ac:dyDescent="0.2">
      <c r="A69" s="120"/>
      <c r="B69" s="16" t="s">
        <v>5</v>
      </c>
      <c r="C69" s="55"/>
      <c r="D69" s="73">
        <v>525.47844999999995</v>
      </c>
      <c r="E69" s="67"/>
      <c r="F69" s="67"/>
      <c r="G69" s="67">
        <v>495.45696999999996</v>
      </c>
      <c r="H69" s="73">
        <v>0</v>
      </c>
      <c r="I69" s="73">
        <v>0.29322999999999999</v>
      </c>
      <c r="J69" s="67">
        <v>538.37</v>
      </c>
      <c r="K69" s="67">
        <v>0</v>
      </c>
      <c r="L69" s="73">
        <v>0</v>
      </c>
      <c r="M69" s="67">
        <v>390.82321999999999</v>
      </c>
      <c r="N69" s="111">
        <v>0</v>
      </c>
      <c r="O69" s="23">
        <f t="shared" si="8"/>
        <v>1950.4218699999999</v>
      </c>
      <c r="Q69" s="95"/>
    </row>
    <row r="70" spans="1:18" s="7" customFormat="1" ht="10" x14ac:dyDescent="0.2">
      <c r="A70" s="120"/>
      <c r="B70" s="25" t="s">
        <v>7</v>
      </c>
      <c r="C70" s="55"/>
      <c r="D70" s="73">
        <v>59623.962780000002</v>
      </c>
      <c r="E70" s="67"/>
      <c r="F70" s="67"/>
      <c r="G70" s="67">
        <v>33861.840129999997</v>
      </c>
      <c r="H70" s="73">
        <v>0</v>
      </c>
      <c r="I70" s="73">
        <v>0</v>
      </c>
      <c r="J70" s="67">
        <f>48465.4+17083.44/1000</f>
        <v>48482.483440000004</v>
      </c>
      <c r="K70" s="67">
        <v>0</v>
      </c>
      <c r="L70" s="73">
        <v>0</v>
      </c>
      <c r="M70" s="67">
        <v>41478.229240000001</v>
      </c>
      <c r="N70" s="111">
        <v>0</v>
      </c>
      <c r="O70" s="23">
        <f t="shared" si="8"/>
        <v>183446.51559000002</v>
      </c>
      <c r="Q70" s="95"/>
    </row>
    <row r="71" spans="1:18" s="7" customFormat="1" ht="10" x14ac:dyDescent="0.2">
      <c r="A71" s="120"/>
      <c r="B71" s="25" t="s">
        <v>57</v>
      </c>
      <c r="C71" s="55"/>
      <c r="D71" s="73">
        <v>0</v>
      </c>
      <c r="E71" s="67"/>
      <c r="F71" s="67"/>
      <c r="G71" s="67">
        <v>340.49904000000004</v>
      </c>
      <c r="H71" s="73">
        <v>154.22582999999997</v>
      </c>
      <c r="I71" s="73">
        <v>0</v>
      </c>
      <c r="J71" s="67">
        <v>87.76</v>
      </c>
      <c r="K71" s="67">
        <v>0</v>
      </c>
      <c r="L71" s="73">
        <v>0</v>
      </c>
      <c r="M71" s="67">
        <v>202.92251999999999</v>
      </c>
      <c r="N71" s="111">
        <v>0</v>
      </c>
      <c r="O71" s="23">
        <f t="shared" si="8"/>
        <v>785.40738999999996</v>
      </c>
      <c r="Q71" s="95"/>
    </row>
    <row r="72" spans="1:18" s="7" customFormat="1" ht="10" x14ac:dyDescent="0.2">
      <c r="A72" s="120"/>
      <c r="B72" s="25" t="s">
        <v>9</v>
      </c>
      <c r="C72" s="55"/>
      <c r="D72" s="73">
        <v>240870.47137999994</v>
      </c>
      <c r="E72" s="67"/>
      <c r="F72" s="67"/>
      <c r="G72" s="67">
        <v>139123.74201999998</v>
      </c>
      <c r="H72" s="73">
        <v>213.25317000000001</v>
      </c>
      <c r="I72" s="73">
        <v>0.52321000000000006</v>
      </c>
      <c r="J72" s="67">
        <f>186960.47+503506.51/1000</f>
        <v>187463.97651000001</v>
      </c>
      <c r="K72" s="67">
        <v>0</v>
      </c>
      <c r="L72" s="73">
        <v>0</v>
      </c>
      <c r="M72" s="67">
        <v>178010.33981</v>
      </c>
      <c r="N72" s="111">
        <v>788.47</v>
      </c>
      <c r="O72" s="23">
        <f t="shared" si="8"/>
        <v>746470.7760999999</v>
      </c>
      <c r="Q72" s="95"/>
    </row>
    <row r="73" spans="1:18" s="7" customFormat="1" ht="10" x14ac:dyDescent="0.2">
      <c r="A73" s="120"/>
      <c r="B73" s="25" t="s">
        <v>10</v>
      </c>
      <c r="C73" s="55"/>
      <c r="D73" s="73">
        <v>500.26291000000003</v>
      </c>
      <c r="E73" s="67"/>
      <c r="F73" s="67"/>
      <c r="G73" s="67">
        <v>186.78687999999997</v>
      </c>
      <c r="H73" s="73">
        <v>0</v>
      </c>
      <c r="I73" s="73">
        <v>0</v>
      </c>
      <c r="J73" s="67">
        <v>341.2</v>
      </c>
      <c r="K73" s="67">
        <v>0</v>
      </c>
      <c r="L73" s="73">
        <v>0</v>
      </c>
      <c r="M73" s="67">
        <v>113.56943</v>
      </c>
      <c r="N73" s="111">
        <v>0</v>
      </c>
      <c r="O73" s="23">
        <f t="shared" si="8"/>
        <v>1141.8192200000001</v>
      </c>
      <c r="Q73" s="95"/>
    </row>
    <row r="74" spans="1:18" s="7" customFormat="1" ht="10" x14ac:dyDescent="0.2">
      <c r="A74" s="120"/>
      <c r="B74" s="25" t="s">
        <v>12</v>
      </c>
      <c r="C74" s="55"/>
      <c r="D74" s="73">
        <v>219.42186000000001</v>
      </c>
      <c r="E74" s="67"/>
      <c r="F74" s="67"/>
      <c r="G74" s="67">
        <v>0</v>
      </c>
      <c r="H74" s="73">
        <v>0</v>
      </c>
      <c r="I74" s="73">
        <v>0</v>
      </c>
      <c r="J74" s="67">
        <v>25.35</v>
      </c>
      <c r="K74" s="67">
        <v>0</v>
      </c>
      <c r="L74" s="73">
        <v>0</v>
      </c>
      <c r="M74" s="67">
        <v>0</v>
      </c>
      <c r="N74" s="111">
        <v>0</v>
      </c>
      <c r="O74" s="23">
        <f t="shared" si="8"/>
        <v>244.77186</v>
      </c>
      <c r="Q74" s="95"/>
    </row>
    <row r="75" spans="1:18" s="7" customFormat="1" ht="10" x14ac:dyDescent="0.2">
      <c r="A75" s="110"/>
      <c r="B75" s="25" t="s">
        <v>11</v>
      </c>
      <c r="C75" s="55"/>
      <c r="D75" s="73">
        <v>23695.12961</v>
      </c>
      <c r="E75" s="67"/>
      <c r="F75" s="67"/>
      <c r="G75" s="67">
        <v>15377.60319</v>
      </c>
      <c r="H75" s="73">
        <v>0</v>
      </c>
      <c r="I75" s="100">
        <v>0</v>
      </c>
      <c r="J75" s="67">
        <v>39171.94</v>
      </c>
      <c r="K75" s="67">
        <v>0</v>
      </c>
      <c r="L75" s="73">
        <v>0</v>
      </c>
      <c r="M75" s="67">
        <v>44222.830710000002</v>
      </c>
      <c r="N75" s="111">
        <v>0</v>
      </c>
      <c r="O75" s="23">
        <f t="shared" si="8"/>
        <v>122467.50351000001</v>
      </c>
      <c r="Q75" s="95"/>
    </row>
    <row r="76" spans="1:18" s="7" customFormat="1" ht="10.5" x14ac:dyDescent="0.2">
      <c r="A76" s="15" t="s">
        <v>22</v>
      </c>
      <c r="B76" s="26"/>
      <c r="C76" s="47">
        <f t="shared" ref="C76:J76" si="9">SUM(C67:C75)</f>
        <v>0</v>
      </c>
      <c r="D76" s="70">
        <f t="shared" si="9"/>
        <v>328248.52745999995</v>
      </c>
      <c r="E76" s="70">
        <f t="shared" si="9"/>
        <v>0</v>
      </c>
      <c r="F76" s="70">
        <f t="shared" si="9"/>
        <v>0</v>
      </c>
      <c r="G76" s="70">
        <f>SUM(G67:G75)</f>
        <v>191301.48969999998</v>
      </c>
      <c r="H76" s="70">
        <f t="shared" si="9"/>
        <v>367.47899999999998</v>
      </c>
      <c r="I76" s="47">
        <f t="shared" si="9"/>
        <v>0.81644000000000005</v>
      </c>
      <c r="J76" s="70">
        <f t="shared" si="9"/>
        <v>278349.45995000005</v>
      </c>
      <c r="K76" s="70">
        <f>SUM(K67:K75)</f>
        <v>0</v>
      </c>
      <c r="L76" s="70">
        <f>SUM(L68:L74)</f>
        <v>0</v>
      </c>
      <c r="M76" s="70">
        <f>SUM(M68:M75)</f>
        <v>266578.68631999998</v>
      </c>
      <c r="N76" s="112">
        <f>SUM(N67:N75)</f>
        <v>788.47</v>
      </c>
      <c r="O76" s="24">
        <f>SUM(C76:N76)</f>
        <v>1065634.9288699999</v>
      </c>
      <c r="P76" s="96"/>
      <c r="Q76" s="95"/>
    </row>
    <row r="77" spans="1:18" s="7" customFormat="1" ht="10.5" x14ac:dyDescent="0.2">
      <c r="A77" s="94" t="s">
        <v>50</v>
      </c>
      <c r="B77" s="16" t="s">
        <v>11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73">
        <v>0</v>
      </c>
      <c r="J77" s="67">
        <v>0</v>
      </c>
      <c r="K77" s="67">
        <v>0</v>
      </c>
      <c r="L77" s="73">
        <v>0</v>
      </c>
      <c r="M77" s="67">
        <v>24011.32965</v>
      </c>
      <c r="N77" s="111">
        <v>0</v>
      </c>
      <c r="O77" s="23">
        <f>SUM(C77:N77)</f>
        <v>24011.32965</v>
      </c>
      <c r="Q77" s="95"/>
    </row>
    <row r="78" spans="1:18" s="7" customFormat="1" ht="10.5" x14ac:dyDescent="0.2">
      <c r="A78" s="15" t="s">
        <v>30</v>
      </c>
      <c r="B78" s="25"/>
      <c r="C78" s="47">
        <f t="shared" ref="C78:O78" si="10">C66+C76+C77</f>
        <v>0</v>
      </c>
      <c r="D78" s="70">
        <f>D66+D76+D77</f>
        <v>1641242.63738</v>
      </c>
      <c r="E78" s="70">
        <f t="shared" si="10"/>
        <v>0</v>
      </c>
      <c r="F78" s="70">
        <f t="shared" si="10"/>
        <v>0</v>
      </c>
      <c r="G78" s="70">
        <f>G66+G76+G77</f>
        <v>956507.4484900001</v>
      </c>
      <c r="H78" s="70">
        <f t="shared" si="10"/>
        <v>1837.3950299999999</v>
      </c>
      <c r="I78" s="47">
        <f t="shared" si="10"/>
        <v>4.0821399999999999</v>
      </c>
      <c r="J78" s="70">
        <f t="shared" si="10"/>
        <v>1391747.3064100002</v>
      </c>
      <c r="K78" s="70">
        <f t="shared" si="10"/>
        <v>0</v>
      </c>
      <c r="L78" s="70">
        <f t="shared" si="10"/>
        <v>0</v>
      </c>
      <c r="M78" s="70">
        <f t="shared" si="10"/>
        <v>1356904.76122</v>
      </c>
      <c r="N78" s="112">
        <f t="shared" si="10"/>
        <v>3942.36625</v>
      </c>
      <c r="O78" s="24">
        <f t="shared" si="10"/>
        <v>5352185.9969199998</v>
      </c>
      <c r="Q78" s="95"/>
    </row>
    <row r="79" spans="1:18" s="7" customFormat="1" ht="10" x14ac:dyDescent="0.2">
      <c r="A79" s="110" t="s">
        <v>31</v>
      </c>
      <c r="B79" s="25"/>
      <c r="C79" s="44"/>
      <c r="D79" s="67">
        <v>870743.48826000001</v>
      </c>
      <c r="E79" s="67"/>
      <c r="F79" s="67"/>
      <c r="G79" s="67">
        <v>440289.23819999996</v>
      </c>
      <c r="H79" s="67">
        <v>1469.9160299999999</v>
      </c>
      <c r="I79" s="73">
        <v>2.0394800000000002</v>
      </c>
      <c r="J79" s="67">
        <f>(627426110.48+2082359.85)/1000</f>
        <v>629508.47033000004</v>
      </c>
      <c r="K79" s="67">
        <v>0</v>
      </c>
      <c r="L79" s="73">
        <v>0</v>
      </c>
      <c r="M79" s="67">
        <v>402142.83805999998</v>
      </c>
      <c r="N79" s="111">
        <v>3135.7194599999998</v>
      </c>
      <c r="O79" s="23">
        <f>SUM(C79:N79)</f>
        <v>2347291.70982</v>
      </c>
      <c r="Q79" s="92"/>
    </row>
    <row r="80" spans="1:18" s="7" customFormat="1" ht="10" x14ac:dyDescent="0.2">
      <c r="A80" s="110" t="s">
        <v>32</v>
      </c>
      <c r="B80" s="25"/>
      <c r="C80" s="44"/>
      <c r="D80" s="67">
        <v>217685.87205999997</v>
      </c>
      <c r="E80" s="67"/>
      <c r="F80" s="67"/>
      <c r="G80" s="67">
        <v>110072.30955000001</v>
      </c>
      <c r="H80" s="67">
        <v>367.47900000000004</v>
      </c>
      <c r="I80" s="73">
        <v>0.50988</v>
      </c>
      <c r="J80" s="67">
        <f>(156856527.62+520589.94)/1000</f>
        <v>157377.11756000001</v>
      </c>
      <c r="K80" s="67">
        <v>0</v>
      </c>
      <c r="L80" s="73">
        <v>0</v>
      </c>
      <c r="M80" s="67">
        <v>100535.70951</v>
      </c>
      <c r="N80" s="111">
        <v>783.92987000000016</v>
      </c>
      <c r="O80" s="23">
        <f>SUM(C80:N80)</f>
        <v>586822.92742999992</v>
      </c>
      <c r="Q80" s="92"/>
    </row>
    <row r="81" spans="1:18" s="7" customFormat="1" ht="10" x14ac:dyDescent="0.2">
      <c r="A81" s="110" t="s">
        <v>55</v>
      </c>
      <c r="B81" s="25"/>
      <c r="C81" s="44"/>
      <c r="D81" s="67">
        <v>552813.27708000003</v>
      </c>
      <c r="E81" s="67"/>
      <c r="F81" s="67"/>
      <c r="G81" s="67">
        <v>406145.90074000001</v>
      </c>
      <c r="H81" s="67">
        <v>0</v>
      </c>
      <c r="I81" s="73">
        <v>1.53278</v>
      </c>
      <c r="J81" s="67">
        <f>604861720.19/1000</f>
        <v>604861.72019000002</v>
      </c>
      <c r="K81" s="67">
        <v>0</v>
      </c>
      <c r="L81" s="73">
        <v>0</v>
      </c>
      <c r="M81" s="67">
        <v>830214.88398000004</v>
      </c>
      <c r="N81" s="111">
        <v>22.720989999999997</v>
      </c>
      <c r="O81" s="23">
        <f>SUM(C81:N81)</f>
        <v>2394060.0357599999</v>
      </c>
      <c r="Q81" s="92"/>
    </row>
    <row r="82" spans="1:18" s="7" customFormat="1" ht="10.5" x14ac:dyDescent="0.2">
      <c r="A82" s="15" t="s">
        <v>27</v>
      </c>
      <c r="B82" s="65"/>
      <c r="C82" s="47">
        <f>SUM(C79:C81)</f>
        <v>0</v>
      </c>
      <c r="D82" s="70">
        <f>SUM(D79+D80+D81)</f>
        <v>1641242.6373999999</v>
      </c>
      <c r="E82" s="70">
        <f>SUM(E79+E80)</f>
        <v>0</v>
      </c>
      <c r="F82" s="70">
        <f>SUM(F79+F80)</f>
        <v>0</v>
      </c>
      <c r="G82" s="70">
        <f>SUM(G79+G80+G81)</f>
        <v>956507.44848999986</v>
      </c>
      <c r="H82" s="70">
        <f t="shared" ref="H82:M82" si="11">SUM(H79+H80+H81)</f>
        <v>1837.3950299999999</v>
      </c>
      <c r="I82" s="47">
        <f t="shared" si="11"/>
        <v>4.0821399999999999</v>
      </c>
      <c r="J82" s="70">
        <f>SUM(J79+J80+J81)</f>
        <v>1391747.3080800001</v>
      </c>
      <c r="K82" s="70">
        <f t="shared" si="11"/>
        <v>0</v>
      </c>
      <c r="L82" s="70">
        <f t="shared" si="11"/>
        <v>0</v>
      </c>
      <c r="M82" s="70">
        <f t="shared" si="11"/>
        <v>1332893.4315500001</v>
      </c>
      <c r="N82" s="112">
        <f>SUM(N79+N80+N81)</f>
        <v>3942.37032</v>
      </c>
      <c r="O82" s="24">
        <f>SUM(O79+O80+O81)</f>
        <v>5328174.6730099991</v>
      </c>
      <c r="Q82" s="92"/>
    </row>
    <row r="83" spans="1:18" s="7" customFormat="1" ht="11" thickBot="1" x14ac:dyDescent="0.25">
      <c r="A83" s="15" t="s">
        <v>29</v>
      </c>
      <c r="B83" s="25"/>
      <c r="C83" s="47">
        <f>C78+C82</f>
        <v>0</v>
      </c>
      <c r="D83" s="70">
        <f t="shared" ref="D83:I83" si="12">SUM(D78+D82)</f>
        <v>3282485.2747799996</v>
      </c>
      <c r="E83" s="70">
        <f t="shared" si="12"/>
        <v>0</v>
      </c>
      <c r="F83" s="70">
        <f t="shared" si="12"/>
        <v>0</v>
      </c>
      <c r="G83" s="70">
        <f t="shared" si="12"/>
        <v>1913014.89698</v>
      </c>
      <c r="H83" s="70">
        <f t="shared" si="12"/>
        <v>3674.7900599999998</v>
      </c>
      <c r="I83" s="47">
        <f t="shared" si="12"/>
        <v>8.1642799999999998</v>
      </c>
      <c r="J83" s="70">
        <f>J78+J82</f>
        <v>2783494.6144900005</v>
      </c>
      <c r="K83" s="70">
        <f>K78+K82</f>
        <v>0</v>
      </c>
      <c r="L83" s="70">
        <f>L78+L82</f>
        <v>0</v>
      </c>
      <c r="M83" s="70">
        <f>M78+M82</f>
        <v>2689798.1927700001</v>
      </c>
      <c r="N83" s="112">
        <f>N78+N82</f>
        <v>7884.73657</v>
      </c>
      <c r="O83" s="24">
        <f>SUM(C83:N83)</f>
        <v>10680360.66993</v>
      </c>
      <c r="Q83" s="95"/>
      <c r="R83" s="95"/>
    </row>
    <row r="84" spans="1:18" s="7" customFormat="1" ht="11" thickBot="1" x14ac:dyDescent="0.25">
      <c r="A84" s="123" t="s">
        <v>51</v>
      </c>
      <c r="B84" s="124"/>
      <c r="C84" s="87">
        <f>215426.05131</f>
        <v>215426.05131000001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9">
        <v>0</v>
      </c>
      <c r="J84" s="88">
        <v>0</v>
      </c>
      <c r="K84" s="91">
        <v>0</v>
      </c>
      <c r="L84" s="88">
        <v>0</v>
      </c>
      <c r="M84" s="88">
        <v>0</v>
      </c>
      <c r="N84" s="87">
        <v>0</v>
      </c>
      <c r="O84" s="90">
        <f>SUM(C84:N84)</f>
        <v>215426.05131000001</v>
      </c>
    </row>
    <row r="85" spans="1:18" s="7" customFormat="1" ht="11" thickBot="1" x14ac:dyDescent="0.25">
      <c r="A85" s="121" t="s">
        <v>53</v>
      </c>
      <c r="B85" s="122"/>
      <c r="C85" s="27">
        <v>0</v>
      </c>
      <c r="D85" s="74">
        <v>0</v>
      </c>
      <c r="E85" s="74">
        <v>0</v>
      </c>
      <c r="F85" s="74">
        <v>0</v>
      </c>
      <c r="G85" s="74">
        <v>0</v>
      </c>
      <c r="H85" s="74">
        <v>920.59699999999998</v>
      </c>
      <c r="I85" s="101">
        <v>0</v>
      </c>
      <c r="J85" s="74">
        <v>0</v>
      </c>
      <c r="K85" s="91">
        <v>0</v>
      </c>
      <c r="L85" s="74">
        <v>0</v>
      </c>
      <c r="M85" s="74">
        <v>0</v>
      </c>
      <c r="N85" s="28">
        <v>119442.99973000003</v>
      </c>
      <c r="O85" s="102">
        <f>SUM(C85:N85)</f>
        <v>120363.59673000002</v>
      </c>
    </row>
    <row r="86" spans="1:18" s="7" customFormat="1" ht="11.5" thickTop="1" thickBot="1" x14ac:dyDescent="0.25">
      <c r="A86" s="37" t="s">
        <v>33</v>
      </c>
      <c r="B86" s="38"/>
      <c r="C86" s="39">
        <f>SUM(C55+C84+C85)+C83</f>
        <v>1527886.8722492764</v>
      </c>
      <c r="D86" s="75">
        <f>SUM(D55+D84+D85)+D83</f>
        <v>4466982.6965699997</v>
      </c>
      <c r="E86" s="75">
        <f t="shared" ref="E86:L86" si="13">SUM(E55+E84+E85)+E83</f>
        <v>876858.26823000005</v>
      </c>
      <c r="F86" s="75">
        <f t="shared" si="13"/>
        <v>994579.77624539286</v>
      </c>
      <c r="G86" s="75">
        <f t="shared" si="13"/>
        <v>3063748.8096599998</v>
      </c>
      <c r="H86" s="75">
        <f t="shared" si="13"/>
        <v>1162451.2886000001</v>
      </c>
      <c r="I86" s="40">
        <f t="shared" si="13"/>
        <v>1307150.3480200002</v>
      </c>
      <c r="J86" s="75">
        <f t="shared" si="13"/>
        <v>4000399.2460700003</v>
      </c>
      <c r="K86" s="75">
        <f t="shared" si="13"/>
        <v>1223556.2692</v>
      </c>
      <c r="L86" s="75">
        <f t="shared" si="13"/>
        <v>1105459.4327199997</v>
      </c>
      <c r="M86" s="75">
        <f>SUM(M55+M83+M84+M85)</f>
        <v>3817516.7902100002</v>
      </c>
      <c r="N86" s="40">
        <f>N84+N83+N55</f>
        <v>1207980.4714799998</v>
      </c>
      <c r="O86" s="41">
        <f>SUM(C86:N86)</f>
        <v>24754570.26925467</v>
      </c>
    </row>
    <row r="87" spans="1:18" s="7" customFormat="1" ht="11" thickTop="1" x14ac:dyDescent="0.2">
      <c r="A87" s="120" t="s">
        <v>52</v>
      </c>
      <c r="B87" s="125"/>
      <c r="C87" s="29"/>
      <c r="D87" s="76"/>
      <c r="E87" s="76"/>
      <c r="F87" s="76"/>
      <c r="G87" s="76"/>
      <c r="H87" s="76"/>
      <c r="I87" s="30"/>
      <c r="J87" s="76"/>
      <c r="K87" s="76"/>
      <c r="L87" s="76"/>
      <c r="M87" s="76"/>
      <c r="N87" s="18"/>
      <c r="O87" s="31"/>
    </row>
    <row r="88" spans="1:18" s="7" customFormat="1" ht="10.5" x14ac:dyDescent="0.2">
      <c r="A88" s="126" t="s">
        <v>2</v>
      </c>
      <c r="B88" s="25" t="s">
        <v>3</v>
      </c>
      <c r="C88" s="42">
        <v>394.66341</v>
      </c>
      <c r="D88" s="77">
        <v>323.80357999999995</v>
      </c>
      <c r="E88" s="77">
        <v>271.72692000000001</v>
      </c>
      <c r="F88" s="77">
        <v>336.77610999999996</v>
      </c>
      <c r="G88" s="77">
        <f>VLOOKUP($B88,'[1]MAI-15-MAR'!$A$22:$F$29,6,0)/1000</f>
        <v>388.08500999999995</v>
      </c>
      <c r="H88" s="77">
        <f>VLOOKUP($B88,'[1]JUN-15-ABR'!$A$22:$F$29,6,0)/1000</f>
        <v>352.04887000000008</v>
      </c>
      <c r="I88" s="59">
        <f>VLOOKUP($B88,'[1]JUL-15-MAI'!$A$22:$F$29,6,0)/1000</f>
        <v>398.04702000000003</v>
      </c>
      <c r="J88" s="77">
        <f>343189.2/1000</f>
        <v>343.18920000000003</v>
      </c>
      <c r="K88" s="77">
        <v>440.83565999999996</v>
      </c>
      <c r="L88" s="77">
        <v>423.73226000000005</v>
      </c>
      <c r="M88" s="77">
        <v>443.95294000000001</v>
      </c>
      <c r="N88" s="18"/>
      <c r="O88" s="63">
        <f t="shared" ref="O88:O95" si="14">SUM(C88:N88)</f>
        <v>4116.8609799999995</v>
      </c>
    </row>
    <row r="89" spans="1:18" s="7" customFormat="1" ht="10.5" x14ac:dyDescent="0.2">
      <c r="A89" s="126"/>
      <c r="B89" s="25" t="s">
        <v>4</v>
      </c>
      <c r="C89" s="42">
        <v>2642.6594799999998</v>
      </c>
      <c r="D89" s="77">
        <v>2144.1924100000001</v>
      </c>
      <c r="E89" s="77">
        <v>1821.9666299999999</v>
      </c>
      <c r="F89" s="77">
        <v>2011.5048999999999</v>
      </c>
      <c r="G89" s="77">
        <f>VLOOKUP($B89,'[1]MAI-15-MAR'!$A$22:$F$29,6,0)/1000</f>
        <v>2337.36015</v>
      </c>
      <c r="H89" s="77">
        <f>VLOOKUP($B89,'[1]JUN-15-ABR'!$A$22:$F$29,6,0)/1000</f>
        <v>2237.9246499999999</v>
      </c>
      <c r="I89" s="59">
        <f>VLOOKUP($B89,'[1]JUL-15-MAI'!$A$22:$F$29,6,0)/1000</f>
        <v>2474.8080599999998</v>
      </c>
      <c r="J89" s="77">
        <f>2403491.08/1000</f>
        <v>2403.4910800000002</v>
      </c>
      <c r="K89" s="77">
        <v>2480.0359500000004</v>
      </c>
      <c r="L89" s="77">
        <v>2334.81934</v>
      </c>
      <c r="M89" s="77">
        <v>2525.8954700000004</v>
      </c>
      <c r="N89" s="18"/>
      <c r="O89" s="63">
        <f t="shared" si="14"/>
        <v>25414.658120000004</v>
      </c>
    </row>
    <row r="90" spans="1:18" s="7" customFormat="1" ht="10.5" x14ac:dyDescent="0.2">
      <c r="A90" s="126"/>
      <c r="B90" s="25" t="s">
        <v>5</v>
      </c>
      <c r="C90" s="42">
        <v>1873.0917799999995</v>
      </c>
      <c r="D90" s="77">
        <v>1619.92688</v>
      </c>
      <c r="E90" s="77">
        <v>1209.3918999999999</v>
      </c>
      <c r="F90" s="77">
        <v>1374.5766599999999</v>
      </c>
      <c r="G90" s="77">
        <f>VLOOKUP($B90,'[1]MAI-15-MAR'!$A$22:$F$29,6,0)/1000</f>
        <v>1586.4083699999999</v>
      </c>
      <c r="H90" s="77">
        <f>VLOOKUP($B90,'[1]JUN-15-ABR'!$A$22:$F$29,6,0)/1000</f>
        <v>1487.7861600000001</v>
      </c>
      <c r="I90" s="59">
        <f>VLOOKUP($B90,'[1]JUL-15-MAI'!$A$22:$F$29,6,0)/1000</f>
        <v>1645.6224999999999</v>
      </c>
      <c r="J90" s="77">
        <f>1560926.6/1000</f>
        <v>1560.9266</v>
      </c>
      <c r="K90" s="77">
        <v>1492.0793900000001</v>
      </c>
      <c r="L90" s="77">
        <v>1324.5748700000001</v>
      </c>
      <c r="M90" s="77">
        <v>1491.8616800000002</v>
      </c>
      <c r="N90" s="18"/>
      <c r="O90" s="63">
        <f t="shared" si="14"/>
        <v>16666.246790000001</v>
      </c>
      <c r="Q90" s="92"/>
    </row>
    <row r="91" spans="1:18" s="7" customFormat="1" ht="10.5" x14ac:dyDescent="0.2">
      <c r="A91" s="126"/>
      <c r="B91" s="25" t="s">
        <v>6</v>
      </c>
      <c r="C91" s="42">
        <v>71.411880000000011</v>
      </c>
      <c r="D91" s="77">
        <v>58.71611</v>
      </c>
      <c r="E91" s="77">
        <v>33.874910000000007</v>
      </c>
      <c r="F91" s="77">
        <v>44.118209999999998</v>
      </c>
      <c r="G91" s="77">
        <f>VLOOKUP($B91,'[1]MAI-15-MAR'!$A$22:$F$29,6,0)/1000</f>
        <v>52.46002</v>
      </c>
      <c r="H91" s="77">
        <f>VLOOKUP($B91,'[1]JUN-15-ABR'!$A$22:$F$29,6,0)/1000</f>
        <v>46.725929999999998</v>
      </c>
      <c r="I91" s="59">
        <f>VLOOKUP($B91,'[1]JUL-15-MAI'!$A$22:$F$29,6,0)/1000</f>
        <v>53.901739999999997</v>
      </c>
      <c r="J91" s="77">
        <f>54353.91/1000</f>
        <v>54.353910000000006</v>
      </c>
      <c r="K91" s="77">
        <v>55.151699999999998</v>
      </c>
      <c r="L91" s="77">
        <v>42.520699999999998</v>
      </c>
      <c r="M91" s="77">
        <v>50.65005</v>
      </c>
      <c r="N91" s="18"/>
      <c r="O91" s="63">
        <f t="shared" si="14"/>
        <v>563.88516000000004</v>
      </c>
      <c r="Q91" s="95"/>
    </row>
    <row r="92" spans="1:18" s="7" customFormat="1" ht="10.5" x14ac:dyDescent="0.2">
      <c r="A92" s="126"/>
      <c r="B92" s="25" t="s">
        <v>7</v>
      </c>
      <c r="C92" s="42">
        <v>734.01119999999992</v>
      </c>
      <c r="D92" s="77">
        <v>617.08954999999992</v>
      </c>
      <c r="E92" s="77">
        <v>459.43795999999998</v>
      </c>
      <c r="F92" s="77">
        <v>532.54952000000003</v>
      </c>
      <c r="G92" s="77">
        <f>VLOOKUP($B92,'[1]MAI-15-MAR'!$A$22:$F$29,6,0)/1000</f>
        <v>605.28989000000001</v>
      </c>
      <c r="H92" s="77">
        <f>VLOOKUP($B92,'[1]JUN-15-ABR'!$A$22:$F$29,6,0)/1000</f>
        <v>2362.5499299999997</v>
      </c>
      <c r="I92" s="59">
        <f>VLOOKUP($B92,'[1]JUL-15-MAI'!$A$22:$F$29,6,0)/1000</f>
        <v>676.77819999999997</v>
      </c>
      <c r="J92" s="77">
        <f>596497.34/1000</f>
        <v>596.49734000000001</v>
      </c>
      <c r="K92" s="77">
        <v>543.37503000000004</v>
      </c>
      <c r="L92" s="77">
        <v>483.23817000000003</v>
      </c>
      <c r="M92" s="77">
        <v>567.15812999999991</v>
      </c>
      <c r="N92" s="18"/>
      <c r="O92" s="63">
        <f t="shared" si="14"/>
        <v>8177.9749199999987</v>
      </c>
      <c r="Q92" s="92"/>
    </row>
    <row r="93" spans="1:18" s="7" customFormat="1" ht="10.5" x14ac:dyDescent="0.2">
      <c r="A93" s="126"/>
      <c r="B93" s="25" t="s">
        <v>10</v>
      </c>
      <c r="C93" s="42">
        <v>2870.3005300000004</v>
      </c>
      <c r="D93" s="77">
        <v>2404.0686600000004</v>
      </c>
      <c r="E93" s="77">
        <v>2053.6241199999999</v>
      </c>
      <c r="F93" s="77">
        <v>2243.36445</v>
      </c>
      <c r="G93" s="77">
        <f>VLOOKUP($B93,'[1]MAI-15-MAR'!$A$22:$F$29,6,0)/1000</f>
        <v>2466.0334000000003</v>
      </c>
      <c r="H93" s="77">
        <f>VLOOKUP($B93,'[1]JUN-15-ABR'!$A$22:$F$29,6,0)/1000</f>
        <v>2580.2389600000001</v>
      </c>
      <c r="I93" s="59">
        <f>VLOOKUP($B93,'[1]JUL-15-MAI'!$A$22:$F$29,6,0)/1000</f>
        <v>2811.1898200000001</v>
      </c>
      <c r="J93" s="77">
        <f>2640095.53/1000</f>
        <v>2640.0955299999996</v>
      </c>
      <c r="K93" s="77">
        <v>2265.8518799999997</v>
      </c>
      <c r="L93" s="77">
        <v>1929.7945</v>
      </c>
      <c r="M93" s="77">
        <v>2404.73747</v>
      </c>
      <c r="N93" s="18"/>
      <c r="O93" s="63">
        <f t="shared" si="14"/>
        <v>26669.299320000002</v>
      </c>
      <c r="Q93" s="95"/>
    </row>
    <row r="94" spans="1:18" s="7" customFormat="1" ht="10.5" x14ac:dyDescent="0.2">
      <c r="A94" s="126"/>
      <c r="B94" s="25" t="s">
        <v>12</v>
      </c>
      <c r="C94" s="42">
        <v>962.98758000000009</v>
      </c>
      <c r="D94" s="77">
        <v>784.82276999999999</v>
      </c>
      <c r="E94" s="77">
        <v>553.6186899999999</v>
      </c>
      <c r="F94" s="77">
        <v>659.15075999999988</v>
      </c>
      <c r="G94" s="77">
        <f>VLOOKUP($B94,'[1]MAI-15-MAR'!$A$22:$F$29,6,0)/1000</f>
        <v>767.64092999999991</v>
      </c>
      <c r="H94" s="77">
        <f>VLOOKUP($B94,'[1]JUN-15-ABR'!$A$22:$F$29,6,0)/1000</f>
        <v>801.29187999999999</v>
      </c>
      <c r="I94" s="59">
        <f>VLOOKUP($B94,'[1]JUL-15-MAI'!$A$22:$F$29,6,0)/1000</f>
        <v>1007.5414300000001</v>
      </c>
      <c r="J94" s="77">
        <f>808204.22/1000</f>
        <v>808.20421999999996</v>
      </c>
      <c r="K94" s="77">
        <v>746.24792999999988</v>
      </c>
      <c r="L94" s="77">
        <v>640.66472999999985</v>
      </c>
      <c r="M94" s="77">
        <v>722.59820000000002</v>
      </c>
      <c r="N94" s="18"/>
      <c r="O94" s="63">
        <f t="shared" si="14"/>
        <v>8454.769119999999</v>
      </c>
      <c r="Q94" s="95"/>
    </row>
    <row r="95" spans="1:18" s="7" customFormat="1" ht="10.5" x14ac:dyDescent="0.2">
      <c r="A95" s="126"/>
      <c r="B95" s="25" t="s">
        <v>57</v>
      </c>
      <c r="C95" s="42">
        <v>652.93835999999999</v>
      </c>
      <c r="D95" s="77">
        <v>504.27163999999999</v>
      </c>
      <c r="E95" s="77">
        <v>436.39384000000001</v>
      </c>
      <c r="F95" s="77">
        <v>402.92687000000001</v>
      </c>
      <c r="G95" s="77">
        <f>VLOOKUP($B95,'[1]MAI-15-MAR'!$A$22:$F$29,6,0)/1000</f>
        <v>496.94873999999999</v>
      </c>
      <c r="H95" s="77">
        <f>VLOOKUP($B95,'[1]JUN-15-ABR'!$A$22:$F$29,6,0)/1000</f>
        <v>327.61192999999997</v>
      </c>
      <c r="I95" s="59">
        <f>VLOOKUP($B95,'[1]JUL-15-MAI'!$A$22:$F$29,6,0)/1000</f>
        <v>271.2432</v>
      </c>
      <c r="J95" s="77">
        <f>437119.26/1000</f>
        <v>437.11926</v>
      </c>
      <c r="K95" s="77">
        <v>393.22145999999998</v>
      </c>
      <c r="L95" s="77">
        <v>468.04639000000003</v>
      </c>
      <c r="M95" s="77">
        <v>462.11763999999999</v>
      </c>
      <c r="N95" s="18"/>
      <c r="O95" s="63">
        <f t="shared" si="14"/>
        <v>4852.8393300000007</v>
      </c>
      <c r="Q95" s="92"/>
    </row>
    <row r="96" spans="1:18" s="7" customFormat="1" ht="11" thickBot="1" x14ac:dyDescent="0.25">
      <c r="A96" s="113" t="s">
        <v>34</v>
      </c>
      <c r="B96" s="114"/>
      <c r="C96" s="105">
        <f t="shared" ref="C96:I96" si="15">SUM(C88:C95)</f>
        <v>10202.06422</v>
      </c>
      <c r="D96" s="106">
        <f t="shared" si="15"/>
        <v>8456.891599999999</v>
      </c>
      <c r="E96" s="106">
        <f t="shared" si="15"/>
        <v>6840.0349699999988</v>
      </c>
      <c r="F96" s="106">
        <f t="shared" si="15"/>
        <v>7604.9674799999993</v>
      </c>
      <c r="G96" s="106">
        <f t="shared" si="15"/>
        <v>8700.2265100000004</v>
      </c>
      <c r="H96" s="106">
        <f t="shared" si="15"/>
        <v>10196.178309999999</v>
      </c>
      <c r="I96" s="107">
        <f t="shared" si="15"/>
        <v>9339.1319700000004</v>
      </c>
      <c r="J96" s="106">
        <f>SUM(J88:J95)</f>
        <v>8843.8771399999987</v>
      </c>
      <c r="K96" s="106">
        <f>SUM(K88:K95)</f>
        <v>8416.7990000000009</v>
      </c>
      <c r="L96" s="106">
        <f>SUM(L88:L95)</f>
        <v>7647.3909599999997</v>
      </c>
      <c r="M96" s="106">
        <f>SUM(M88:M95)</f>
        <v>8668.9715800000013</v>
      </c>
      <c r="N96" s="108">
        <f>SUM(N88:N95)</f>
        <v>0</v>
      </c>
      <c r="O96" s="109">
        <f>SUM(C96:N96)</f>
        <v>94916.533739999999</v>
      </c>
      <c r="P96" s="92"/>
      <c r="Q96" s="92"/>
    </row>
    <row r="97" spans="1:15" s="7" customFormat="1" ht="11" thickTop="1" x14ac:dyDescent="0.2">
      <c r="A97" s="3" t="s">
        <v>35</v>
      </c>
      <c r="B97" s="4"/>
      <c r="C97" s="104">
        <v>41944</v>
      </c>
      <c r="D97" s="104">
        <v>41974</v>
      </c>
      <c r="E97" s="104">
        <v>42005</v>
      </c>
      <c r="F97" s="104">
        <v>42036</v>
      </c>
      <c r="G97" s="104">
        <v>42064</v>
      </c>
      <c r="H97" s="104">
        <v>42095</v>
      </c>
      <c r="I97" s="104">
        <v>42125</v>
      </c>
      <c r="J97" s="104">
        <v>42156</v>
      </c>
      <c r="K97" s="104">
        <v>42186</v>
      </c>
      <c r="L97" s="104">
        <v>42217</v>
      </c>
      <c r="M97" s="104">
        <v>42248</v>
      </c>
      <c r="N97" s="104">
        <v>42278</v>
      </c>
      <c r="O97" s="103" t="s">
        <v>36</v>
      </c>
    </row>
    <row r="98" spans="1:15" s="7" customFormat="1" ht="10.5" x14ac:dyDescent="0.2">
      <c r="A98" s="110" t="s">
        <v>37</v>
      </c>
      <c r="B98" s="16" t="s">
        <v>38</v>
      </c>
      <c r="C98" s="81">
        <v>1083.665979103929</v>
      </c>
      <c r="D98" s="82">
        <v>889.13888688692475</v>
      </c>
      <c r="E98" s="82">
        <v>654.53907847148344</v>
      </c>
      <c r="F98" s="82">
        <v>848.40262756348443</v>
      </c>
      <c r="G98" s="78">
        <v>894.50912892192969</v>
      </c>
      <c r="H98" s="78">
        <v>943.91635046112322</v>
      </c>
      <c r="I98" s="82">
        <v>1030.5171605719861</v>
      </c>
      <c r="J98" s="82">
        <v>996.38471430622485</v>
      </c>
      <c r="K98" s="82">
        <v>936.03222736332816</v>
      </c>
      <c r="L98" s="82">
        <v>805.69123060067272</v>
      </c>
      <c r="M98" s="82">
        <v>905.94625703315512</v>
      </c>
      <c r="N98" s="82">
        <v>937.2680535378978</v>
      </c>
      <c r="O98" s="32">
        <f>AVERAGE(C98:N98)</f>
        <v>910.50097456851154</v>
      </c>
    </row>
    <row r="99" spans="1:15" s="7" customFormat="1" ht="10.5" x14ac:dyDescent="0.2">
      <c r="A99" s="110" t="s">
        <v>37</v>
      </c>
      <c r="B99" s="16" t="s">
        <v>39</v>
      </c>
      <c r="C99" s="83">
        <v>67.625231785452115</v>
      </c>
      <c r="D99" s="79">
        <v>53.572412252052715</v>
      </c>
      <c r="E99" s="79">
        <v>39.513671198718761</v>
      </c>
      <c r="F99" s="79">
        <v>47.90290096897354</v>
      </c>
      <c r="G99" s="79">
        <v>45.308819574331217</v>
      </c>
      <c r="H99" s="79">
        <v>49.324709551606432</v>
      </c>
      <c r="I99" s="79">
        <v>53.524610195314715</v>
      </c>
      <c r="J99" s="79">
        <v>50.918394321430931</v>
      </c>
      <c r="K99" s="79">
        <v>46.180591383029771</v>
      </c>
      <c r="L99" s="79">
        <v>36.456748542665402</v>
      </c>
      <c r="M99" s="79">
        <v>36.876869672520407</v>
      </c>
      <c r="N99" s="79">
        <v>38.410474552862418</v>
      </c>
      <c r="O99" s="32">
        <f t="shared" ref="O99:O104" si="16">AVERAGE(C99:N99)</f>
        <v>47.134619499913207</v>
      </c>
    </row>
    <row r="100" spans="1:15" s="7" customFormat="1" ht="10.5" x14ac:dyDescent="0.2">
      <c r="A100" s="110" t="s">
        <v>40</v>
      </c>
      <c r="B100" s="16" t="s">
        <v>39</v>
      </c>
      <c r="C100" s="83">
        <v>78.893699999999995</v>
      </c>
      <c r="D100" s="79">
        <v>62.526400000000002</v>
      </c>
      <c r="E100" s="79">
        <v>47.858800000000002</v>
      </c>
      <c r="F100" s="79">
        <v>58.131500000000003</v>
      </c>
      <c r="G100" s="79">
        <v>55.9238</v>
      </c>
      <c r="H100" s="79">
        <v>59.762700000000002</v>
      </c>
      <c r="I100" s="79">
        <v>64.317800000000005</v>
      </c>
      <c r="J100" s="79">
        <v>61.685400000000001</v>
      </c>
      <c r="K100" s="79">
        <v>56.535800000000002</v>
      </c>
      <c r="L100" s="79">
        <v>46.643700000000003</v>
      </c>
      <c r="M100" s="79">
        <v>47.607700000000001</v>
      </c>
      <c r="N100" s="79">
        <v>48.560400000000001</v>
      </c>
      <c r="O100" s="32">
        <f>AVERAGE(C100:N100)</f>
        <v>57.370641666666671</v>
      </c>
    </row>
    <row r="101" spans="1:15" s="7" customFormat="1" ht="10.5" x14ac:dyDescent="0.2">
      <c r="A101" s="34" t="s">
        <v>41</v>
      </c>
      <c r="B101" s="16" t="s">
        <v>54</v>
      </c>
      <c r="C101" s="83">
        <v>531.80776081836848</v>
      </c>
      <c r="D101" s="79">
        <v>450.75444676906972</v>
      </c>
      <c r="E101" s="79">
        <v>390.28002572519557</v>
      </c>
      <c r="F101" s="79">
        <v>421.26125448234302</v>
      </c>
      <c r="G101" s="79">
        <v>463.68592345799425</v>
      </c>
      <c r="H101" s="79">
        <v>425.72855360417168</v>
      </c>
      <c r="I101" s="79">
        <v>443.94103053095449</v>
      </c>
      <c r="J101" s="79">
        <v>422.82703072430189</v>
      </c>
      <c r="K101" s="79">
        <v>451.9582481271745</v>
      </c>
      <c r="L101" s="79">
        <v>465.4117474857689</v>
      </c>
      <c r="M101" s="79">
        <v>513.16545237336243</v>
      </c>
      <c r="N101" s="79">
        <v>465.70325796506847</v>
      </c>
      <c r="O101" s="32">
        <f>AVERAGE(C101:N101)</f>
        <v>453.87706100531449</v>
      </c>
    </row>
    <row r="102" spans="1:15" s="7" customFormat="1" ht="10.5" x14ac:dyDescent="0.2">
      <c r="A102" s="110" t="s">
        <v>42</v>
      </c>
      <c r="B102" s="16" t="s">
        <v>43</v>
      </c>
      <c r="C102" s="84">
        <v>2.5476999999999999</v>
      </c>
      <c r="D102" s="79">
        <v>2.6387</v>
      </c>
      <c r="E102" s="79">
        <v>2.6335999999999999</v>
      </c>
      <c r="F102" s="79">
        <v>2.8157999999999999</v>
      </c>
      <c r="G102" s="79">
        <v>3.1387999999999998</v>
      </c>
      <c r="H102" s="79">
        <v>3.0425</v>
      </c>
      <c r="I102" s="79">
        <v>3.0609999999999999</v>
      </c>
      <c r="J102" s="79">
        <v>3.1111</v>
      </c>
      <c r="K102" s="79">
        <v>3.2225000000000001</v>
      </c>
      <c r="L102" s="79">
        <v>3.5135999999999998</v>
      </c>
      <c r="M102" s="79">
        <v>3.9058000000000002</v>
      </c>
      <c r="N102" s="79">
        <v>3.8795000000000002</v>
      </c>
      <c r="O102" s="32">
        <f t="shared" si="16"/>
        <v>3.1258833333333338</v>
      </c>
    </row>
    <row r="103" spans="1:15" s="7" customFormat="1" ht="10.5" x14ac:dyDescent="0.2">
      <c r="A103" s="110" t="s">
        <v>44</v>
      </c>
      <c r="B103" s="16" t="s">
        <v>45</v>
      </c>
      <c r="C103" s="83">
        <v>2360148.7865653606</v>
      </c>
      <c r="D103" s="79">
        <v>2499500.6934549548</v>
      </c>
      <c r="E103" s="79">
        <v>2472108.3772075521</v>
      </c>
      <c r="F103" s="79">
        <v>2433318.6436334858</v>
      </c>
      <c r="G103" s="79">
        <v>2416152.8622750025</v>
      </c>
      <c r="H103" s="79">
        <v>2397145.2718964485</v>
      </c>
      <c r="I103" s="79">
        <v>2415077.0733598196</v>
      </c>
      <c r="J103" s="79">
        <v>2398697.2039873255</v>
      </c>
      <c r="K103" s="79">
        <v>2468789.719912176</v>
      </c>
      <c r="L103" s="79">
        <v>2549664.2921525137</v>
      </c>
      <c r="M103" s="79">
        <v>2385262.310599816</v>
      </c>
      <c r="N103" s="79">
        <v>2397844.8527542399</v>
      </c>
      <c r="O103" s="32">
        <f>AVERAGE(C103:N103)</f>
        <v>2432809.1739832242</v>
      </c>
    </row>
    <row r="104" spans="1:15" s="7" customFormat="1" ht="11" thickBot="1" x14ac:dyDescent="0.25">
      <c r="A104" s="35" t="s">
        <v>46</v>
      </c>
      <c r="B104" s="20" t="s">
        <v>47</v>
      </c>
      <c r="C104" s="85">
        <v>74.747485064000017</v>
      </c>
      <c r="D104" s="80">
        <v>75.656831232903187</v>
      </c>
      <c r="E104" s="80">
        <v>75.875415384516174</v>
      </c>
      <c r="F104" s="80">
        <v>74.555730167142897</v>
      </c>
      <c r="G104" s="80">
        <v>73.627233812580613</v>
      </c>
      <c r="H104" s="80">
        <v>70.009136465333398</v>
      </c>
      <c r="I104" s="80">
        <v>69.690364577741974</v>
      </c>
      <c r="J104" s="80">
        <v>72.344704418666595</v>
      </c>
      <c r="K104" s="80">
        <v>71.23385243516131</v>
      </c>
      <c r="L104" s="80">
        <v>74.017329973870986</v>
      </c>
      <c r="M104" s="80">
        <v>72.04073915466671</v>
      </c>
      <c r="N104" s="80">
        <v>71.734768509354907</v>
      </c>
      <c r="O104" s="36">
        <f t="shared" si="16"/>
        <v>72.961132599661582</v>
      </c>
    </row>
    <row r="105" spans="1:15" ht="13" hidden="1" x14ac:dyDescent="0.3">
      <c r="A105" s="64" t="s">
        <v>60</v>
      </c>
    </row>
    <row r="107" spans="1:15" x14ac:dyDescent="0.25">
      <c r="D107" s="97"/>
      <c r="O107" s="93"/>
    </row>
    <row r="108" spans="1:15" x14ac:dyDescent="0.25">
      <c r="E108" s="93"/>
      <c r="F108" s="93"/>
      <c r="G108" s="93"/>
    </row>
    <row r="109" spans="1:15" x14ac:dyDescent="0.25">
      <c r="N109" s="93"/>
    </row>
    <row r="110" spans="1:15" x14ac:dyDescent="0.25">
      <c r="J110" s="93"/>
    </row>
    <row r="111" spans="1:15" x14ac:dyDescent="0.25">
      <c r="D111" s="93"/>
    </row>
  </sheetData>
  <mergeCells count="13">
    <mergeCell ref="A40:A46"/>
    <mergeCell ref="C2:O2"/>
    <mergeCell ref="A5:E5"/>
    <mergeCell ref="A7:B7"/>
    <mergeCell ref="A9:A19"/>
    <mergeCell ref="A21:A38"/>
    <mergeCell ref="A96:B96"/>
    <mergeCell ref="A57:A64"/>
    <mergeCell ref="A67:A74"/>
    <mergeCell ref="A84:B84"/>
    <mergeCell ref="A85:B85"/>
    <mergeCell ref="A87:B87"/>
    <mergeCell ref="A88:A95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OB-2015</vt:lpstr>
      <vt:lpstr>'OB-2015'!Area_de_impressao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Luiz Eduardo Paim Varella</cp:lastModifiedBy>
  <cp:lastPrinted>2016-01-05T14:49:21Z</cp:lastPrinted>
  <dcterms:created xsi:type="dcterms:W3CDTF">2008-01-15T17:31:37Z</dcterms:created>
  <dcterms:modified xsi:type="dcterms:W3CDTF">2022-05-12T18:50:11Z</dcterms:modified>
</cp:coreProperties>
</file>